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drawings/drawing1.xml" ContentType="application/vnd.openxmlformats-officedocument.drawing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nielsen\Downloads\"/>
    </mc:Choice>
  </mc:AlternateContent>
  <xr:revisionPtr revIDLastSave="0" documentId="13_ncr:1_{C1F9D728-E463-4495-9F94-E99653E01ABE}" xr6:coauthVersionLast="47" xr6:coauthVersionMax="47" xr10:uidLastSave="{00000000-0000-0000-0000-000000000000}"/>
  <bookViews>
    <workbookView xWindow="28680" yWindow="-120" windowWidth="29040" windowHeight="15840" firstSheet="4" activeTab="10" xr2:uid="{A7B0F648-5CC1-47E8-8383-E5C68A2B3604}"/>
  </bookViews>
  <sheets>
    <sheet name="Sheet1" sheetId="30" r:id="rId1"/>
    <sheet name="DSMZ 120 v1" sheetId="7" r:id="rId2"/>
    <sheet name="DSMZ 120 v1.5" sheetId="41" r:id="rId3"/>
    <sheet name="DSMZ 120 v2" sheetId="31" r:id="rId4"/>
    <sheet name="DSMZ 120 v3" sheetId="32" r:id="rId5"/>
    <sheet name="DSMZ 120 v4" sheetId="33" r:id="rId6"/>
    <sheet name="Speece 1996" sheetId="11" r:id="rId7"/>
    <sheet name="Mod Wolfe v1" sheetId="15" r:id="rId8"/>
    <sheet name="Mod Wolfe v2 (HCl)" sheetId="23" r:id="rId9"/>
    <sheet name="Mod Wolfe v3" sheetId="34" r:id="rId10"/>
    <sheet name="Mod Wolfe v4" sheetId="39" r:id="rId11"/>
    <sheet name="Soln Comparisons" sheetId="9" r:id="rId12"/>
    <sheet name="Library" sheetId="16" r:id="rId13"/>
    <sheet name="DSMZ 120 v1 calcs" sheetId="8" r:id="rId14"/>
    <sheet name="DSMZ 120 v1.5 calcs" sheetId="42" r:id="rId15"/>
    <sheet name="DSMZ 120 v2 calcs" sheetId="35" r:id="rId16"/>
    <sheet name="DSMZ 120 v3 calcs" sheetId="36" r:id="rId17"/>
    <sheet name="DSMZ 120 v4 calcs" sheetId="37" r:id="rId18"/>
    <sheet name="RM 10.6 Speece 1996" sheetId="12" r:id="rId19"/>
    <sheet name="Mod Wolfe v1 calcs" sheetId="14" r:id="rId20"/>
    <sheet name="Mod Wolfe v2 calcs" sheetId="24" r:id="rId21"/>
    <sheet name="Mod Wolfe v3 calcs" sheetId="38" r:id="rId22"/>
    <sheet name="Mod Wolfe v4 calcs" sheetId="40" r:id="rId2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33" l="1"/>
  <c r="G22" i="32"/>
  <c r="G22" i="31"/>
  <c r="G22" i="41"/>
  <c r="G22" i="7"/>
  <c r="E42" i="9"/>
  <c r="C41" i="42"/>
  <c r="C42" i="42"/>
  <c r="C43" i="42"/>
  <c r="C44" i="42"/>
  <c r="C45" i="42"/>
  <c r="C46" i="42"/>
  <c r="B103" i="42" s="1"/>
  <c r="B109" i="42" s="1"/>
  <c r="E53" i="9" s="1"/>
  <c r="C47" i="42"/>
  <c r="C48" i="42"/>
  <c r="E48" i="42" s="1"/>
  <c r="C105" i="42" s="1"/>
  <c r="C49" i="42"/>
  <c r="C40" i="42"/>
  <c r="C38" i="42"/>
  <c r="C37" i="42"/>
  <c r="C34" i="42"/>
  <c r="C35" i="42"/>
  <c r="C33" i="42"/>
  <c r="C31" i="42"/>
  <c r="C30" i="42"/>
  <c r="C22" i="42"/>
  <c r="C23" i="42"/>
  <c r="C24" i="42"/>
  <c r="C25" i="42"/>
  <c r="C26" i="42"/>
  <c r="C27" i="42"/>
  <c r="E27" i="42" s="1"/>
  <c r="C28" i="42"/>
  <c r="C21" i="42"/>
  <c r="C20" i="42"/>
  <c r="C18" i="42"/>
  <c r="C17" i="42"/>
  <c r="C11" i="42"/>
  <c r="C12" i="42"/>
  <c r="C13" i="42"/>
  <c r="C14" i="42"/>
  <c r="C15" i="42"/>
  <c r="C10" i="42"/>
  <c r="C113" i="42"/>
  <c r="A89" i="42"/>
  <c r="A88" i="42"/>
  <c r="B88" i="42" s="1"/>
  <c r="E58" i="9" s="1"/>
  <c r="A87" i="42"/>
  <c r="B87" i="42" s="1"/>
  <c r="E57" i="9" s="1"/>
  <c r="D81" i="42"/>
  <c r="C81" i="42"/>
  <c r="B81" i="42"/>
  <c r="E24" i="9" s="1"/>
  <c r="D80" i="42"/>
  <c r="C80" i="42"/>
  <c r="B80" i="42"/>
  <c r="E18" i="9" s="1"/>
  <c r="D78" i="42"/>
  <c r="C78" i="42"/>
  <c r="B78" i="42"/>
  <c r="B83" i="42" s="1"/>
  <c r="E41" i="9" s="1"/>
  <c r="D77" i="42"/>
  <c r="C77" i="42"/>
  <c r="B77" i="42"/>
  <c r="D75" i="42"/>
  <c r="C75" i="42"/>
  <c r="B75" i="42"/>
  <c r="E37" i="9" s="1"/>
  <c r="D72" i="42"/>
  <c r="C72" i="42"/>
  <c r="B72" i="42"/>
  <c r="E34" i="9" s="1"/>
  <c r="D71" i="42"/>
  <c r="C71" i="42"/>
  <c r="B71" i="42"/>
  <c r="E33" i="9" s="1"/>
  <c r="D65" i="42"/>
  <c r="C65" i="42"/>
  <c r="B65" i="42"/>
  <c r="E23" i="9" s="1"/>
  <c r="D58" i="42"/>
  <c r="C58" i="42"/>
  <c r="B58" i="42"/>
  <c r="W49" i="42"/>
  <c r="V49" i="42"/>
  <c r="U49" i="42"/>
  <c r="T49" i="42"/>
  <c r="B106" i="42"/>
  <c r="E50" i="9" s="1"/>
  <c r="B49" i="42"/>
  <c r="W48" i="42"/>
  <c r="V48" i="42"/>
  <c r="U48" i="42"/>
  <c r="T48" i="42"/>
  <c r="B48" i="42"/>
  <c r="W47" i="42"/>
  <c r="V47" i="42"/>
  <c r="U47" i="42"/>
  <c r="T47" i="42"/>
  <c r="E47" i="42"/>
  <c r="B47" i="42"/>
  <c r="W46" i="42"/>
  <c r="V46" i="42"/>
  <c r="U46" i="42"/>
  <c r="T46" i="42"/>
  <c r="B46" i="42"/>
  <c r="W45" i="42"/>
  <c r="V45" i="42"/>
  <c r="U45" i="42"/>
  <c r="T45" i="42"/>
  <c r="E45" i="42"/>
  <c r="C102" i="42" s="1"/>
  <c r="B102" i="42"/>
  <c r="E47" i="9" s="1"/>
  <c r="B45" i="42"/>
  <c r="W44" i="42"/>
  <c r="V44" i="42"/>
  <c r="U44" i="42"/>
  <c r="T44" i="42"/>
  <c r="B101" i="42"/>
  <c r="E46" i="9" s="1"/>
  <c r="B44" i="42"/>
  <c r="W43" i="42"/>
  <c r="V43" i="42"/>
  <c r="U43" i="42"/>
  <c r="T43" i="42"/>
  <c r="B100" i="42"/>
  <c r="B108" i="42" s="1"/>
  <c r="E52" i="9" s="1"/>
  <c r="B43" i="42"/>
  <c r="W42" i="42"/>
  <c r="V42" i="42"/>
  <c r="U42" i="42"/>
  <c r="T42" i="42"/>
  <c r="E42" i="42"/>
  <c r="X42" i="42" s="1"/>
  <c r="AB42" i="42" s="1"/>
  <c r="B99" i="42"/>
  <c r="B107" i="42" s="1"/>
  <c r="E51" i="9" s="1"/>
  <c r="B42" i="42"/>
  <c r="W41" i="42"/>
  <c r="V41" i="42"/>
  <c r="U41" i="42"/>
  <c r="T41" i="42"/>
  <c r="B98" i="42"/>
  <c r="E45" i="9" s="1"/>
  <c r="B41" i="42"/>
  <c r="W40" i="42"/>
  <c r="V40" i="42"/>
  <c r="U40" i="42"/>
  <c r="T40" i="42"/>
  <c r="E40" i="42"/>
  <c r="C97" i="42" s="1"/>
  <c r="B97" i="42"/>
  <c r="E44" i="9" s="1"/>
  <c r="B40" i="42"/>
  <c r="AA39" i="42"/>
  <c r="Z39" i="42"/>
  <c r="Y39" i="42"/>
  <c r="X39" i="42"/>
  <c r="W38" i="42"/>
  <c r="V38" i="42"/>
  <c r="U38" i="42"/>
  <c r="T38" i="42"/>
  <c r="B89" i="42"/>
  <c r="E59" i="9" s="1"/>
  <c r="B38" i="42"/>
  <c r="W37" i="42"/>
  <c r="V37" i="42"/>
  <c r="U37" i="42"/>
  <c r="T37" i="42"/>
  <c r="Q37" i="42"/>
  <c r="O37" i="42"/>
  <c r="J37" i="42"/>
  <c r="H37" i="42"/>
  <c r="E37" i="42"/>
  <c r="B37" i="42"/>
  <c r="W35" i="42"/>
  <c r="V35" i="42"/>
  <c r="U35" i="42"/>
  <c r="T35" i="42"/>
  <c r="Q35" i="42"/>
  <c r="O35" i="42"/>
  <c r="J35" i="42"/>
  <c r="H35" i="42"/>
  <c r="E35" i="42"/>
  <c r="Y35" i="42" s="1"/>
  <c r="AC35" i="42" s="1"/>
  <c r="B90" i="42"/>
  <c r="E60" i="9" s="1"/>
  <c r="B35" i="42"/>
  <c r="W31" i="42"/>
  <c r="V31" i="42"/>
  <c r="U31" i="42"/>
  <c r="T31" i="42"/>
  <c r="Q31" i="42"/>
  <c r="O31" i="42"/>
  <c r="J31" i="42"/>
  <c r="H31" i="42"/>
  <c r="E31" i="42"/>
  <c r="I31" i="42" s="1"/>
  <c r="B31" i="42"/>
  <c r="W30" i="42"/>
  <c r="V30" i="42"/>
  <c r="U30" i="42"/>
  <c r="T30" i="42"/>
  <c r="Q30" i="42"/>
  <c r="O30" i="42"/>
  <c r="J30" i="42"/>
  <c r="H30" i="42"/>
  <c r="B86" i="42"/>
  <c r="E55" i="9" s="1"/>
  <c r="B30" i="42"/>
  <c r="W28" i="42"/>
  <c r="V28" i="42"/>
  <c r="U28" i="42"/>
  <c r="T28" i="42"/>
  <c r="Q28" i="42"/>
  <c r="O28" i="42"/>
  <c r="J28" i="42"/>
  <c r="H28" i="42"/>
  <c r="E28" i="42"/>
  <c r="Y28" i="42" s="1"/>
  <c r="AC28" i="42" s="1"/>
  <c r="B28" i="42"/>
  <c r="W27" i="42"/>
  <c r="V27" i="42"/>
  <c r="U27" i="42"/>
  <c r="T27" i="42"/>
  <c r="Q27" i="42"/>
  <c r="O27" i="42"/>
  <c r="J27" i="42"/>
  <c r="H27" i="42"/>
  <c r="B27" i="42"/>
  <c r="W26" i="42"/>
  <c r="V26" i="42"/>
  <c r="U26" i="42"/>
  <c r="T26" i="42"/>
  <c r="Q26" i="42"/>
  <c r="O26" i="42"/>
  <c r="J26" i="42"/>
  <c r="H26" i="42"/>
  <c r="E26" i="42"/>
  <c r="B26" i="42"/>
  <c r="W25" i="42"/>
  <c r="V25" i="42"/>
  <c r="U25" i="42"/>
  <c r="T25" i="42"/>
  <c r="Q25" i="42"/>
  <c r="O25" i="42"/>
  <c r="J25" i="42"/>
  <c r="H25" i="42"/>
  <c r="E25" i="42"/>
  <c r="Y25" i="42" s="1"/>
  <c r="AC25" i="42" s="1"/>
  <c r="B25" i="42"/>
  <c r="W24" i="42"/>
  <c r="V24" i="42"/>
  <c r="U24" i="42"/>
  <c r="T24" i="42"/>
  <c r="Q24" i="42"/>
  <c r="O24" i="42"/>
  <c r="J24" i="42"/>
  <c r="H24" i="42"/>
  <c r="B24" i="42"/>
  <c r="E24" i="42" s="1"/>
  <c r="W23" i="42"/>
  <c r="V23" i="42"/>
  <c r="U23" i="42"/>
  <c r="T23" i="42"/>
  <c r="Q23" i="42"/>
  <c r="O23" i="42"/>
  <c r="J23" i="42"/>
  <c r="H23" i="42"/>
  <c r="E23" i="42"/>
  <c r="B23" i="42"/>
  <c r="W22" i="42"/>
  <c r="V22" i="42"/>
  <c r="U22" i="42"/>
  <c r="T22" i="42"/>
  <c r="X22" i="42" s="1"/>
  <c r="AB22" i="42" s="1"/>
  <c r="Q22" i="42"/>
  <c r="O22" i="42"/>
  <c r="J22" i="42"/>
  <c r="H22" i="42"/>
  <c r="E22" i="42"/>
  <c r="Y22" i="42" s="1"/>
  <c r="AC22" i="42" s="1"/>
  <c r="B22" i="42"/>
  <c r="W21" i="42"/>
  <c r="V21" i="42"/>
  <c r="U21" i="42"/>
  <c r="T21" i="42"/>
  <c r="Q21" i="42"/>
  <c r="O21" i="42"/>
  <c r="J21" i="42"/>
  <c r="H21" i="42"/>
  <c r="E21" i="42"/>
  <c r="B21" i="42"/>
  <c r="W20" i="42"/>
  <c r="V20" i="42"/>
  <c r="U20" i="42"/>
  <c r="T20" i="42"/>
  <c r="Q20" i="42"/>
  <c r="O20" i="42"/>
  <c r="J20" i="42"/>
  <c r="H20" i="42"/>
  <c r="E20" i="42"/>
  <c r="Y20" i="42" s="1"/>
  <c r="AC20" i="42" s="1"/>
  <c r="B20" i="42"/>
  <c r="AA19" i="42"/>
  <c r="Z19" i="42"/>
  <c r="Y19" i="42"/>
  <c r="X19" i="42"/>
  <c r="W18" i="42"/>
  <c r="V18" i="42"/>
  <c r="U18" i="42"/>
  <c r="T18" i="42"/>
  <c r="O18" i="42"/>
  <c r="J18" i="42"/>
  <c r="H18" i="42"/>
  <c r="E18" i="42"/>
  <c r="AA18" i="42" s="1"/>
  <c r="AE18" i="42" s="1"/>
  <c r="B18" i="42"/>
  <c r="W17" i="42"/>
  <c r="V17" i="42"/>
  <c r="U17" i="42"/>
  <c r="T17" i="42"/>
  <c r="Q17" i="42"/>
  <c r="O17" i="42"/>
  <c r="J17" i="42"/>
  <c r="H17" i="42"/>
  <c r="B17" i="42"/>
  <c r="E17" i="42" s="1"/>
  <c r="W15" i="42"/>
  <c r="V15" i="42"/>
  <c r="U15" i="42"/>
  <c r="T15" i="42"/>
  <c r="Q15" i="42"/>
  <c r="O15" i="42"/>
  <c r="J15" i="42"/>
  <c r="H15" i="42"/>
  <c r="E15" i="42"/>
  <c r="B15" i="42"/>
  <c r="W14" i="42"/>
  <c r="V14" i="42"/>
  <c r="U14" i="42"/>
  <c r="T14" i="42"/>
  <c r="Q14" i="42"/>
  <c r="O14" i="42"/>
  <c r="J14" i="42"/>
  <c r="H14" i="42"/>
  <c r="E14" i="42"/>
  <c r="I14" i="42" s="1"/>
  <c r="B14" i="42"/>
  <c r="W13" i="42"/>
  <c r="V13" i="42"/>
  <c r="U13" i="42"/>
  <c r="T13" i="42"/>
  <c r="Q13" i="42"/>
  <c r="O13" i="42"/>
  <c r="J13" i="42"/>
  <c r="H13" i="42"/>
  <c r="E13" i="42"/>
  <c r="B13" i="42"/>
  <c r="W12" i="42"/>
  <c r="V12" i="42"/>
  <c r="U12" i="42"/>
  <c r="T12" i="42"/>
  <c r="Q12" i="42"/>
  <c r="O12" i="42"/>
  <c r="J12" i="42"/>
  <c r="H12" i="42"/>
  <c r="E12" i="42"/>
  <c r="Y12" i="42" s="1"/>
  <c r="AC12" i="42" s="1"/>
  <c r="B12" i="42"/>
  <c r="W11" i="42"/>
  <c r="V11" i="42"/>
  <c r="U11" i="42"/>
  <c r="T11" i="42"/>
  <c r="Q11" i="42"/>
  <c r="O11" i="42"/>
  <c r="J11" i="42"/>
  <c r="H11" i="42"/>
  <c r="E11" i="42"/>
  <c r="B11" i="42"/>
  <c r="W10" i="42"/>
  <c r="V10" i="42"/>
  <c r="U10" i="42"/>
  <c r="T10" i="42"/>
  <c r="Q10" i="42"/>
  <c r="O10" i="42"/>
  <c r="J10" i="42"/>
  <c r="H10" i="42"/>
  <c r="E10" i="42"/>
  <c r="B10" i="42"/>
  <c r="D5" i="42"/>
  <c r="C5" i="42"/>
  <c r="D4" i="42"/>
  <c r="P22" i="41"/>
  <c r="M22" i="41"/>
  <c r="J22" i="41"/>
  <c r="J16" i="41"/>
  <c r="M14" i="41"/>
  <c r="C14" i="41"/>
  <c r="C13" i="41"/>
  <c r="C10" i="41"/>
  <c r="C8" i="41"/>
  <c r="C7" i="41"/>
  <c r="C6" i="41"/>
  <c r="C5" i="41"/>
  <c r="C9" i="41" s="1"/>
  <c r="C4" i="41"/>
  <c r="G18" i="34"/>
  <c r="G18" i="15"/>
  <c r="M42" i="9"/>
  <c r="B105" i="40"/>
  <c r="A104" i="40"/>
  <c r="A103" i="40"/>
  <c r="A102" i="40"/>
  <c r="A101" i="40"/>
  <c r="A100" i="40"/>
  <c r="A99" i="40"/>
  <c r="A98" i="40"/>
  <c r="A97" i="40"/>
  <c r="A96" i="40"/>
  <c r="A95" i="40"/>
  <c r="D83" i="40"/>
  <c r="C83" i="40"/>
  <c r="B83" i="40"/>
  <c r="D81" i="40"/>
  <c r="C81" i="40"/>
  <c r="B81" i="40"/>
  <c r="M18" i="9" s="1"/>
  <c r="D78" i="40"/>
  <c r="C78" i="40"/>
  <c r="B78" i="40"/>
  <c r="D73" i="40"/>
  <c r="C73" i="40"/>
  <c r="B73" i="40"/>
  <c r="M34" i="9" s="1"/>
  <c r="D72" i="40"/>
  <c r="C72" i="40"/>
  <c r="B72" i="40"/>
  <c r="M33" i="9" s="1"/>
  <c r="D65" i="40"/>
  <c r="C65" i="40"/>
  <c r="B65" i="40"/>
  <c r="M23" i="9" s="1"/>
  <c r="D58" i="40"/>
  <c r="C58" i="40"/>
  <c r="B58" i="40"/>
  <c r="W48" i="40"/>
  <c r="V48" i="40"/>
  <c r="U48" i="40"/>
  <c r="T48" i="40"/>
  <c r="D48" i="40"/>
  <c r="B48" i="40"/>
  <c r="W47" i="40"/>
  <c r="V47" i="40"/>
  <c r="U47" i="40"/>
  <c r="T47" i="40"/>
  <c r="D47" i="40"/>
  <c r="B47" i="40"/>
  <c r="W46" i="40"/>
  <c r="V46" i="40"/>
  <c r="U46" i="40"/>
  <c r="T46" i="40"/>
  <c r="D46" i="40"/>
  <c r="B46" i="40"/>
  <c r="W45" i="40"/>
  <c r="V45" i="40"/>
  <c r="U45" i="40"/>
  <c r="T45" i="40"/>
  <c r="D45" i="40"/>
  <c r="B45" i="40"/>
  <c r="W44" i="40"/>
  <c r="V44" i="40"/>
  <c r="U44" i="40"/>
  <c r="T44" i="40"/>
  <c r="D44" i="40"/>
  <c r="B44" i="40"/>
  <c r="W43" i="40"/>
  <c r="V43" i="40"/>
  <c r="U43" i="40"/>
  <c r="T43" i="40"/>
  <c r="D43" i="40"/>
  <c r="B43" i="40"/>
  <c r="W42" i="40"/>
  <c r="V42" i="40"/>
  <c r="U42" i="40"/>
  <c r="T42" i="40"/>
  <c r="D42" i="40"/>
  <c r="B42" i="40"/>
  <c r="W41" i="40"/>
  <c r="V41" i="40"/>
  <c r="U41" i="40"/>
  <c r="T41" i="40"/>
  <c r="D41" i="40"/>
  <c r="B41" i="40"/>
  <c r="W40" i="40"/>
  <c r="V40" i="40"/>
  <c r="U40" i="40"/>
  <c r="T40" i="40"/>
  <c r="D40" i="40"/>
  <c r="B40" i="40"/>
  <c r="W39" i="40"/>
  <c r="V39" i="40"/>
  <c r="U39" i="40"/>
  <c r="T39" i="40"/>
  <c r="D39" i="40"/>
  <c r="B39" i="40"/>
  <c r="W37" i="40"/>
  <c r="V37" i="40"/>
  <c r="U37" i="40"/>
  <c r="T37" i="40"/>
  <c r="Q37" i="40"/>
  <c r="O37" i="40"/>
  <c r="J37" i="40"/>
  <c r="H37" i="40"/>
  <c r="W36" i="40"/>
  <c r="V36" i="40"/>
  <c r="U36" i="40"/>
  <c r="T36" i="40"/>
  <c r="Q36" i="40"/>
  <c r="O36" i="40"/>
  <c r="J36" i="40"/>
  <c r="H36" i="40"/>
  <c r="B36" i="40"/>
  <c r="W35" i="40"/>
  <c r="V35" i="40"/>
  <c r="U35" i="40"/>
  <c r="T35" i="40"/>
  <c r="Q35" i="40"/>
  <c r="O35" i="40"/>
  <c r="J35" i="40"/>
  <c r="H35" i="40"/>
  <c r="B35" i="40"/>
  <c r="W34" i="40"/>
  <c r="V34" i="40"/>
  <c r="U34" i="40"/>
  <c r="T34" i="40"/>
  <c r="Q34" i="40"/>
  <c r="O34" i="40"/>
  <c r="J34" i="40"/>
  <c r="H34" i="40"/>
  <c r="B34" i="40"/>
  <c r="W33" i="40"/>
  <c r="V33" i="40"/>
  <c r="U33" i="40"/>
  <c r="T33" i="40"/>
  <c r="Q33" i="40"/>
  <c r="O33" i="40"/>
  <c r="J33" i="40"/>
  <c r="H33" i="40"/>
  <c r="B33" i="40"/>
  <c r="W32" i="40"/>
  <c r="V32" i="40"/>
  <c r="U32" i="40"/>
  <c r="T32" i="40"/>
  <c r="Q32" i="40"/>
  <c r="O32" i="40"/>
  <c r="J32" i="40"/>
  <c r="H32" i="40"/>
  <c r="B32" i="40"/>
  <c r="W31" i="40"/>
  <c r="V31" i="40"/>
  <c r="U31" i="40"/>
  <c r="T31" i="40"/>
  <c r="Q31" i="40"/>
  <c r="O31" i="40"/>
  <c r="J31" i="40"/>
  <c r="H31" i="40"/>
  <c r="B31" i="40"/>
  <c r="W30" i="40"/>
  <c r="V30" i="40"/>
  <c r="U30" i="40"/>
  <c r="T30" i="40"/>
  <c r="Q30" i="40"/>
  <c r="O30" i="40"/>
  <c r="J30" i="40"/>
  <c r="H30" i="40"/>
  <c r="B30" i="40"/>
  <c r="W29" i="40"/>
  <c r="V29" i="40"/>
  <c r="U29" i="40"/>
  <c r="T29" i="40"/>
  <c r="Q29" i="40"/>
  <c r="O29" i="40"/>
  <c r="J29" i="40"/>
  <c r="H29" i="40"/>
  <c r="B29" i="40"/>
  <c r="J28" i="40"/>
  <c r="H28" i="40"/>
  <c r="B28" i="40"/>
  <c r="W27" i="40"/>
  <c r="V27" i="40"/>
  <c r="U27" i="40"/>
  <c r="T27" i="40"/>
  <c r="Q27" i="40"/>
  <c r="O27" i="40"/>
  <c r="J27" i="40"/>
  <c r="H27" i="40"/>
  <c r="B27" i="40"/>
  <c r="W26" i="40"/>
  <c r="V26" i="40"/>
  <c r="U26" i="40"/>
  <c r="T26" i="40"/>
  <c r="Q26" i="40"/>
  <c r="O26" i="40"/>
  <c r="J26" i="40"/>
  <c r="H26" i="40"/>
  <c r="B26" i="40"/>
  <c r="Q25" i="40"/>
  <c r="W24" i="40"/>
  <c r="V24" i="40"/>
  <c r="U24" i="40"/>
  <c r="T24" i="40"/>
  <c r="Q24" i="40"/>
  <c r="O24" i="40"/>
  <c r="J24" i="40"/>
  <c r="B24" i="40"/>
  <c r="W23" i="40"/>
  <c r="V23" i="40"/>
  <c r="U23" i="40"/>
  <c r="T23" i="40"/>
  <c r="Q23" i="40"/>
  <c r="O23" i="40"/>
  <c r="J23" i="40"/>
  <c r="H23" i="40"/>
  <c r="B23" i="40"/>
  <c r="W22" i="40"/>
  <c r="V22" i="40"/>
  <c r="U22" i="40"/>
  <c r="T22" i="40"/>
  <c r="Q22" i="40"/>
  <c r="O22" i="40"/>
  <c r="J22" i="40"/>
  <c r="H22" i="40"/>
  <c r="B22" i="40"/>
  <c r="W21" i="40"/>
  <c r="V21" i="40"/>
  <c r="U21" i="40"/>
  <c r="T21" i="40"/>
  <c r="Q21" i="40"/>
  <c r="O21" i="40"/>
  <c r="J21" i="40"/>
  <c r="H21" i="40"/>
  <c r="B21" i="40"/>
  <c r="W20" i="40"/>
  <c r="V20" i="40"/>
  <c r="U20" i="40"/>
  <c r="T20" i="40"/>
  <c r="Q20" i="40"/>
  <c r="O20" i="40"/>
  <c r="J20" i="40"/>
  <c r="H20" i="40"/>
  <c r="B20" i="40"/>
  <c r="W19" i="40"/>
  <c r="V19" i="40"/>
  <c r="U19" i="40"/>
  <c r="T19" i="40"/>
  <c r="Q19" i="40"/>
  <c r="O19" i="40"/>
  <c r="J19" i="40"/>
  <c r="H19" i="40"/>
  <c r="B19" i="40"/>
  <c r="W18" i="40"/>
  <c r="V18" i="40"/>
  <c r="U18" i="40"/>
  <c r="T18" i="40"/>
  <c r="Q18" i="40"/>
  <c r="O18" i="40"/>
  <c r="J18" i="40"/>
  <c r="H18" i="40"/>
  <c r="B18" i="40"/>
  <c r="W17" i="40"/>
  <c r="V17" i="40"/>
  <c r="U17" i="40"/>
  <c r="T17" i="40"/>
  <c r="Q17" i="40"/>
  <c r="O17" i="40"/>
  <c r="J17" i="40"/>
  <c r="H17" i="40"/>
  <c r="B17" i="40"/>
  <c r="W16" i="40"/>
  <c r="V16" i="40"/>
  <c r="U16" i="40"/>
  <c r="T16" i="40"/>
  <c r="Q16" i="40"/>
  <c r="O16" i="40"/>
  <c r="J16" i="40"/>
  <c r="H16" i="40"/>
  <c r="B16" i="40"/>
  <c r="W15" i="40"/>
  <c r="V15" i="40"/>
  <c r="U15" i="40"/>
  <c r="T15" i="40"/>
  <c r="Q15" i="40"/>
  <c r="O15" i="40"/>
  <c r="B15" i="40"/>
  <c r="B11" i="40"/>
  <c r="B10" i="40"/>
  <c r="D5" i="40"/>
  <c r="C5" i="40"/>
  <c r="D4" i="40"/>
  <c r="E59" i="39"/>
  <c r="J28" i="39"/>
  <c r="J22" i="39"/>
  <c r="N19" i="39"/>
  <c r="M16" i="39"/>
  <c r="J16" i="39"/>
  <c r="T14" i="39"/>
  <c r="S14" i="39"/>
  <c r="C14" i="39"/>
  <c r="T13" i="39"/>
  <c r="S13" i="39"/>
  <c r="C13" i="39"/>
  <c r="S12" i="39"/>
  <c r="T12" i="39" s="1"/>
  <c r="T11" i="39"/>
  <c r="S11" i="39"/>
  <c r="S10" i="39"/>
  <c r="T10" i="39" s="1"/>
  <c r="S9" i="39"/>
  <c r="T9" i="39" s="1"/>
  <c r="T8" i="39"/>
  <c r="S8" i="39"/>
  <c r="C8" i="39"/>
  <c r="T7" i="39"/>
  <c r="S7" i="39"/>
  <c r="C7" i="39"/>
  <c r="S6" i="39"/>
  <c r="T6" i="39" s="1"/>
  <c r="C6" i="39"/>
  <c r="S5" i="39"/>
  <c r="T5" i="39" s="1"/>
  <c r="C5" i="39"/>
  <c r="C4" i="39"/>
  <c r="K53" i="9"/>
  <c r="K42" i="9"/>
  <c r="J42" i="9"/>
  <c r="L42" i="9"/>
  <c r="B105" i="38"/>
  <c r="A104" i="38"/>
  <c r="A103" i="38"/>
  <c r="A102" i="38"/>
  <c r="A101" i="38"/>
  <c r="A100" i="38"/>
  <c r="A99" i="38"/>
  <c r="A98" i="38"/>
  <c r="A97" i="38"/>
  <c r="A96" i="38"/>
  <c r="A95" i="38"/>
  <c r="D83" i="38"/>
  <c r="C83" i="38"/>
  <c r="B83" i="38"/>
  <c r="D81" i="38"/>
  <c r="C81" i="38"/>
  <c r="B81" i="38"/>
  <c r="L18" i="9" s="1"/>
  <c r="D78" i="38"/>
  <c r="C78" i="38"/>
  <c r="B78" i="38"/>
  <c r="D73" i="38"/>
  <c r="C73" i="38"/>
  <c r="B73" i="38"/>
  <c r="L34" i="9" s="1"/>
  <c r="D72" i="38"/>
  <c r="C72" i="38"/>
  <c r="B72" i="38"/>
  <c r="L33" i="9" s="1"/>
  <c r="D65" i="38"/>
  <c r="C65" i="38"/>
  <c r="B65" i="38"/>
  <c r="L23" i="9" s="1"/>
  <c r="D58" i="38"/>
  <c r="C58" i="38"/>
  <c r="B58" i="38"/>
  <c r="W48" i="38"/>
  <c r="V48" i="38"/>
  <c r="U48" i="38"/>
  <c r="T48" i="38"/>
  <c r="D48" i="38"/>
  <c r="B48" i="38"/>
  <c r="W47" i="38"/>
  <c r="V47" i="38"/>
  <c r="U47" i="38"/>
  <c r="T47" i="38"/>
  <c r="D47" i="38"/>
  <c r="B47" i="38"/>
  <c r="W46" i="38"/>
  <c r="V46" i="38"/>
  <c r="U46" i="38"/>
  <c r="T46" i="38"/>
  <c r="D46" i="38"/>
  <c r="B46" i="38"/>
  <c r="W45" i="38"/>
  <c r="V45" i="38"/>
  <c r="U45" i="38"/>
  <c r="T45" i="38"/>
  <c r="D45" i="38"/>
  <c r="B45" i="38"/>
  <c r="W44" i="38"/>
  <c r="V44" i="38"/>
  <c r="U44" i="38"/>
  <c r="T44" i="38"/>
  <c r="D44" i="38"/>
  <c r="B44" i="38"/>
  <c r="W43" i="38"/>
  <c r="V43" i="38"/>
  <c r="U43" i="38"/>
  <c r="T43" i="38"/>
  <c r="D43" i="38"/>
  <c r="B43" i="38"/>
  <c r="W42" i="38"/>
  <c r="V42" i="38"/>
  <c r="U42" i="38"/>
  <c r="T42" i="38"/>
  <c r="D42" i="38"/>
  <c r="B42" i="38"/>
  <c r="W41" i="38"/>
  <c r="V41" i="38"/>
  <c r="U41" i="38"/>
  <c r="T41" i="38"/>
  <c r="D41" i="38"/>
  <c r="B41" i="38"/>
  <c r="W40" i="38"/>
  <c r="V40" i="38"/>
  <c r="U40" i="38"/>
  <c r="T40" i="38"/>
  <c r="D40" i="38"/>
  <c r="B40" i="38"/>
  <c r="W39" i="38"/>
  <c r="V39" i="38"/>
  <c r="U39" i="38"/>
  <c r="T39" i="38"/>
  <c r="D39" i="38"/>
  <c r="B39" i="38"/>
  <c r="W37" i="38"/>
  <c r="V37" i="38"/>
  <c r="U37" i="38"/>
  <c r="T37" i="38"/>
  <c r="Q37" i="38"/>
  <c r="O37" i="38"/>
  <c r="J37" i="38"/>
  <c r="H37" i="38"/>
  <c r="W36" i="38"/>
  <c r="V36" i="38"/>
  <c r="U36" i="38"/>
  <c r="T36" i="38"/>
  <c r="Q36" i="38"/>
  <c r="O36" i="38"/>
  <c r="J36" i="38"/>
  <c r="H36" i="38"/>
  <c r="B36" i="38"/>
  <c r="W35" i="38"/>
  <c r="V35" i="38"/>
  <c r="U35" i="38"/>
  <c r="T35" i="38"/>
  <c r="Q35" i="38"/>
  <c r="O35" i="38"/>
  <c r="J35" i="38"/>
  <c r="H35" i="38"/>
  <c r="B35" i="38"/>
  <c r="W34" i="38"/>
  <c r="V34" i="38"/>
  <c r="U34" i="38"/>
  <c r="T34" i="38"/>
  <c r="Q34" i="38"/>
  <c r="O34" i="38"/>
  <c r="J34" i="38"/>
  <c r="H34" i="38"/>
  <c r="B34" i="38"/>
  <c r="W33" i="38"/>
  <c r="V33" i="38"/>
  <c r="U33" i="38"/>
  <c r="T33" i="38"/>
  <c r="Q33" i="38"/>
  <c r="O33" i="38"/>
  <c r="J33" i="38"/>
  <c r="H33" i="38"/>
  <c r="B33" i="38"/>
  <c r="W32" i="38"/>
  <c r="V32" i="38"/>
  <c r="U32" i="38"/>
  <c r="T32" i="38"/>
  <c r="Q32" i="38"/>
  <c r="O32" i="38"/>
  <c r="J32" i="38"/>
  <c r="H32" i="38"/>
  <c r="B32" i="38"/>
  <c r="W31" i="38"/>
  <c r="V31" i="38"/>
  <c r="U31" i="38"/>
  <c r="T31" i="38"/>
  <c r="Q31" i="38"/>
  <c r="O31" i="38"/>
  <c r="J31" i="38"/>
  <c r="H31" i="38"/>
  <c r="B31" i="38"/>
  <c r="W30" i="38"/>
  <c r="V30" i="38"/>
  <c r="U30" i="38"/>
  <c r="T30" i="38"/>
  <c r="Q30" i="38"/>
  <c r="O30" i="38"/>
  <c r="J30" i="38"/>
  <c r="H30" i="38"/>
  <c r="B30" i="38"/>
  <c r="W29" i="38"/>
  <c r="V29" i="38"/>
  <c r="U29" i="38"/>
  <c r="T29" i="38"/>
  <c r="Q29" i="38"/>
  <c r="O29" i="38"/>
  <c r="J29" i="38"/>
  <c r="H29" i="38"/>
  <c r="B29" i="38"/>
  <c r="J28" i="38"/>
  <c r="H28" i="38"/>
  <c r="B28" i="38"/>
  <c r="W27" i="38"/>
  <c r="V27" i="38"/>
  <c r="U27" i="38"/>
  <c r="T27" i="38"/>
  <c r="Q27" i="38"/>
  <c r="O27" i="38"/>
  <c r="J27" i="38"/>
  <c r="H27" i="38"/>
  <c r="B27" i="38"/>
  <c r="W26" i="38"/>
  <c r="V26" i="38"/>
  <c r="U26" i="38"/>
  <c r="T26" i="38"/>
  <c r="Q26" i="38"/>
  <c r="O26" i="38"/>
  <c r="J26" i="38"/>
  <c r="H26" i="38"/>
  <c r="B26" i="38"/>
  <c r="Q25" i="38"/>
  <c r="W24" i="38"/>
  <c r="V24" i="38"/>
  <c r="U24" i="38"/>
  <c r="T24" i="38"/>
  <c r="Q24" i="38"/>
  <c r="O24" i="38"/>
  <c r="J24" i="38"/>
  <c r="B24" i="38"/>
  <c r="W23" i="38"/>
  <c r="V23" i="38"/>
  <c r="U23" i="38"/>
  <c r="T23" i="38"/>
  <c r="Q23" i="38"/>
  <c r="O23" i="38"/>
  <c r="J23" i="38"/>
  <c r="H23" i="38"/>
  <c r="B23" i="38"/>
  <c r="W22" i="38"/>
  <c r="V22" i="38"/>
  <c r="U22" i="38"/>
  <c r="T22" i="38"/>
  <c r="Q22" i="38"/>
  <c r="O22" i="38"/>
  <c r="J22" i="38"/>
  <c r="H22" i="38"/>
  <c r="B22" i="38"/>
  <c r="W21" i="38"/>
  <c r="V21" i="38"/>
  <c r="U21" i="38"/>
  <c r="T21" i="38"/>
  <c r="Q21" i="38"/>
  <c r="O21" i="38"/>
  <c r="J21" i="38"/>
  <c r="H21" i="38"/>
  <c r="B21" i="38"/>
  <c r="W20" i="38"/>
  <c r="V20" i="38"/>
  <c r="U20" i="38"/>
  <c r="T20" i="38"/>
  <c r="Q20" i="38"/>
  <c r="O20" i="38"/>
  <c r="J20" i="38"/>
  <c r="H20" i="38"/>
  <c r="B20" i="38"/>
  <c r="W19" i="38"/>
  <c r="V19" i="38"/>
  <c r="U19" i="38"/>
  <c r="T19" i="38"/>
  <c r="Q19" i="38"/>
  <c r="O19" i="38"/>
  <c r="J19" i="38"/>
  <c r="H19" i="38"/>
  <c r="B19" i="38"/>
  <c r="W18" i="38"/>
  <c r="V18" i="38"/>
  <c r="U18" i="38"/>
  <c r="T18" i="38"/>
  <c r="Q18" i="38"/>
  <c r="O18" i="38"/>
  <c r="J18" i="38"/>
  <c r="H18" i="38"/>
  <c r="B18" i="38"/>
  <c r="W17" i="38"/>
  <c r="V17" i="38"/>
  <c r="U17" i="38"/>
  <c r="T17" i="38"/>
  <c r="Q17" i="38"/>
  <c r="O17" i="38"/>
  <c r="J17" i="38"/>
  <c r="H17" i="38"/>
  <c r="B17" i="38"/>
  <c r="W16" i="38"/>
  <c r="V16" i="38"/>
  <c r="U16" i="38"/>
  <c r="T16" i="38"/>
  <c r="Q16" i="38"/>
  <c r="O16" i="38"/>
  <c r="J16" i="38"/>
  <c r="H16" i="38"/>
  <c r="B16" i="38"/>
  <c r="W15" i="38"/>
  <c r="V15" i="38"/>
  <c r="U15" i="38"/>
  <c r="T15" i="38"/>
  <c r="Q15" i="38"/>
  <c r="O15" i="38"/>
  <c r="B15" i="38"/>
  <c r="B11" i="38"/>
  <c r="D5" i="38"/>
  <c r="B10" i="38" s="1"/>
  <c r="C5" i="38"/>
  <c r="D4" i="38"/>
  <c r="F55" i="9"/>
  <c r="G45" i="9"/>
  <c r="G53" i="9"/>
  <c r="F42" i="9"/>
  <c r="G42" i="9"/>
  <c r="H42" i="9"/>
  <c r="G18" i="9"/>
  <c r="C41" i="36"/>
  <c r="C42" i="36"/>
  <c r="E42" i="36" s="1"/>
  <c r="C43" i="36"/>
  <c r="C44" i="36"/>
  <c r="C45" i="36"/>
  <c r="C46" i="36"/>
  <c r="C47" i="36"/>
  <c r="E47" i="36" s="1"/>
  <c r="C48" i="36"/>
  <c r="E48" i="36" s="1"/>
  <c r="C49" i="36"/>
  <c r="C40" i="36"/>
  <c r="E40" i="36" s="1"/>
  <c r="C97" i="36" s="1"/>
  <c r="C38" i="36"/>
  <c r="C34" i="36"/>
  <c r="C35" i="36"/>
  <c r="C37" i="36"/>
  <c r="C33" i="36"/>
  <c r="C31" i="36"/>
  <c r="C30" i="36"/>
  <c r="C22" i="36"/>
  <c r="C23" i="36"/>
  <c r="C24" i="36"/>
  <c r="C25" i="36"/>
  <c r="C26" i="36"/>
  <c r="C27" i="36"/>
  <c r="C28" i="36"/>
  <c r="C21" i="36"/>
  <c r="C20" i="36"/>
  <c r="E20" i="36" s="1"/>
  <c r="C18" i="36"/>
  <c r="C17" i="36"/>
  <c r="C11" i="36"/>
  <c r="C12" i="36"/>
  <c r="C13" i="36"/>
  <c r="C14" i="36"/>
  <c r="C15" i="36"/>
  <c r="C10" i="36"/>
  <c r="C41" i="35"/>
  <c r="C42" i="35"/>
  <c r="C43" i="35"/>
  <c r="E43" i="35" s="1"/>
  <c r="X43" i="35" s="1"/>
  <c r="AB43" i="35" s="1"/>
  <c r="C44" i="35"/>
  <c r="C45" i="35"/>
  <c r="C46" i="35"/>
  <c r="C47" i="35"/>
  <c r="C48" i="35"/>
  <c r="B105" i="35" s="1"/>
  <c r="F49" i="9" s="1"/>
  <c r="C49" i="35"/>
  <c r="C40" i="35"/>
  <c r="C38" i="35"/>
  <c r="E38" i="35" s="1"/>
  <c r="Y38" i="35" s="1"/>
  <c r="AC38" i="35" s="1"/>
  <c r="C37" i="35"/>
  <c r="E37" i="35" s="1"/>
  <c r="C34" i="35"/>
  <c r="C35" i="35"/>
  <c r="C33" i="35"/>
  <c r="C31" i="35"/>
  <c r="C30" i="35"/>
  <c r="C22" i="35"/>
  <c r="C23" i="35"/>
  <c r="C24" i="35"/>
  <c r="E24" i="35" s="1"/>
  <c r="C25" i="35"/>
  <c r="C26" i="35"/>
  <c r="C27" i="35"/>
  <c r="C28" i="35"/>
  <c r="E28" i="35" s="1"/>
  <c r="C21" i="35"/>
  <c r="C20" i="35"/>
  <c r="C18" i="35"/>
  <c r="E18" i="35" s="1"/>
  <c r="C17" i="35"/>
  <c r="E17" i="35" s="1"/>
  <c r="C11" i="35"/>
  <c r="C12" i="35"/>
  <c r="C13" i="35"/>
  <c r="C14" i="35"/>
  <c r="E14" i="35" s="1"/>
  <c r="C15" i="35"/>
  <c r="C10" i="35"/>
  <c r="C113" i="37"/>
  <c r="A89" i="37"/>
  <c r="A88" i="37"/>
  <c r="A87" i="37"/>
  <c r="D81" i="37"/>
  <c r="C81" i="37"/>
  <c r="B81" i="37"/>
  <c r="H24" i="9" s="1"/>
  <c r="D80" i="37"/>
  <c r="C80" i="37"/>
  <c r="B80" i="37"/>
  <c r="H18" i="9" s="1"/>
  <c r="D78" i="37"/>
  <c r="C78" i="37"/>
  <c r="B78" i="37"/>
  <c r="B83" i="37" s="1"/>
  <c r="H41" i="9" s="1"/>
  <c r="D77" i="37"/>
  <c r="C77" i="37"/>
  <c r="B77" i="37"/>
  <c r="D75" i="37"/>
  <c r="C75" i="37"/>
  <c r="B75" i="37"/>
  <c r="H37" i="9" s="1"/>
  <c r="D72" i="37"/>
  <c r="C72" i="37"/>
  <c r="B72" i="37"/>
  <c r="H34" i="9" s="1"/>
  <c r="D71" i="37"/>
  <c r="C71" i="37"/>
  <c r="B71" i="37"/>
  <c r="H33" i="9" s="1"/>
  <c r="D65" i="37"/>
  <c r="C65" i="37"/>
  <c r="B65" i="37"/>
  <c r="H23" i="9" s="1"/>
  <c r="D58" i="37"/>
  <c r="C58" i="37"/>
  <c r="B58" i="37"/>
  <c r="W49" i="37"/>
  <c r="V49" i="37"/>
  <c r="U49" i="37"/>
  <c r="T49" i="37"/>
  <c r="B49" i="37"/>
  <c r="W48" i="37"/>
  <c r="V48" i="37"/>
  <c r="U48" i="37"/>
  <c r="T48" i="37"/>
  <c r="B48" i="37"/>
  <c r="W47" i="37"/>
  <c r="V47" i="37"/>
  <c r="U47" i="37"/>
  <c r="T47" i="37"/>
  <c r="B47" i="37"/>
  <c r="W46" i="37"/>
  <c r="V46" i="37"/>
  <c r="U46" i="37"/>
  <c r="T46" i="37"/>
  <c r="B46" i="37"/>
  <c r="W45" i="37"/>
  <c r="V45" i="37"/>
  <c r="U45" i="37"/>
  <c r="T45" i="37"/>
  <c r="B45" i="37"/>
  <c r="W44" i="37"/>
  <c r="V44" i="37"/>
  <c r="U44" i="37"/>
  <c r="T44" i="37"/>
  <c r="B44" i="37"/>
  <c r="W43" i="37"/>
  <c r="V43" i="37"/>
  <c r="U43" i="37"/>
  <c r="T43" i="37"/>
  <c r="B43" i="37"/>
  <c r="W42" i="37"/>
  <c r="V42" i="37"/>
  <c r="U42" i="37"/>
  <c r="T42" i="37"/>
  <c r="B42" i="37"/>
  <c r="W41" i="37"/>
  <c r="V41" i="37"/>
  <c r="U41" i="37"/>
  <c r="T41" i="37"/>
  <c r="B41" i="37"/>
  <c r="W40" i="37"/>
  <c r="V40" i="37"/>
  <c r="U40" i="37"/>
  <c r="T40" i="37"/>
  <c r="B40" i="37"/>
  <c r="AA39" i="37"/>
  <c r="Z39" i="37"/>
  <c r="Y39" i="37"/>
  <c r="X39" i="37"/>
  <c r="W38" i="37"/>
  <c r="V38" i="37"/>
  <c r="U38" i="37"/>
  <c r="T38" i="37"/>
  <c r="B38" i="37"/>
  <c r="W37" i="37"/>
  <c r="V37" i="37"/>
  <c r="U37" i="37"/>
  <c r="T37" i="37"/>
  <c r="Q37" i="37"/>
  <c r="O37" i="37"/>
  <c r="J37" i="37"/>
  <c r="H37" i="37"/>
  <c r="B37" i="37"/>
  <c r="W35" i="37"/>
  <c r="V35" i="37"/>
  <c r="U35" i="37"/>
  <c r="T35" i="37"/>
  <c r="Q35" i="37"/>
  <c r="O35" i="37"/>
  <c r="J35" i="37"/>
  <c r="H35" i="37"/>
  <c r="B35" i="37"/>
  <c r="W31" i="37"/>
  <c r="V31" i="37"/>
  <c r="U31" i="37"/>
  <c r="T31" i="37"/>
  <c r="Q31" i="37"/>
  <c r="O31" i="37"/>
  <c r="J31" i="37"/>
  <c r="H31" i="37"/>
  <c r="B31" i="37"/>
  <c r="W30" i="37"/>
  <c r="V30" i="37"/>
  <c r="U30" i="37"/>
  <c r="T30" i="37"/>
  <c r="Q30" i="37"/>
  <c r="O30" i="37"/>
  <c r="J30" i="37"/>
  <c r="H30" i="37"/>
  <c r="B30" i="37"/>
  <c r="W28" i="37"/>
  <c r="V28" i="37"/>
  <c r="U28" i="37"/>
  <c r="T28" i="37"/>
  <c r="Q28" i="37"/>
  <c r="O28" i="37"/>
  <c r="J28" i="37"/>
  <c r="H28" i="37"/>
  <c r="B28" i="37"/>
  <c r="W27" i="37"/>
  <c r="V27" i="37"/>
  <c r="U27" i="37"/>
  <c r="T27" i="37"/>
  <c r="Q27" i="37"/>
  <c r="O27" i="37"/>
  <c r="J27" i="37"/>
  <c r="H27" i="37"/>
  <c r="B27" i="37"/>
  <c r="W26" i="37"/>
  <c r="V26" i="37"/>
  <c r="U26" i="37"/>
  <c r="T26" i="37"/>
  <c r="Q26" i="37"/>
  <c r="O26" i="37"/>
  <c r="J26" i="37"/>
  <c r="H26" i="37"/>
  <c r="B26" i="37"/>
  <c r="W25" i="37"/>
  <c r="V25" i="37"/>
  <c r="U25" i="37"/>
  <c r="T25" i="37"/>
  <c r="Q25" i="37"/>
  <c r="O25" i="37"/>
  <c r="J25" i="37"/>
  <c r="H25" i="37"/>
  <c r="B25" i="37"/>
  <c r="W24" i="37"/>
  <c r="V24" i="37"/>
  <c r="U24" i="37"/>
  <c r="T24" i="37"/>
  <c r="Q24" i="37"/>
  <c r="O24" i="37"/>
  <c r="J24" i="37"/>
  <c r="H24" i="37"/>
  <c r="B24" i="37"/>
  <c r="W23" i="37"/>
  <c r="V23" i="37"/>
  <c r="U23" i="37"/>
  <c r="T23" i="37"/>
  <c r="Q23" i="37"/>
  <c r="O23" i="37"/>
  <c r="J23" i="37"/>
  <c r="H23" i="37"/>
  <c r="B23" i="37"/>
  <c r="W22" i="37"/>
  <c r="V22" i="37"/>
  <c r="U22" i="37"/>
  <c r="T22" i="37"/>
  <c r="Q22" i="37"/>
  <c r="O22" i="37"/>
  <c r="J22" i="37"/>
  <c r="H22" i="37"/>
  <c r="B22" i="37"/>
  <c r="W21" i="37"/>
  <c r="V21" i="37"/>
  <c r="U21" i="37"/>
  <c r="T21" i="37"/>
  <c r="Q21" i="37"/>
  <c r="O21" i="37"/>
  <c r="J21" i="37"/>
  <c r="H21" i="37"/>
  <c r="B21" i="37"/>
  <c r="W20" i="37"/>
  <c r="V20" i="37"/>
  <c r="U20" i="37"/>
  <c r="T20" i="37"/>
  <c r="Q20" i="37"/>
  <c r="O20" i="37"/>
  <c r="J20" i="37"/>
  <c r="H20" i="37"/>
  <c r="B20" i="37"/>
  <c r="AA19" i="37"/>
  <c r="Z19" i="37"/>
  <c r="Y19" i="37"/>
  <c r="X19" i="37"/>
  <c r="W18" i="37"/>
  <c r="V18" i="37"/>
  <c r="U18" i="37"/>
  <c r="T18" i="37"/>
  <c r="O18" i="37"/>
  <c r="J18" i="37"/>
  <c r="H18" i="37"/>
  <c r="B18" i="37"/>
  <c r="W17" i="37"/>
  <c r="V17" i="37"/>
  <c r="U17" i="37"/>
  <c r="T17" i="37"/>
  <c r="Q17" i="37"/>
  <c r="O17" i="37"/>
  <c r="J17" i="37"/>
  <c r="H17" i="37"/>
  <c r="B17" i="37"/>
  <c r="W15" i="37"/>
  <c r="V15" i="37"/>
  <c r="U15" i="37"/>
  <c r="T15" i="37"/>
  <c r="Q15" i="37"/>
  <c r="O15" i="37"/>
  <c r="J15" i="37"/>
  <c r="H15" i="37"/>
  <c r="B15" i="37"/>
  <c r="W14" i="37"/>
  <c r="V14" i="37"/>
  <c r="U14" i="37"/>
  <c r="T14" i="37"/>
  <c r="Q14" i="37"/>
  <c r="O14" i="37"/>
  <c r="J14" i="37"/>
  <c r="H14" i="37"/>
  <c r="B14" i="37"/>
  <c r="W13" i="37"/>
  <c r="V13" i="37"/>
  <c r="U13" i="37"/>
  <c r="T13" i="37"/>
  <c r="Q13" i="37"/>
  <c r="O13" i="37"/>
  <c r="J13" i="37"/>
  <c r="H13" i="37"/>
  <c r="B13" i="37"/>
  <c r="W12" i="37"/>
  <c r="V12" i="37"/>
  <c r="U12" i="37"/>
  <c r="T12" i="37"/>
  <c r="Q12" i="37"/>
  <c r="O12" i="37"/>
  <c r="J12" i="37"/>
  <c r="H12" i="37"/>
  <c r="B12" i="37"/>
  <c r="W11" i="37"/>
  <c r="V11" i="37"/>
  <c r="U11" i="37"/>
  <c r="T11" i="37"/>
  <c r="Q11" i="37"/>
  <c r="O11" i="37"/>
  <c r="J11" i="37"/>
  <c r="H11" i="37"/>
  <c r="B11" i="37"/>
  <c r="W10" i="37"/>
  <c r="V10" i="37"/>
  <c r="U10" i="37"/>
  <c r="T10" i="37"/>
  <c r="Q10" i="37"/>
  <c r="O10" i="37"/>
  <c r="J10" i="37"/>
  <c r="H10" i="37"/>
  <c r="B10" i="37"/>
  <c r="D5" i="37"/>
  <c r="C5" i="37"/>
  <c r="D4" i="37"/>
  <c r="C113" i="36"/>
  <c r="A89" i="36"/>
  <c r="B89" i="36" s="1"/>
  <c r="G59" i="9" s="1"/>
  <c r="A88" i="36"/>
  <c r="B88" i="36" s="1"/>
  <c r="G58" i="9" s="1"/>
  <c r="A87" i="36"/>
  <c r="B87" i="36" s="1"/>
  <c r="G57" i="9" s="1"/>
  <c r="D81" i="36"/>
  <c r="C81" i="36"/>
  <c r="B81" i="36"/>
  <c r="G24" i="9" s="1"/>
  <c r="D80" i="36"/>
  <c r="C80" i="36"/>
  <c r="B80" i="36"/>
  <c r="D78" i="36"/>
  <c r="C78" i="36"/>
  <c r="B78" i="36"/>
  <c r="B83" i="36" s="1"/>
  <c r="G41" i="9" s="1"/>
  <c r="D77" i="36"/>
  <c r="C77" i="36"/>
  <c r="B77" i="36"/>
  <c r="D75" i="36"/>
  <c r="C75" i="36"/>
  <c r="B75" i="36"/>
  <c r="G37" i="9" s="1"/>
  <c r="D72" i="36"/>
  <c r="C72" i="36"/>
  <c r="B72" i="36"/>
  <c r="G34" i="9" s="1"/>
  <c r="D71" i="36"/>
  <c r="C71" i="36"/>
  <c r="B71" i="36"/>
  <c r="G33" i="9" s="1"/>
  <c r="D65" i="36"/>
  <c r="C65" i="36"/>
  <c r="B65" i="36"/>
  <c r="G23" i="9" s="1"/>
  <c r="D58" i="36"/>
  <c r="C58" i="36"/>
  <c r="B58" i="36"/>
  <c r="W49" i="36"/>
  <c r="V49" i="36"/>
  <c r="U49" i="36"/>
  <c r="T49" i="36"/>
  <c r="B106" i="36"/>
  <c r="G50" i="9" s="1"/>
  <c r="B49" i="36"/>
  <c r="W48" i="36"/>
  <c r="V48" i="36"/>
  <c r="U48" i="36"/>
  <c r="T48" i="36"/>
  <c r="B48" i="36"/>
  <c r="W47" i="36"/>
  <c r="V47" i="36"/>
  <c r="U47" i="36"/>
  <c r="T47" i="36"/>
  <c r="B47" i="36"/>
  <c r="W46" i="36"/>
  <c r="V46" i="36"/>
  <c r="U46" i="36"/>
  <c r="T46" i="36"/>
  <c r="E46" i="36"/>
  <c r="AA46" i="36" s="1"/>
  <c r="AE46" i="36" s="1"/>
  <c r="B103" i="36"/>
  <c r="B109" i="36" s="1"/>
  <c r="B46" i="36"/>
  <c r="W45" i="36"/>
  <c r="V45" i="36"/>
  <c r="U45" i="36"/>
  <c r="T45" i="36"/>
  <c r="E45" i="36"/>
  <c r="B45" i="36"/>
  <c r="W44" i="36"/>
  <c r="V44" i="36"/>
  <c r="U44" i="36"/>
  <c r="T44" i="36"/>
  <c r="B101" i="36"/>
  <c r="G46" i="9" s="1"/>
  <c r="B44" i="36"/>
  <c r="W43" i="36"/>
  <c r="V43" i="36"/>
  <c r="U43" i="36"/>
  <c r="T43" i="36"/>
  <c r="E43" i="36"/>
  <c r="Y43" i="36" s="1"/>
  <c r="AC43" i="36" s="1"/>
  <c r="B100" i="36"/>
  <c r="B108" i="36" s="1"/>
  <c r="G52" i="9" s="1"/>
  <c r="B43" i="36"/>
  <c r="W42" i="36"/>
  <c r="V42" i="36"/>
  <c r="U42" i="36"/>
  <c r="T42" i="36"/>
  <c r="B42" i="36"/>
  <c r="W41" i="36"/>
  <c r="V41" i="36"/>
  <c r="U41" i="36"/>
  <c r="T41" i="36"/>
  <c r="B98" i="36"/>
  <c r="B41" i="36"/>
  <c r="W40" i="36"/>
  <c r="V40" i="36"/>
  <c r="U40" i="36"/>
  <c r="T40" i="36"/>
  <c r="B40" i="36"/>
  <c r="AA39" i="36"/>
  <c r="Z39" i="36"/>
  <c r="Y39" i="36"/>
  <c r="X39" i="36"/>
  <c r="W38" i="36"/>
  <c r="V38" i="36"/>
  <c r="U38" i="36"/>
  <c r="T38" i="36"/>
  <c r="E38" i="36"/>
  <c r="Y38" i="36" s="1"/>
  <c r="AC38" i="36" s="1"/>
  <c r="B38" i="36"/>
  <c r="W37" i="36"/>
  <c r="V37" i="36"/>
  <c r="U37" i="36"/>
  <c r="T37" i="36"/>
  <c r="Q37" i="36"/>
  <c r="O37" i="36"/>
  <c r="J37" i="36"/>
  <c r="H37" i="36"/>
  <c r="E37" i="36"/>
  <c r="B37" i="36"/>
  <c r="W35" i="36"/>
  <c r="V35" i="36"/>
  <c r="U35" i="36"/>
  <c r="T35" i="36"/>
  <c r="Q35" i="36"/>
  <c r="O35" i="36"/>
  <c r="J35" i="36"/>
  <c r="H35" i="36"/>
  <c r="E35" i="36"/>
  <c r="B35" i="36"/>
  <c r="W31" i="36"/>
  <c r="V31" i="36"/>
  <c r="U31" i="36"/>
  <c r="T31" i="36"/>
  <c r="Q31" i="36"/>
  <c r="O31" i="36"/>
  <c r="J31" i="36"/>
  <c r="H31" i="36"/>
  <c r="B31" i="36"/>
  <c r="E31" i="36" s="1"/>
  <c r="W30" i="36"/>
  <c r="V30" i="36"/>
  <c r="U30" i="36"/>
  <c r="T30" i="36"/>
  <c r="Q30" i="36"/>
  <c r="O30" i="36"/>
  <c r="J30" i="36"/>
  <c r="H30" i="36"/>
  <c r="B86" i="36"/>
  <c r="G55" i="9" s="1"/>
  <c r="B30" i="36"/>
  <c r="W28" i="36"/>
  <c r="V28" i="36"/>
  <c r="U28" i="36"/>
  <c r="T28" i="36"/>
  <c r="Q28" i="36"/>
  <c r="O28" i="36"/>
  <c r="J28" i="36"/>
  <c r="H28" i="36"/>
  <c r="E28" i="36"/>
  <c r="B28" i="36"/>
  <c r="W27" i="36"/>
  <c r="V27" i="36"/>
  <c r="U27" i="36"/>
  <c r="T27" i="36"/>
  <c r="Q27" i="36"/>
  <c r="O27" i="36"/>
  <c r="J27" i="36"/>
  <c r="H27" i="36"/>
  <c r="E27" i="36"/>
  <c r="I27" i="36" s="1"/>
  <c r="B27" i="36"/>
  <c r="W26" i="36"/>
  <c r="V26" i="36"/>
  <c r="U26" i="36"/>
  <c r="Y26" i="36" s="1"/>
  <c r="AC26" i="36" s="1"/>
  <c r="T26" i="36"/>
  <c r="Q26" i="36"/>
  <c r="O26" i="36"/>
  <c r="J26" i="36"/>
  <c r="H26" i="36"/>
  <c r="E26" i="36"/>
  <c r="B26" i="36"/>
  <c r="W25" i="36"/>
  <c r="V25" i="36"/>
  <c r="U25" i="36"/>
  <c r="T25" i="36"/>
  <c r="Q25" i="36"/>
  <c r="O25" i="36"/>
  <c r="J25" i="36"/>
  <c r="H25" i="36"/>
  <c r="E25" i="36"/>
  <c r="B25" i="36"/>
  <c r="W24" i="36"/>
  <c r="V24" i="36"/>
  <c r="U24" i="36"/>
  <c r="T24" i="36"/>
  <c r="Q24" i="36"/>
  <c r="O24" i="36"/>
  <c r="J24" i="36"/>
  <c r="H24" i="36"/>
  <c r="E24" i="36"/>
  <c r="Z24" i="36" s="1"/>
  <c r="AD24" i="36" s="1"/>
  <c r="B24" i="36"/>
  <c r="W23" i="36"/>
  <c r="V23" i="36"/>
  <c r="U23" i="36"/>
  <c r="T23" i="36"/>
  <c r="Q23" i="36"/>
  <c r="O23" i="36"/>
  <c r="J23" i="36"/>
  <c r="H23" i="36"/>
  <c r="E23" i="36"/>
  <c r="B23" i="36"/>
  <c r="W22" i="36"/>
  <c r="V22" i="36"/>
  <c r="U22" i="36"/>
  <c r="T22" i="36"/>
  <c r="Q22" i="36"/>
  <c r="O22" i="36"/>
  <c r="J22" i="36"/>
  <c r="H22" i="36"/>
  <c r="B22" i="36"/>
  <c r="W21" i="36"/>
  <c r="V21" i="36"/>
  <c r="U21" i="36"/>
  <c r="T21" i="36"/>
  <c r="Q21" i="36"/>
  <c r="O21" i="36"/>
  <c r="J21" i="36"/>
  <c r="H21" i="36"/>
  <c r="E21" i="36"/>
  <c r="B21" i="36"/>
  <c r="W20" i="36"/>
  <c r="V20" i="36"/>
  <c r="U20" i="36"/>
  <c r="T20" i="36"/>
  <c r="Q20" i="36"/>
  <c r="O20" i="36"/>
  <c r="J20" i="36"/>
  <c r="H20" i="36"/>
  <c r="B20" i="36"/>
  <c r="AA19" i="36"/>
  <c r="Z19" i="36"/>
  <c r="Y19" i="36"/>
  <c r="X19" i="36"/>
  <c r="W18" i="36"/>
  <c r="V18" i="36"/>
  <c r="U18" i="36"/>
  <c r="T18" i="36"/>
  <c r="O18" i="36"/>
  <c r="J18" i="36"/>
  <c r="H18" i="36"/>
  <c r="E18" i="36"/>
  <c r="B18" i="36"/>
  <c r="W17" i="36"/>
  <c r="V17" i="36"/>
  <c r="U17" i="36"/>
  <c r="T17" i="36"/>
  <c r="Q17" i="36"/>
  <c r="O17" i="36"/>
  <c r="J17" i="36"/>
  <c r="H17" i="36"/>
  <c r="E17" i="36"/>
  <c r="Z17" i="36" s="1"/>
  <c r="AD17" i="36" s="1"/>
  <c r="B17" i="36"/>
  <c r="W15" i="36"/>
  <c r="V15" i="36"/>
  <c r="U15" i="36"/>
  <c r="T15" i="36"/>
  <c r="Q15" i="36"/>
  <c r="O15" i="36"/>
  <c r="J15" i="36"/>
  <c r="H15" i="36"/>
  <c r="B15" i="36"/>
  <c r="W14" i="36"/>
  <c r="V14" i="36"/>
  <c r="U14" i="36"/>
  <c r="T14" i="36"/>
  <c r="Q14" i="36"/>
  <c r="O14" i="36"/>
  <c r="J14" i="36"/>
  <c r="H14" i="36"/>
  <c r="E14" i="36"/>
  <c r="B14" i="36"/>
  <c r="W13" i="36"/>
  <c r="V13" i="36"/>
  <c r="U13" i="36"/>
  <c r="T13" i="36"/>
  <c r="Q13" i="36"/>
  <c r="O13" i="36"/>
  <c r="J13" i="36"/>
  <c r="H13" i="36"/>
  <c r="E13" i="36"/>
  <c r="B13" i="36"/>
  <c r="W12" i="36"/>
  <c r="V12" i="36"/>
  <c r="U12" i="36"/>
  <c r="T12" i="36"/>
  <c r="Q12" i="36"/>
  <c r="O12" i="36"/>
  <c r="J12" i="36"/>
  <c r="H12" i="36"/>
  <c r="E12" i="36"/>
  <c r="B12" i="36"/>
  <c r="W11" i="36"/>
  <c r="V11" i="36"/>
  <c r="U11" i="36"/>
  <c r="T11" i="36"/>
  <c r="Q11" i="36"/>
  <c r="O11" i="36"/>
  <c r="J11" i="36"/>
  <c r="H11" i="36"/>
  <c r="E11" i="36"/>
  <c r="Y11" i="36" s="1"/>
  <c r="AC11" i="36" s="1"/>
  <c r="B11" i="36"/>
  <c r="W10" i="36"/>
  <c r="V10" i="36"/>
  <c r="U10" i="36"/>
  <c r="T10" i="36"/>
  <c r="Q10" i="36"/>
  <c r="O10" i="36"/>
  <c r="J10" i="36"/>
  <c r="H10" i="36"/>
  <c r="B10" i="36"/>
  <c r="D5" i="36"/>
  <c r="C5" i="36"/>
  <c r="D4" i="36"/>
  <c r="C113" i="35"/>
  <c r="A89" i="35"/>
  <c r="B89" i="35" s="1"/>
  <c r="F59" i="9" s="1"/>
  <c r="A88" i="35"/>
  <c r="B88" i="35" s="1"/>
  <c r="F58" i="9" s="1"/>
  <c r="A87" i="35"/>
  <c r="B87" i="35" s="1"/>
  <c r="F57" i="9" s="1"/>
  <c r="D81" i="35"/>
  <c r="C81" i="35"/>
  <c r="B81" i="35"/>
  <c r="F24" i="9" s="1"/>
  <c r="D80" i="35"/>
  <c r="C80" i="35"/>
  <c r="B80" i="35"/>
  <c r="F18" i="9" s="1"/>
  <c r="D78" i="35"/>
  <c r="C78" i="35"/>
  <c r="B78" i="35"/>
  <c r="B83" i="35" s="1"/>
  <c r="F41" i="9" s="1"/>
  <c r="D77" i="35"/>
  <c r="C77" i="35"/>
  <c r="B77" i="35"/>
  <c r="D75" i="35"/>
  <c r="C75" i="35"/>
  <c r="B75" i="35"/>
  <c r="F37" i="9" s="1"/>
  <c r="D72" i="35"/>
  <c r="C72" i="35"/>
  <c r="B72" i="35"/>
  <c r="F34" i="9" s="1"/>
  <c r="D71" i="35"/>
  <c r="C71" i="35"/>
  <c r="B71" i="35"/>
  <c r="F33" i="9" s="1"/>
  <c r="D65" i="35"/>
  <c r="C65" i="35"/>
  <c r="B65" i="35"/>
  <c r="F23" i="9" s="1"/>
  <c r="D58" i="35"/>
  <c r="C58" i="35"/>
  <c r="B58" i="35"/>
  <c r="W49" i="35"/>
  <c r="V49" i="35"/>
  <c r="U49" i="35"/>
  <c r="T49" i="35"/>
  <c r="B106" i="35"/>
  <c r="F50" i="9" s="1"/>
  <c r="B49" i="35"/>
  <c r="W48" i="35"/>
  <c r="V48" i="35"/>
  <c r="U48" i="35"/>
  <c r="T48" i="35"/>
  <c r="E48" i="35"/>
  <c r="C105" i="35" s="1"/>
  <c r="B48" i="35"/>
  <c r="W47" i="35"/>
  <c r="V47" i="35"/>
  <c r="U47" i="35"/>
  <c r="T47" i="35"/>
  <c r="E47" i="35"/>
  <c r="B47" i="35"/>
  <c r="W46" i="35"/>
  <c r="V46" i="35"/>
  <c r="U46" i="35"/>
  <c r="T46" i="35"/>
  <c r="E46" i="35"/>
  <c r="AA46" i="35" s="1"/>
  <c r="AE46" i="35" s="1"/>
  <c r="B103" i="35"/>
  <c r="B109" i="35" s="1"/>
  <c r="F53" i="9" s="1"/>
  <c r="B46" i="35"/>
  <c r="W45" i="35"/>
  <c r="V45" i="35"/>
  <c r="U45" i="35"/>
  <c r="T45" i="35"/>
  <c r="E45" i="35"/>
  <c r="B45" i="35"/>
  <c r="W44" i="35"/>
  <c r="V44" i="35"/>
  <c r="U44" i="35"/>
  <c r="T44" i="35"/>
  <c r="B101" i="35"/>
  <c r="F46" i="9" s="1"/>
  <c r="B44" i="35"/>
  <c r="W43" i="35"/>
  <c r="V43" i="35"/>
  <c r="U43" i="35"/>
  <c r="T43" i="35"/>
  <c r="B100" i="35"/>
  <c r="B108" i="35" s="1"/>
  <c r="F52" i="9" s="1"/>
  <c r="B43" i="35"/>
  <c r="W42" i="35"/>
  <c r="V42" i="35"/>
  <c r="U42" i="35"/>
  <c r="Y42" i="35" s="1"/>
  <c r="AC42" i="35" s="1"/>
  <c r="T42" i="35"/>
  <c r="E42" i="35"/>
  <c r="B42" i="35"/>
  <c r="W41" i="35"/>
  <c r="V41" i="35"/>
  <c r="U41" i="35"/>
  <c r="T41" i="35"/>
  <c r="B98" i="35"/>
  <c r="F45" i="9" s="1"/>
  <c r="B41" i="35"/>
  <c r="W40" i="35"/>
  <c r="V40" i="35"/>
  <c r="U40" i="35"/>
  <c r="T40" i="35"/>
  <c r="E40" i="35"/>
  <c r="C97" i="35" s="1"/>
  <c r="B97" i="35"/>
  <c r="F44" i="9" s="1"/>
  <c r="B40" i="35"/>
  <c r="AA39" i="35"/>
  <c r="Z39" i="35"/>
  <c r="Y39" i="35"/>
  <c r="X39" i="35"/>
  <c r="W38" i="35"/>
  <c r="V38" i="35"/>
  <c r="U38" i="35"/>
  <c r="T38" i="35"/>
  <c r="B38" i="35"/>
  <c r="W37" i="35"/>
  <c r="V37" i="35"/>
  <c r="U37" i="35"/>
  <c r="T37" i="35"/>
  <c r="Q37" i="35"/>
  <c r="O37" i="35"/>
  <c r="J37" i="35"/>
  <c r="H37" i="35"/>
  <c r="B37" i="35"/>
  <c r="W35" i="35"/>
  <c r="V35" i="35"/>
  <c r="U35" i="35"/>
  <c r="T35" i="35"/>
  <c r="Q35" i="35"/>
  <c r="O35" i="35"/>
  <c r="J35" i="35"/>
  <c r="H35" i="35"/>
  <c r="E35" i="35"/>
  <c r="B35" i="35"/>
  <c r="W31" i="35"/>
  <c r="V31" i="35"/>
  <c r="U31" i="35"/>
  <c r="T31" i="35"/>
  <c r="Q31" i="35"/>
  <c r="O31" i="35"/>
  <c r="J31" i="35"/>
  <c r="H31" i="35"/>
  <c r="B31" i="35"/>
  <c r="E31" i="35" s="1"/>
  <c r="W30" i="35"/>
  <c r="V30" i="35"/>
  <c r="U30" i="35"/>
  <c r="T30" i="35"/>
  <c r="Q30" i="35"/>
  <c r="O30" i="35"/>
  <c r="J30" i="35"/>
  <c r="H30" i="35"/>
  <c r="B86" i="35"/>
  <c r="B30" i="35"/>
  <c r="W28" i="35"/>
  <c r="V28" i="35"/>
  <c r="U28" i="35"/>
  <c r="T28" i="35"/>
  <c r="Q28" i="35"/>
  <c r="O28" i="35"/>
  <c r="J28" i="35"/>
  <c r="H28" i="35"/>
  <c r="B28" i="35"/>
  <c r="W27" i="35"/>
  <c r="V27" i="35"/>
  <c r="U27" i="35"/>
  <c r="T27" i="35"/>
  <c r="Q27" i="35"/>
  <c r="O27" i="35"/>
  <c r="J27" i="35"/>
  <c r="H27" i="35"/>
  <c r="E27" i="35"/>
  <c r="I27" i="35" s="1"/>
  <c r="B27" i="35"/>
  <c r="Z26" i="35"/>
  <c r="AD26" i="35" s="1"/>
  <c r="W26" i="35"/>
  <c r="V26" i="35"/>
  <c r="U26" i="35"/>
  <c r="T26" i="35"/>
  <c r="Q26" i="35"/>
  <c r="O26" i="35"/>
  <c r="J26" i="35"/>
  <c r="H26" i="35"/>
  <c r="E26" i="35"/>
  <c r="X26" i="35" s="1"/>
  <c r="AB26" i="35" s="1"/>
  <c r="B26" i="35"/>
  <c r="W25" i="35"/>
  <c r="V25" i="35"/>
  <c r="U25" i="35"/>
  <c r="T25" i="35"/>
  <c r="Q25" i="35"/>
  <c r="O25" i="35"/>
  <c r="J25" i="35"/>
  <c r="H25" i="35"/>
  <c r="E25" i="35"/>
  <c r="B25" i="35"/>
  <c r="W24" i="35"/>
  <c r="V24" i="35"/>
  <c r="U24" i="35"/>
  <c r="T24" i="35"/>
  <c r="Q24" i="35"/>
  <c r="O24" i="35"/>
  <c r="J24" i="35"/>
  <c r="H24" i="35"/>
  <c r="B24" i="35"/>
  <c r="W23" i="35"/>
  <c r="V23" i="35"/>
  <c r="U23" i="35"/>
  <c r="T23" i="35"/>
  <c r="Q23" i="35"/>
  <c r="O23" i="35"/>
  <c r="J23" i="35"/>
  <c r="H23" i="35"/>
  <c r="B23" i="35"/>
  <c r="E23" i="35" s="1"/>
  <c r="W22" i="35"/>
  <c r="V22" i="35"/>
  <c r="U22" i="35"/>
  <c r="T22" i="35"/>
  <c r="Q22" i="35"/>
  <c r="O22" i="35"/>
  <c r="J22" i="35"/>
  <c r="H22" i="35"/>
  <c r="E22" i="35"/>
  <c r="B22" i="35"/>
  <c r="W21" i="35"/>
  <c r="V21" i="35"/>
  <c r="U21" i="35"/>
  <c r="T21" i="35"/>
  <c r="Q21" i="35"/>
  <c r="O21" i="35"/>
  <c r="J21" i="35"/>
  <c r="H21" i="35"/>
  <c r="E21" i="35"/>
  <c r="B21" i="35"/>
  <c r="W20" i="35"/>
  <c r="V20" i="35"/>
  <c r="U20" i="35"/>
  <c r="T20" i="35"/>
  <c r="Q20" i="35"/>
  <c r="O20" i="35"/>
  <c r="J20" i="35"/>
  <c r="H20" i="35"/>
  <c r="E20" i="35"/>
  <c r="B20" i="35"/>
  <c r="AA19" i="35"/>
  <c r="Z19" i="35"/>
  <c r="Y19" i="35"/>
  <c r="X19" i="35"/>
  <c r="W18" i="35"/>
  <c r="V18" i="35"/>
  <c r="U18" i="35"/>
  <c r="T18" i="35"/>
  <c r="O18" i="35"/>
  <c r="J18" i="35"/>
  <c r="H18" i="35"/>
  <c r="B18" i="35"/>
  <c r="W17" i="35"/>
  <c r="V17" i="35"/>
  <c r="U17" i="35"/>
  <c r="T17" i="35"/>
  <c r="Q17" i="35"/>
  <c r="O17" i="35"/>
  <c r="J17" i="35"/>
  <c r="H17" i="35"/>
  <c r="B17" i="35"/>
  <c r="W15" i="35"/>
  <c r="V15" i="35"/>
  <c r="U15" i="35"/>
  <c r="T15" i="35"/>
  <c r="Q15" i="35"/>
  <c r="O15" i="35"/>
  <c r="J15" i="35"/>
  <c r="H15" i="35"/>
  <c r="B15" i="35"/>
  <c r="E15" i="35" s="1"/>
  <c r="W14" i="35"/>
  <c r="V14" i="35"/>
  <c r="U14" i="35"/>
  <c r="T14" i="35"/>
  <c r="Q14" i="35"/>
  <c r="O14" i="35"/>
  <c r="J14" i="35"/>
  <c r="H14" i="35"/>
  <c r="B14" i="35"/>
  <c r="W13" i="35"/>
  <c r="V13" i="35"/>
  <c r="U13" i="35"/>
  <c r="T13" i="35"/>
  <c r="Q13" i="35"/>
  <c r="O13" i="35"/>
  <c r="J13" i="35"/>
  <c r="H13" i="35"/>
  <c r="E13" i="35"/>
  <c r="B13" i="35"/>
  <c r="W12" i="35"/>
  <c r="V12" i="35"/>
  <c r="U12" i="35"/>
  <c r="T12" i="35"/>
  <c r="Q12" i="35"/>
  <c r="O12" i="35"/>
  <c r="J12" i="35"/>
  <c r="H12" i="35"/>
  <c r="E12" i="35"/>
  <c r="B12" i="35"/>
  <c r="W11" i="35"/>
  <c r="V11" i="35"/>
  <c r="U11" i="35"/>
  <c r="T11" i="35"/>
  <c r="Q11" i="35"/>
  <c r="O11" i="35"/>
  <c r="J11" i="35"/>
  <c r="H11" i="35"/>
  <c r="E11" i="35"/>
  <c r="Y11" i="35" s="1"/>
  <c r="AC11" i="35" s="1"/>
  <c r="B11" i="35"/>
  <c r="W10" i="35"/>
  <c r="V10" i="35"/>
  <c r="U10" i="35"/>
  <c r="T10" i="35"/>
  <c r="X10" i="35" s="1"/>
  <c r="Q10" i="35"/>
  <c r="O10" i="35"/>
  <c r="J10" i="35"/>
  <c r="H10" i="35"/>
  <c r="E10" i="35"/>
  <c r="P10" i="35" s="1"/>
  <c r="B10" i="35"/>
  <c r="D5" i="35"/>
  <c r="C5" i="35"/>
  <c r="D4" i="35"/>
  <c r="E59" i="34"/>
  <c r="J28" i="34"/>
  <c r="J22" i="34"/>
  <c r="N19" i="34"/>
  <c r="M16" i="34"/>
  <c r="J16" i="34"/>
  <c r="S14" i="34"/>
  <c r="T14" i="34" s="1"/>
  <c r="C14" i="34"/>
  <c r="T13" i="34"/>
  <c r="S13" i="34"/>
  <c r="C13" i="34"/>
  <c r="S12" i="34"/>
  <c r="T12" i="34" s="1"/>
  <c r="T11" i="34"/>
  <c r="S11" i="34"/>
  <c r="S10" i="34"/>
  <c r="T10" i="34" s="1"/>
  <c r="S9" i="34"/>
  <c r="T9" i="34" s="1"/>
  <c r="T8" i="34"/>
  <c r="S8" i="34"/>
  <c r="C8" i="34"/>
  <c r="S7" i="34"/>
  <c r="T7" i="34" s="1"/>
  <c r="C7" i="34"/>
  <c r="S6" i="34"/>
  <c r="T6" i="34" s="1"/>
  <c r="C6" i="34"/>
  <c r="S5" i="34"/>
  <c r="T5" i="34" s="1"/>
  <c r="C5" i="34"/>
  <c r="C4" i="34"/>
  <c r="P22" i="33"/>
  <c r="M22" i="33"/>
  <c r="J22" i="33"/>
  <c r="J16" i="33"/>
  <c r="M14" i="33"/>
  <c r="C14" i="33"/>
  <c r="C13" i="33"/>
  <c r="C10" i="33"/>
  <c r="C9" i="33" s="1"/>
  <c r="C8" i="33"/>
  <c r="C7" i="33"/>
  <c r="C6" i="33"/>
  <c r="C5" i="33"/>
  <c r="C4" i="33"/>
  <c r="P22" i="32"/>
  <c r="M22" i="32"/>
  <c r="J22" i="32"/>
  <c r="J16" i="32"/>
  <c r="M14" i="32"/>
  <c r="C14" i="32"/>
  <c r="C13" i="32"/>
  <c r="C10" i="32"/>
  <c r="C9" i="32" s="1"/>
  <c r="C8" i="32"/>
  <c r="C7" i="32"/>
  <c r="C6" i="32"/>
  <c r="C5" i="32"/>
  <c r="C4" i="32"/>
  <c r="P22" i="31"/>
  <c r="M22" i="31"/>
  <c r="J22" i="31"/>
  <c r="J16" i="31"/>
  <c r="M14" i="31"/>
  <c r="C14" i="31"/>
  <c r="C13" i="31"/>
  <c r="C10" i="31"/>
  <c r="C8" i="31"/>
  <c r="C7" i="31"/>
  <c r="C6" i="31"/>
  <c r="C5" i="31"/>
  <c r="C9" i="31" s="1"/>
  <c r="C4" i="31"/>
  <c r="B97" i="36" l="1"/>
  <c r="G44" i="9" s="1"/>
  <c r="Z13" i="36"/>
  <c r="AD13" i="36" s="1"/>
  <c r="E22" i="36"/>
  <c r="Z14" i="36"/>
  <c r="AD14" i="36" s="1"/>
  <c r="E10" i="36"/>
  <c r="Z40" i="36"/>
  <c r="AD40" i="36" s="1"/>
  <c r="G40" i="9"/>
  <c r="Z40" i="35"/>
  <c r="AD40" i="35" s="1"/>
  <c r="X24" i="35"/>
  <c r="AB24" i="35" s="1"/>
  <c r="Y23" i="35"/>
  <c r="AC23" i="35" s="1"/>
  <c r="I28" i="42"/>
  <c r="L28" i="42" s="1"/>
  <c r="AA28" i="42"/>
  <c r="AE28" i="42" s="1"/>
  <c r="Y26" i="42"/>
  <c r="AC26" i="42" s="1"/>
  <c r="X31" i="42"/>
  <c r="AB31" i="42" s="1"/>
  <c r="E40" i="9"/>
  <c r="Z42" i="42"/>
  <c r="AD42" i="42" s="1"/>
  <c r="F40" i="9"/>
  <c r="C44" i="37"/>
  <c r="B101" i="37" s="1"/>
  <c r="H46" i="9" s="1"/>
  <c r="C35" i="37"/>
  <c r="E35" i="37" s="1"/>
  <c r="C24" i="37"/>
  <c r="E24" i="37" s="1"/>
  <c r="C17" i="37"/>
  <c r="E17" i="37" s="1"/>
  <c r="Y17" i="37" s="1"/>
  <c r="AC17" i="37" s="1"/>
  <c r="C18" i="37"/>
  <c r="E18" i="37" s="1"/>
  <c r="I18" i="37" s="1"/>
  <c r="C45" i="37"/>
  <c r="E45" i="37" s="1"/>
  <c r="C102" i="37" s="1"/>
  <c r="C37" i="37"/>
  <c r="E37" i="37" s="1"/>
  <c r="C25" i="37"/>
  <c r="E25" i="37" s="1"/>
  <c r="C11" i="37"/>
  <c r="E11" i="37" s="1"/>
  <c r="AA11" i="37" s="1"/>
  <c r="AE11" i="37" s="1"/>
  <c r="C38" i="37"/>
  <c r="E38" i="37" s="1"/>
  <c r="Y38" i="37" s="1"/>
  <c r="AC38" i="37" s="1"/>
  <c r="C46" i="37"/>
  <c r="E46" i="37" s="1"/>
  <c r="C34" i="37"/>
  <c r="B88" i="37" s="1"/>
  <c r="H58" i="9" s="1"/>
  <c r="C26" i="37"/>
  <c r="E26" i="37" s="1"/>
  <c r="AA26" i="37" s="1"/>
  <c r="AE26" i="37" s="1"/>
  <c r="C12" i="37"/>
  <c r="E12" i="37" s="1"/>
  <c r="X12" i="37" s="1"/>
  <c r="AB12" i="37" s="1"/>
  <c r="C43" i="37"/>
  <c r="C47" i="37"/>
  <c r="E47" i="37" s="1"/>
  <c r="C104" i="37" s="1"/>
  <c r="C33" i="37"/>
  <c r="B87" i="37" s="1"/>
  <c r="H57" i="9" s="1"/>
  <c r="C27" i="37"/>
  <c r="E27" i="37" s="1"/>
  <c r="Y27" i="37" s="1"/>
  <c r="AC27" i="37" s="1"/>
  <c r="C13" i="37"/>
  <c r="C48" i="37"/>
  <c r="C31" i="37"/>
  <c r="E31" i="37" s="1"/>
  <c r="C28" i="37"/>
  <c r="E28" i="37" s="1"/>
  <c r="X28" i="37" s="1"/>
  <c r="AB28" i="37" s="1"/>
  <c r="C14" i="37"/>
  <c r="E14" i="37" s="1"/>
  <c r="C41" i="37"/>
  <c r="B98" i="37" s="1"/>
  <c r="H45" i="9" s="1"/>
  <c r="C49" i="37"/>
  <c r="B106" i="37" s="1"/>
  <c r="H50" i="9" s="1"/>
  <c r="C30" i="37"/>
  <c r="B86" i="37" s="1"/>
  <c r="H55" i="9" s="1"/>
  <c r="C21" i="37"/>
  <c r="E21" i="37" s="1"/>
  <c r="C15" i="37"/>
  <c r="E15" i="37" s="1"/>
  <c r="I15" i="37" s="1"/>
  <c r="C23" i="37"/>
  <c r="E23" i="37" s="1"/>
  <c r="I23" i="37" s="1"/>
  <c r="C61" i="37" s="1"/>
  <c r="C42" i="37"/>
  <c r="E42" i="37" s="1"/>
  <c r="Y42" i="37" s="1"/>
  <c r="AC42" i="37" s="1"/>
  <c r="C40" i="37"/>
  <c r="C22" i="37"/>
  <c r="E22" i="37" s="1"/>
  <c r="Y22" i="37" s="1"/>
  <c r="AC22" i="37" s="1"/>
  <c r="C20" i="37"/>
  <c r="E20" i="37" s="1"/>
  <c r="P20" i="37" s="1"/>
  <c r="C10" i="37"/>
  <c r="E10" i="37" s="1"/>
  <c r="P10" i="37" s="1"/>
  <c r="H40" i="9"/>
  <c r="B89" i="37"/>
  <c r="H59" i="9" s="1"/>
  <c r="E13" i="37"/>
  <c r="Z14" i="37"/>
  <c r="AD14" i="37" s="1"/>
  <c r="X24" i="37"/>
  <c r="AB24" i="37" s="1"/>
  <c r="X17" i="37"/>
  <c r="AB17" i="37" s="1"/>
  <c r="Z45" i="42"/>
  <c r="AD45" i="42" s="1"/>
  <c r="B105" i="42"/>
  <c r="E49" i="9" s="1"/>
  <c r="AA45" i="42"/>
  <c r="AE45" i="42" s="1"/>
  <c r="X45" i="42"/>
  <c r="AB45" i="42" s="1"/>
  <c r="X48" i="42"/>
  <c r="AB48" i="42" s="1"/>
  <c r="E46" i="42"/>
  <c r="X46" i="42" s="1"/>
  <c r="AB46" i="42" s="1"/>
  <c r="Y42" i="42"/>
  <c r="AC42" i="42" s="1"/>
  <c r="X40" i="42"/>
  <c r="AB40" i="42" s="1"/>
  <c r="Z40" i="42"/>
  <c r="AD40" i="42" s="1"/>
  <c r="X35" i="42"/>
  <c r="AB35" i="42" s="1"/>
  <c r="Z35" i="42"/>
  <c r="AD35" i="42" s="1"/>
  <c r="AA35" i="42"/>
  <c r="AE35" i="42" s="1"/>
  <c r="AA31" i="42"/>
  <c r="AE31" i="42" s="1"/>
  <c r="X27" i="42"/>
  <c r="AB27" i="42" s="1"/>
  <c r="Y27" i="42"/>
  <c r="AC27" i="42" s="1"/>
  <c r="AA22" i="42"/>
  <c r="AE22" i="42" s="1"/>
  <c r="Y24" i="42"/>
  <c r="AC24" i="42" s="1"/>
  <c r="X28" i="42"/>
  <c r="AB28" i="42" s="1"/>
  <c r="X25" i="42"/>
  <c r="AB25" i="42" s="1"/>
  <c r="AA24" i="42"/>
  <c r="AE24" i="42" s="1"/>
  <c r="Z28" i="42"/>
  <c r="AD28" i="42" s="1"/>
  <c r="AA25" i="42"/>
  <c r="AE25" i="42" s="1"/>
  <c r="Z25" i="42"/>
  <c r="AD25" i="42" s="1"/>
  <c r="Z20" i="42"/>
  <c r="AD20" i="42" s="1"/>
  <c r="I20" i="42"/>
  <c r="L20" i="42" s="1"/>
  <c r="AA20" i="42"/>
  <c r="AE20" i="42" s="1"/>
  <c r="X20" i="42"/>
  <c r="AB20" i="42" s="1"/>
  <c r="Z18" i="42"/>
  <c r="AD18" i="42" s="1"/>
  <c r="X18" i="42"/>
  <c r="AB18" i="42" s="1"/>
  <c r="AA17" i="42"/>
  <c r="AE17" i="42" s="1"/>
  <c r="I12" i="42"/>
  <c r="L12" i="42" s="1"/>
  <c r="B63" i="42" s="1"/>
  <c r="E19" i="9" s="1"/>
  <c r="AA12" i="42"/>
  <c r="AE12" i="42" s="1"/>
  <c r="Y13" i="42"/>
  <c r="AC13" i="42" s="1"/>
  <c r="X11" i="42"/>
  <c r="AB11" i="42" s="1"/>
  <c r="X14" i="42"/>
  <c r="AB14" i="42" s="1"/>
  <c r="Y11" i="42"/>
  <c r="AC11" i="42" s="1"/>
  <c r="Z12" i="42"/>
  <c r="AD12" i="42" s="1"/>
  <c r="X12" i="42"/>
  <c r="AB12" i="42" s="1"/>
  <c r="AA14" i="42"/>
  <c r="AE14" i="42" s="1"/>
  <c r="Z46" i="42"/>
  <c r="AD46" i="42" s="1"/>
  <c r="C103" i="42"/>
  <c r="AA13" i="42"/>
  <c r="AE13" i="42" s="1"/>
  <c r="I13" i="42"/>
  <c r="X13" i="42"/>
  <c r="AB13" i="42" s="1"/>
  <c r="P13" i="42"/>
  <c r="Z13" i="42"/>
  <c r="AD13" i="42" s="1"/>
  <c r="Z26" i="42"/>
  <c r="AD26" i="42" s="1"/>
  <c r="X10" i="42"/>
  <c r="P10" i="42"/>
  <c r="AA10" i="42"/>
  <c r="I10" i="42"/>
  <c r="I11" i="42"/>
  <c r="Z11" i="42"/>
  <c r="AD11" i="42" s="1"/>
  <c r="P11" i="42"/>
  <c r="AA11" i="42"/>
  <c r="AE11" i="42" s="1"/>
  <c r="Z23" i="42"/>
  <c r="AD23" i="42" s="1"/>
  <c r="X26" i="42"/>
  <c r="AB26" i="42" s="1"/>
  <c r="P26" i="42"/>
  <c r="AA26" i="42"/>
  <c r="AE26" i="42" s="1"/>
  <c r="I26" i="42"/>
  <c r="AA23" i="42"/>
  <c r="AE23" i="42" s="1"/>
  <c r="I23" i="42"/>
  <c r="X23" i="42"/>
  <c r="AB23" i="42" s="1"/>
  <c r="Y23" i="42"/>
  <c r="AC23" i="42" s="1"/>
  <c r="P23" i="42"/>
  <c r="Y37" i="42"/>
  <c r="AC37" i="42" s="1"/>
  <c r="C56" i="42"/>
  <c r="L14" i="42"/>
  <c r="B56" i="42" s="1"/>
  <c r="E14" i="9" s="1"/>
  <c r="K14" i="42"/>
  <c r="D56" i="42" s="1"/>
  <c r="Y21" i="42"/>
  <c r="AC21" i="42" s="1"/>
  <c r="Z24" i="42"/>
  <c r="AD24" i="42" s="1"/>
  <c r="X24" i="42"/>
  <c r="AB24" i="42" s="1"/>
  <c r="P24" i="42"/>
  <c r="I24" i="42"/>
  <c r="I27" i="42"/>
  <c r="Z27" i="42"/>
  <c r="AD27" i="42" s="1"/>
  <c r="P27" i="42"/>
  <c r="AA27" i="42"/>
  <c r="AE27" i="42" s="1"/>
  <c r="Z37" i="42"/>
  <c r="AD37" i="42" s="1"/>
  <c r="B111" i="42"/>
  <c r="B110" i="42"/>
  <c r="Z15" i="42"/>
  <c r="AD15" i="42" s="1"/>
  <c r="X37" i="42"/>
  <c r="AB37" i="42" s="1"/>
  <c r="P37" i="42"/>
  <c r="AA37" i="42"/>
  <c r="AE37" i="42" s="1"/>
  <c r="I37" i="42"/>
  <c r="AA46" i="42"/>
  <c r="AE46" i="42" s="1"/>
  <c r="Y10" i="42"/>
  <c r="AA15" i="42"/>
  <c r="AE15" i="42" s="1"/>
  <c r="I15" i="42"/>
  <c r="Y15" i="42"/>
  <c r="AC15" i="42" s="1"/>
  <c r="X15" i="42"/>
  <c r="AB15" i="42" s="1"/>
  <c r="P15" i="42"/>
  <c r="Y17" i="42"/>
  <c r="AC17" i="42" s="1"/>
  <c r="AA21" i="42"/>
  <c r="AE21" i="42" s="1"/>
  <c r="I21" i="42"/>
  <c r="X21" i="42"/>
  <c r="AB21" i="42" s="1"/>
  <c r="P21" i="42"/>
  <c r="Z21" i="42"/>
  <c r="AD21" i="42" s="1"/>
  <c r="L31" i="42"/>
  <c r="K31" i="42"/>
  <c r="Z10" i="42"/>
  <c r="Z17" i="42"/>
  <c r="AD17" i="42" s="1"/>
  <c r="X17" i="42"/>
  <c r="AB17" i="42" s="1"/>
  <c r="P17" i="42"/>
  <c r="I17" i="42"/>
  <c r="AA47" i="42"/>
  <c r="AE47" i="42" s="1"/>
  <c r="Z47" i="42"/>
  <c r="AD47" i="42" s="1"/>
  <c r="C104" i="42"/>
  <c r="Y47" i="42"/>
  <c r="AC47" i="42" s="1"/>
  <c r="X47" i="42"/>
  <c r="AB47" i="42" s="1"/>
  <c r="AA40" i="42"/>
  <c r="AE40" i="42" s="1"/>
  <c r="E44" i="42"/>
  <c r="Y44" i="42" s="1"/>
  <c r="AC44" i="42" s="1"/>
  <c r="Y14" i="42"/>
  <c r="AC14" i="42" s="1"/>
  <c r="P12" i="42"/>
  <c r="I18" i="42"/>
  <c r="P20" i="42"/>
  <c r="I25" i="42"/>
  <c r="P28" i="42"/>
  <c r="I35" i="42"/>
  <c r="E38" i="42"/>
  <c r="Y38" i="42" s="1"/>
  <c r="AC38" i="42" s="1"/>
  <c r="E43" i="42"/>
  <c r="X43" i="42" s="1"/>
  <c r="AB43" i="42" s="1"/>
  <c r="C99" i="42"/>
  <c r="Y40" i="42"/>
  <c r="AC40" i="42" s="1"/>
  <c r="AA42" i="42"/>
  <c r="AE42" i="42" s="1"/>
  <c r="Y48" i="42"/>
  <c r="AC48" i="42" s="1"/>
  <c r="B104" i="42"/>
  <c r="E48" i="9" s="1"/>
  <c r="P14" i="42"/>
  <c r="P22" i="42"/>
  <c r="E30" i="42"/>
  <c r="P31" i="42"/>
  <c r="E41" i="42"/>
  <c r="Z48" i="42"/>
  <c r="AD48" i="42" s="1"/>
  <c r="E49" i="42"/>
  <c r="Y49" i="42" s="1"/>
  <c r="AC49" i="42" s="1"/>
  <c r="AA48" i="42"/>
  <c r="AE48" i="42" s="1"/>
  <c r="C63" i="42"/>
  <c r="Y31" i="42"/>
  <c r="AC31" i="42" s="1"/>
  <c r="Z14" i="42"/>
  <c r="AD14" i="42" s="1"/>
  <c r="Y18" i="42"/>
  <c r="AC18" i="42" s="1"/>
  <c r="Z22" i="42"/>
  <c r="AD22" i="42" s="1"/>
  <c r="Z31" i="42"/>
  <c r="AD31" i="42" s="1"/>
  <c r="Y45" i="42"/>
  <c r="AC45" i="42" s="1"/>
  <c r="K12" i="42"/>
  <c r="D63" i="42" s="1"/>
  <c r="P18" i="42"/>
  <c r="R18" i="42" s="1"/>
  <c r="K20" i="42"/>
  <c r="I22" i="42"/>
  <c r="P25" i="42"/>
  <c r="K28" i="42"/>
  <c r="P35" i="42"/>
  <c r="B9" i="40"/>
  <c r="B8" i="40"/>
  <c r="B7" i="40"/>
  <c r="B9" i="38"/>
  <c r="B8" i="38"/>
  <c r="B7" i="38"/>
  <c r="Z46" i="37"/>
  <c r="AD46" i="37" s="1"/>
  <c r="Z38" i="37"/>
  <c r="AD38" i="37" s="1"/>
  <c r="Y37" i="37"/>
  <c r="AC37" i="37" s="1"/>
  <c r="Z27" i="37"/>
  <c r="AD27" i="37" s="1"/>
  <c r="Y24" i="37"/>
  <c r="AC24" i="37" s="1"/>
  <c r="AA27" i="37"/>
  <c r="AE27" i="37" s="1"/>
  <c r="X27" i="37"/>
  <c r="AB27" i="37" s="1"/>
  <c r="Z17" i="37"/>
  <c r="AD17" i="37" s="1"/>
  <c r="Y15" i="37"/>
  <c r="AC15" i="37" s="1"/>
  <c r="Z15" i="37"/>
  <c r="AD15" i="37" s="1"/>
  <c r="Y11" i="37"/>
  <c r="AC11" i="37" s="1"/>
  <c r="AA13" i="37"/>
  <c r="AE13" i="37" s="1"/>
  <c r="Y14" i="37"/>
  <c r="AC14" i="37" s="1"/>
  <c r="Z10" i="37"/>
  <c r="AD10" i="37" s="1"/>
  <c r="C105" i="36"/>
  <c r="X48" i="36"/>
  <c r="AB48" i="36" s="1"/>
  <c r="B105" i="36"/>
  <c r="G49" i="9" s="1"/>
  <c r="X47" i="36"/>
  <c r="AB47" i="36" s="1"/>
  <c r="Y48" i="36"/>
  <c r="AC48" i="36" s="1"/>
  <c r="C103" i="36"/>
  <c r="Y42" i="36"/>
  <c r="AC42" i="36" s="1"/>
  <c r="Z43" i="36"/>
  <c r="AD43" i="36" s="1"/>
  <c r="Y47" i="36"/>
  <c r="AC47" i="36" s="1"/>
  <c r="Z48" i="36"/>
  <c r="AD48" i="36" s="1"/>
  <c r="X46" i="36"/>
  <c r="AB46" i="36" s="1"/>
  <c r="AA42" i="36"/>
  <c r="AE42" i="36" s="1"/>
  <c r="AA47" i="36"/>
  <c r="AE47" i="36" s="1"/>
  <c r="Y45" i="36"/>
  <c r="AC45" i="36" s="1"/>
  <c r="Z46" i="36"/>
  <c r="AD46" i="36" s="1"/>
  <c r="Y40" i="36"/>
  <c r="AC40" i="36" s="1"/>
  <c r="X40" i="36"/>
  <c r="AB40" i="36" s="1"/>
  <c r="Z38" i="36"/>
  <c r="AD38" i="36" s="1"/>
  <c r="Z35" i="36"/>
  <c r="AD35" i="36" s="1"/>
  <c r="X31" i="36"/>
  <c r="AB31" i="36" s="1"/>
  <c r="X27" i="36"/>
  <c r="AB27" i="36" s="1"/>
  <c r="X24" i="36"/>
  <c r="AB24" i="36" s="1"/>
  <c r="Z27" i="36"/>
  <c r="AD27" i="36" s="1"/>
  <c r="AA27" i="36"/>
  <c r="AE27" i="36" s="1"/>
  <c r="Y28" i="36"/>
  <c r="AC28" i="36" s="1"/>
  <c r="Z28" i="36"/>
  <c r="AD28" i="36" s="1"/>
  <c r="AA24" i="36"/>
  <c r="AE24" i="36" s="1"/>
  <c r="Y21" i="36"/>
  <c r="AC21" i="36" s="1"/>
  <c r="X17" i="36"/>
  <c r="AB17" i="36" s="1"/>
  <c r="Z11" i="36"/>
  <c r="AD11" i="36" s="1"/>
  <c r="E15" i="36"/>
  <c r="X15" i="36" s="1"/>
  <c r="AB15" i="36" s="1"/>
  <c r="AA11" i="36"/>
  <c r="AE11" i="36" s="1"/>
  <c r="Y13" i="36"/>
  <c r="AC13" i="36" s="1"/>
  <c r="AA10" i="36"/>
  <c r="Y43" i="35"/>
  <c r="AC43" i="35" s="1"/>
  <c r="X47" i="35"/>
  <c r="AB47" i="35" s="1"/>
  <c r="Y48" i="35"/>
  <c r="AC48" i="35" s="1"/>
  <c r="C103" i="35"/>
  <c r="Z43" i="35"/>
  <c r="AD43" i="35" s="1"/>
  <c r="Z48" i="35"/>
  <c r="AD48" i="35" s="1"/>
  <c r="X46" i="35"/>
  <c r="AB46" i="35" s="1"/>
  <c r="AA42" i="35"/>
  <c r="AE42" i="35" s="1"/>
  <c r="AA47" i="35"/>
  <c r="AE47" i="35" s="1"/>
  <c r="X48" i="35"/>
  <c r="AB48" i="35" s="1"/>
  <c r="Y45" i="35"/>
  <c r="AC45" i="35" s="1"/>
  <c r="Z46" i="35"/>
  <c r="AD46" i="35" s="1"/>
  <c r="X40" i="35"/>
  <c r="AB40" i="35" s="1"/>
  <c r="Y40" i="35"/>
  <c r="AC40" i="35" s="1"/>
  <c r="Z38" i="35"/>
  <c r="AD38" i="35" s="1"/>
  <c r="Y35" i="35"/>
  <c r="AC35" i="35" s="1"/>
  <c r="Z35" i="35"/>
  <c r="AD35" i="35" s="1"/>
  <c r="X31" i="35"/>
  <c r="AB31" i="35" s="1"/>
  <c r="AA26" i="35"/>
  <c r="AE26" i="35" s="1"/>
  <c r="X27" i="35"/>
  <c r="AB27" i="35" s="1"/>
  <c r="Y24" i="35"/>
  <c r="AC24" i="35" s="1"/>
  <c r="Z27" i="35"/>
  <c r="AD27" i="35" s="1"/>
  <c r="AA27" i="35"/>
  <c r="AE27" i="35" s="1"/>
  <c r="Y28" i="35"/>
  <c r="AC28" i="35" s="1"/>
  <c r="Z28" i="35"/>
  <c r="AD28" i="35" s="1"/>
  <c r="Z21" i="35"/>
  <c r="AD21" i="35" s="1"/>
  <c r="Z13" i="35"/>
  <c r="AD13" i="35" s="1"/>
  <c r="Z18" i="35"/>
  <c r="AD18" i="35" s="1"/>
  <c r="AA18" i="35"/>
  <c r="AE18" i="35" s="1"/>
  <c r="X15" i="35"/>
  <c r="AB15" i="35" s="1"/>
  <c r="Z14" i="35"/>
  <c r="AD14" i="35" s="1"/>
  <c r="Y15" i="35"/>
  <c r="AC15" i="35" s="1"/>
  <c r="AA14" i="35"/>
  <c r="AE14" i="35" s="1"/>
  <c r="Z10" i="35"/>
  <c r="I21" i="37"/>
  <c r="X21" i="37"/>
  <c r="AB21" i="37" s="1"/>
  <c r="P21" i="37"/>
  <c r="AA21" i="37"/>
  <c r="AE21" i="37" s="1"/>
  <c r="Y28" i="37"/>
  <c r="AC28" i="37" s="1"/>
  <c r="I35" i="37"/>
  <c r="X35" i="37"/>
  <c r="AB35" i="37" s="1"/>
  <c r="P35" i="37"/>
  <c r="AA35" i="37"/>
  <c r="AE35" i="37" s="1"/>
  <c r="Z45" i="37"/>
  <c r="AD45" i="37" s="1"/>
  <c r="Y46" i="37"/>
  <c r="AC46" i="37" s="1"/>
  <c r="I14" i="37"/>
  <c r="X14" i="37"/>
  <c r="AB14" i="37" s="1"/>
  <c r="P14" i="37"/>
  <c r="AA14" i="37"/>
  <c r="AE14" i="37" s="1"/>
  <c r="AA22" i="37"/>
  <c r="AE22" i="37" s="1"/>
  <c r="X37" i="37"/>
  <c r="AB37" i="37" s="1"/>
  <c r="P37" i="37"/>
  <c r="Z37" i="37"/>
  <c r="AD37" i="37" s="1"/>
  <c r="I37" i="37"/>
  <c r="AA37" i="37"/>
  <c r="AE37" i="37" s="1"/>
  <c r="B111" i="37"/>
  <c r="L15" i="37"/>
  <c r="K15" i="37"/>
  <c r="Z42" i="37"/>
  <c r="AD42" i="37" s="1"/>
  <c r="Y18" i="37"/>
  <c r="AC18" i="37" s="1"/>
  <c r="X20" i="37"/>
  <c r="AB20" i="37" s="1"/>
  <c r="Y21" i="37"/>
  <c r="AC21" i="37" s="1"/>
  <c r="Y35" i="37"/>
  <c r="AC35" i="37" s="1"/>
  <c r="AA46" i="37"/>
  <c r="AE46" i="37" s="1"/>
  <c r="C103" i="37"/>
  <c r="R10" i="37"/>
  <c r="S10" i="37"/>
  <c r="I13" i="37"/>
  <c r="Y13" i="37"/>
  <c r="AC13" i="37" s="1"/>
  <c r="X13" i="37"/>
  <c r="AB13" i="37" s="1"/>
  <c r="P13" i="37"/>
  <c r="Z13" i="37"/>
  <c r="AD13" i="37" s="1"/>
  <c r="P17" i="37"/>
  <c r="AA17" i="37"/>
  <c r="AE17" i="37" s="1"/>
  <c r="I17" i="37"/>
  <c r="Z21" i="37"/>
  <c r="AD21" i="37" s="1"/>
  <c r="Z24" i="37"/>
  <c r="AD24" i="37" s="1"/>
  <c r="P24" i="37"/>
  <c r="I24" i="37"/>
  <c r="AA24" i="37"/>
  <c r="AE24" i="37" s="1"/>
  <c r="Z35" i="37"/>
  <c r="AD35" i="37" s="1"/>
  <c r="X46" i="37"/>
  <c r="AB46" i="37" s="1"/>
  <c r="Y10" i="37"/>
  <c r="P11" i="37"/>
  <c r="X11" i="37"/>
  <c r="AB11" i="37" s="1"/>
  <c r="P27" i="37"/>
  <c r="E44" i="37"/>
  <c r="B103" i="37"/>
  <c r="B109" i="37" s="1"/>
  <c r="H53" i="9" s="1"/>
  <c r="AA38" i="37"/>
  <c r="AE38" i="37" s="1"/>
  <c r="I10" i="37"/>
  <c r="I11" i="37"/>
  <c r="I27" i="37"/>
  <c r="E30" i="37"/>
  <c r="E49" i="37"/>
  <c r="X49" i="37" s="1"/>
  <c r="AB49" i="37" s="1"/>
  <c r="B90" i="37"/>
  <c r="H60" i="9" s="1"/>
  <c r="P15" i="37"/>
  <c r="X23" i="37"/>
  <c r="AB23" i="37" s="1"/>
  <c r="X38" i="37"/>
  <c r="AB38" i="37" s="1"/>
  <c r="Z22" i="36"/>
  <c r="AD22" i="36" s="1"/>
  <c r="AA14" i="36"/>
  <c r="AE14" i="36" s="1"/>
  <c r="I14" i="36"/>
  <c r="X14" i="36"/>
  <c r="AB14" i="36" s="1"/>
  <c r="P14" i="36"/>
  <c r="Y15" i="36"/>
  <c r="AC15" i="36" s="1"/>
  <c r="Y23" i="36"/>
  <c r="AC23" i="36" s="1"/>
  <c r="X37" i="36"/>
  <c r="AB37" i="36" s="1"/>
  <c r="P37" i="36"/>
  <c r="Z37" i="36"/>
  <c r="AD37" i="36" s="1"/>
  <c r="I37" i="36"/>
  <c r="AA37" i="36"/>
  <c r="AE37" i="36" s="1"/>
  <c r="AA22" i="36"/>
  <c r="AE22" i="36" s="1"/>
  <c r="I22" i="36"/>
  <c r="Y22" i="36"/>
  <c r="AC22" i="36" s="1"/>
  <c r="P22" i="36"/>
  <c r="AA15" i="36"/>
  <c r="AE15" i="36" s="1"/>
  <c r="I15" i="36"/>
  <c r="Z15" i="36"/>
  <c r="AD15" i="36" s="1"/>
  <c r="P15" i="36"/>
  <c r="X26" i="36"/>
  <c r="AB26" i="36" s="1"/>
  <c r="P26" i="36"/>
  <c r="I26" i="36"/>
  <c r="Z26" i="36"/>
  <c r="AD26" i="36" s="1"/>
  <c r="AA26" i="36"/>
  <c r="AE26" i="36" s="1"/>
  <c r="AA31" i="36"/>
  <c r="AE31" i="36" s="1"/>
  <c r="I31" i="36"/>
  <c r="Y31" i="36"/>
  <c r="AC31" i="36" s="1"/>
  <c r="P31" i="36"/>
  <c r="Z31" i="36"/>
  <c r="AD31" i="36" s="1"/>
  <c r="B111" i="36"/>
  <c r="B110" i="36"/>
  <c r="Y12" i="36"/>
  <c r="AC12" i="36" s="1"/>
  <c r="Y20" i="36"/>
  <c r="AC20" i="36" s="1"/>
  <c r="AA23" i="36"/>
  <c r="AE23" i="36" s="1"/>
  <c r="I23" i="36"/>
  <c r="Z23" i="36"/>
  <c r="AD23" i="36" s="1"/>
  <c r="X23" i="36"/>
  <c r="AB23" i="36" s="1"/>
  <c r="P23" i="36"/>
  <c r="Z12" i="36"/>
  <c r="AD12" i="36" s="1"/>
  <c r="X13" i="36"/>
  <c r="AB13" i="36" s="1"/>
  <c r="X18" i="36"/>
  <c r="AB18" i="36" s="1"/>
  <c r="Z20" i="36"/>
  <c r="AD20" i="36" s="1"/>
  <c r="X21" i="36"/>
  <c r="AB21" i="36" s="1"/>
  <c r="X42" i="36"/>
  <c r="AB42" i="36" s="1"/>
  <c r="C99" i="36"/>
  <c r="Z42" i="36"/>
  <c r="AD42" i="36" s="1"/>
  <c r="Z47" i="36"/>
  <c r="AD47" i="36" s="1"/>
  <c r="C104" i="36"/>
  <c r="X12" i="36"/>
  <c r="AB12" i="36" s="1"/>
  <c r="I12" i="36"/>
  <c r="P12" i="36"/>
  <c r="AA12" i="36"/>
  <c r="AE12" i="36" s="1"/>
  <c r="Y18" i="36"/>
  <c r="AC18" i="36" s="1"/>
  <c r="AA20" i="36"/>
  <c r="AE20" i="36" s="1"/>
  <c r="I20" i="36"/>
  <c r="X20" i="36"/>
  <c r="AB20" i="36" s="1"/>
  <c r="P20" i="36"/>
  <c r="L27" i="36"/>
  <c r="B59" i="36" s="1"/>
  <c r="G28" i="9" s="1"/>
  <c r="K27" i="36"/>
  <c r="D59" i="36" s="1"/>
  <c r="C59" i="36"/>
  <c r="X22" i="36"/>
  <c r="AB22" i="36" s="1"/>
  <c r="AE10" i="36"/>
  <c r="AA18" i="36"/>
  <c r="AE18" i="36" s="1"/>
  <c r="I18" i="36"/>
  <c r="Z18" i="36"/>
  <c r="AD18" i="36" s="1"/>
  <c r="P18" i="36"/>
  <c r="R18" i="36" s="1"/>
  <c r="Y25" i="36"/>
  <c r="AC25" i="36" s="1"/>
  <c r="X25" i="36"/>
  <c r="AB25" i="36" s="1"/>
  <c r="P25" i="36"/>
  <c r="I25" i="36"/>
  <c r="AA25" i="36"/>
  <c r="AE25" i="36" s="1"/>
  <c r="X10" i="36"/>
  <c r="P10" i="36"/>
  <c r="I10" i="36"/>
  <c r="Y10" i="36"/>
  <c r="Z10" i="36"/>
  <c r="I13" i="36"/>
  <c r="P13" i="36"/>
  <c r="AA13" i="36"/>
  <c r="AE13" i="36" s="1"/>
  <c r="Y14" i="36"/>
  <c r="AC14" i="36" s="1"/>
  <c r="I21" i="36"/>
  <c r="Z21" i="36"/>
  <c r="AD21" i="36" s="1"/>
  <c r="P21" i="36"/>
  <c r="AA21" i="36"/>
  <c r="AE21" i="36" s="1"/>
  <c r="Z25" i="36"/>
  <c r="AD25" i="36" s="1"/>
  <c r="P28" i="36"/>
  <c r="AA28" i="36"/>
  <c r="AE28" i="36" s="1"/>
  <c r="I28" i="36"/>
  <c r="X28" i="36"/>
  <c r="AB28" i="36" s="1"/>
  <c r="Y35" i="36"/>
  <c r="AC35" i="36" s="1"/>
  <c r="X35" i="36"/>
  <c r="AB35" i="36" s="1"/>
  <c r="P35" i="36"/>
  <c r="AA35" i="36"/>
  <c r="AE35" i="36" s="1"/>
  <c r="I35" i="36"/>
  <c r="Y37" i="36"/>
  <c r="AC37" i="36" s="1"/>
  <c r="C102" i="36"/>
  <c r="AA45" i="36"/>
  <c r="AE45" i="36" s="1"/>
  <c r="Z45" i="36"/>
  <c r="AD45" i="36" s="1"/>
  <c r="X45" i="36"/>
  <c r="AB45" i="36" s="1"/>
  <c r="P11" i="36"/>
  <c r="X11" i="36"/>
  <c r="AB11" i="36" s="1"/>
  <c r="I17" i="36"/>
  <c r="AA17" i="36"/>
  <c r="AE17" i="36" s="1"/>
  <c r="I24" i="36"/>
  <c r="P27" i="36"/>
  <c r="E44" i="36"/>
  <c r="B99" i="36"/>
  <c r="B107" i="36" s="1"/>
  <c r="G51" i="9" s="1"/>
  <c r="Y27" i="36"/>
  <c r="AC27" i="36" s="1"/>
  <c r="B104" i="36"/>
  <c r="G48" i="9" s="1"/>
  <c r="AA38" i="36"/>
  <c r="AE38" i="36" s="1"/>
  <c r="I11" i="36"/>
  <c r="E30" i="36"/>
  <c r="X30" i="36" s="1"/>
  <c r="AB30" i="36" s="1"/>
  <c r="E41" i="36"/>
  <c r="E49" i="36"/>
  <c r="B90" i="36"/>
  <c r="G60" i="9" s="1"/>
  <c r="C100" i="36"/>
  <c r="AA43" i="36"/>
  <c r="AE43" i="36" s="1"/>
  <c r="AA40" i="36"/>
  <c r="AE40" i="36" s="1"/>
  <c r="Y46" i="36"/>
  <c r="AC46" i="36" s="1"/>
  <c r="AA48" i="36"/>
  <c r="AE48" i="36" s="1"/>
  <c r="P17" i="36"/>
  <c r="P24" i="36"/>
  <c r="Y17" i="36"/>
  <c r="AC17" i="36" s="1"/>
  <c r="Y24" i="36"/>
  <c r="AC24" i="36" s="1"/>
  <c r="X38" i="36"/>
  <c r="AB38" i="36" s="1"/>
  <c r="X43" i="36"/>
  <c r="AB43" i="36" s="1"/>
  <c r="B102" i="36"/>
  <c r="G47" i="9" s="1"/>
  <c r="X37" i="35"/>
  <c r="AB37" i="35" s="1"/>
  <c r="P37" i="35"/>
  <c r="Z37" i="35"/>
  <c r="AD37" i="35" s="1"/>
  <c r="I37" i="35"/>
  <c r="AA37" i="35"/>
  <c r="AE37" i="35" s="1"/>
  <c r="I23" i="35"/>
  <c r="P23" i="35"/>
  <c r="Z23" i="35"/>
  <c r="AD23" i="35" s="1"/>
  <c r="AA31" i="35"/>
  <c r="AE31" i="35" s="1"/>
  <c r="I31" i="35"/>
  <c r="Y31" i="35"/>
  <c r="AC31" i="35" s="1"/>
  <c r="P31" i="35"/>
  <c r="Z31" i="35"/>
  <c r="AD31" i="35" s="1"/>
  <c r="B111" i="35"/>
  <c r="B110" i="35"/>
  <c r="I14" i="35"/>
  <c r="X14" i="35"/>
  <c r="AB14" i="35" s="1"/>
  <c r="P14" i="35"/>
  <c r="I15" i="35"/>
  <c r="P15" i="35"/>
  <c r="X17" i="35"/>
  <c r="AB17" i="35" s="1"/>
  <c r="AA15" i="35"/>
  <c r="AE15" i="35" s="1"/>
  <c r="Y17" i="35"/>
  <c r="AC17" i="35" s="1"/>
  <c r="X18" i="35"/>
  <c r="AB18" i="35" s="1"/>
  <c r="Z20" i="35"/>
  <c r="AD20" i="35" s="1"/>
  <c r="Z24" i="35"/>
  <c r="AD24" i="35" s="1"/>
  <c r="Z15" i="35"/>
  <c r="AD15" i="35" s="1"/>
  <c r="AA23" i="35"/>
  <c r="AE23" i="35" s="1"/>
  <c r="AB10" i="35"/>
  <c r="Z17" i="35"/>
  <c r="AD17" i="35" s="1"/>
  <c r="Y18" i="35"/>
  <c r="AC18" i="35" s="1"/>
  <c r="X20" i="35"/>
  <c r="AB20" i="35" s="1"/>
  <c r="I20" i="35"/>
  <c r="P20" i="35"/>
  <c r="Y20" i="35"/>
  <c r="AC20" i="35" s="1"/>
  <c r="AA20" i="35"/>
  <c r="AE20" i="35" s="1"/>
  <c r="Y21" i="35"/>
  <c r="AC21" i="35" s="1"/>
  <c r="P24" i="35"/>
  <c r="I24" i="35"/>
  <c r="AA24" i="35"/>
  <c r="AE24" i="35" s="1"/>
  <c r="Y25" i="35"/>
  <c r="AC25" i="35" s="1"/>
  <c r="X42" i="35"/>
  <c r="AB42" i="35" s="1"/>
  <c r="Z42" i="35"/>
  <c r="AD42" i="35" s="1"/>
  <c r="C99" i="35"/>
  <c r="Z47" i="35"/>
  <c r="AD47" i="35" s="1"/>
  <c r="C104" i="35"/>
  <c r="X22" i="35"/>
  <c r="AB22" i="35" s="1"/>
  <c r="L27" i="35"/>
  <c r="B59" i="35" s="1"/>
  <c r="F28" i="9" s="1"/>
  <c r="K27" i="35"/>
  <c r="D59" i="35" s="1"/>
  <c r="C59" i="35"/>
  <c r="I22" i="35"/>
  <c r="P22" i="35"/>
  <c r="AA22" i="35"/>
  <c r="AE22" i="35" s="1"/>
  <c r="I21" i="35"/>
  <c r="X21" i="35"/>
  <c r="AB21" i="35" s="1"/>
  <c r="P21" i="35"/>
  <c r="AA21" i="35"/>
  <c r="AE21" i="35" s="1"/>
  <c r="Y22" i="35"/>
  <c r="AC22" i="35" s="1"/>
  <c r="X25" i="35"/>
  <c r="AB25" i="35" s="1"/>
  <c r="P25" i="35"/>
  <c r="AA25" i="35"/>
  <c r="AE25" i="35" s="1"/>
  <c r="I25" i="35"/>
  <c r="Z25" i="35"/>
  <c r="AD25" i="35" s="1"/>
  <c r="Y47" i="35"/>
  <c r="AC47" i="35" s="1"/>
  <c r="P12" i="35"/>
  <c r="I12" i="35"/>
  <c r="X12" i="35"/>
  <c r="AB12" i="35" s="1"/>
  <c r="Z12" i="35"/>
  <c r="AD12" i="35" s="1"/>
  <c r="Y12" i="35"/>
  <c r="AC12" i="35" s="1"/>
  <c r="AA12" i="35"/>
  <c r="AE12" i="35" s="1"/>
  <c r="P17" i="35"/>
  <c r="AA17" i="35"/>
  <c r="AE17" i="35" s="1"/>
  <c r="I17" i="35"/>
  <c r="R10" i="35"/>
  <c r="S10" i="35"/>
  <c r="I13" i="35"/>
  <c r="Y13" i="35"/>
  <c r="AC13" i="35" s="1"/>
  <c r="X13" i="35"/>
  <c r="AB13" i="35" s="1"/>
  <c r="P13" i="35"/>
  <c r="AA13" i="35"/>
  <c r="AE13" i="35" s="1"/>
  <c r="Y14" i="35"/>
  <c r="AC14" i="35" s="1"/>
  <c r="P18" i="35"/>
  <c r="R18" i="35" s="1"/>
  <c r="I18" i="35"/>
  <c r="Z22" i="35"/>
  <c r="AD22" i="35" s="1"/>
  <c r="X23" i="35"/>
  <c r="AB23" i="35" s="1"/>
  <c r="P28" i="35"/>
  <c r="AA28" i="35"/>
  <c r="AE28" i="35" s="1"/>
  <c r="I28" i="35"/>
  <c r="X28" i="35"/>
  <c r="AB28" i="35" s="1"/>
  <c r="Y30" i="35"/>
  <c r="AC30" i="35" s="1"/>
  <c r="I35" i="35"/>
  <c r="X35" i="35"/>
  <c r="AB35" i="35" s="1"/>
  <c r="P35" i="35"/>
  <c r="AA35" i="35"/>
  <c r="AE35" i="35" s="1"/>
  <c r="Y37" i="35"/>
  <c r="AC37" i="35" s="1"/>
  <c r="C102" i="35"/>
  <c r="AA45" i="35"/>
  <c r="AE45" i="35" s="1"/>
  <c r="Z45" i="35"/>
  <c r="AD45" i="35" s="1"/>
  <c r="X45" i="35"/>
  <c r="AB45" i="35" s="1"/>
  <c r="Y10" i="35"/>
  <c r="P11" i="35"/>
  <c r="C73" i="35" s="1"/>
  <c r="X11" i="35"/>
  <c r="AB11" i="35" s="1"/>
  <c r="Y26" i="35"/>
  <c r="AC26" i="35" s="1"/>
  <c r="P27" i="35"/>
  <c r="E44" i="35"/>
  <c r="B99" i="35"/>
  <c r="B107" i="35" s="1"/>
  <c r="F51" i="9" s="1"/>
  <c r="I10" i="35"/>
  <c r="AA10" i="35"/>
  <c r="Z11" i="35"/>
  <c r="AD11" i="35" s="1"/>
  <c r="I26" i="35"/>
  <c r="B104" i="35"/>
  <c r="F48" i="9" s="1"/>
  <c r="Y27" i="35"/>
  <c r="AC27" i="35" s="1"/>
  <c r="AA43" i="35"/>
  <c r="AE43" i="35" s="1"/>
  <c r="I11" i="35"/>
  <c r="AA11" i="35"/>
  <c r="AE11" i="35" s="1"/>
  <c r="E30" i="35"/>
  <c r="AA30" i="35" s="1"/>
  <c r="AE30" i="35" s="1"/>
  <c r="E41" i="35"/>
  <c r="X41" i="35" s="1"/>
  <c r="AB41" i="35" s="1"/>
  <c r="E49" i="35"/>
  <c r="X49" i="35" s="1"/>
  <c r="AB49" i="35" s="1"/>
  <c r="B90" i="35"/>
  <c r="F60" i="9" s="1"/>
  <c r="C100" i="35"/>
  <c r="AA40" i="35"/>
  <c r="AE40" i="35" s="1"/>
  <c r="Y46" i="35"/>
  <c r="AC46" i="35" s="1"/>
  <c r="AA48" i="35"/>
  <c r="AE48" i="35" s="1"/>
  <c r="AD10" i="35"/>
  <c r="X38" i="35"/>
  <c r="AB38" i="35" s="1"/>
  <c r="B102" i="35"/>
  <c r="F47" i="9" s="1"/>
  <c r="AA38" i="35"/>
  <c r="AE38" i="35" s="1"/>
  <c r="P26" i="35"/>
  <c r="D61" i="9"/>
  <c r="D62" i="9"/>
  <c r="D42" i="9"/>
  <c r="I4" i="9"/>
  <c r="I5" i="9"/>
  <c r="I7" i="9"/>
  <c r="I8" i="9"/>
  <c r="I9" i="9"/>
  <c r="I10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4" i="9"/>
  <c r="I45" i="9"/>
  <c r="I46" i="9"/>
  <c r="I47" i="9"/>
  <c r="I48" i="9"/>
  <c r="I49" i="9"/>
  <c r="I50" i="9"/>
  <c r="I51" i="9"/>
  <c r="I52" i="9"/>
  <c r="I55" i="9"/>
  <c r="I57" i="9"/>
  <c r="I58" i="9"/>
  <c r="I59" i="9"/>
  <c r="I60" i="9"/>
  <c r="I61" i="9"/>
  <c r="I62" i="9"/>
  <c r="I53" i="9"/>
  <c r="A89" i="8"/>
  <c r="A88" i="8"/>
  <c r="A87" i="8"/>
  <c r="C32" i="30"/>
  <c r="B105" i="14"/>
  <c r="C72" i="14"/>
  <c r="D72" i="14"/>
  <c r="C73" i="14"/>
  <c r="D73" i="14"/>
  <c r="C78" i="14"/>
  <c r="D78" i="14"/>
  <c r="C81" i="14"/>
  <c r="D81" i="14"/>
  <c r="C83" i="14"/>
  <c r="D83" i="14"/>
  <c r="B78" i="14"/>
  <c r="B81" i="14"/>
  <c r="J18" i="9" s="1"/>
  <c r="B83" i="14"/>
  <c r="B72" i="14"/>
  <c r="J33" i="9" s="1"/>
  <c r="B73" i="14"/>
  <c r="J34" i="9" s="1"/>
  <c r="D58" i="14"/>
  <c r="D65" i="14"/>
  <c r="B58" i="14"/>
  <c r="B65" i="14"/>
  <c r="J23" i="9" s="1"/>
  <c r="B34" i="14"/>
  <c r="C58" i="14"/>
  <c r="C65" i="14"/>
  <c r="T15" i="14"/>
  <c r="U15" i="14"/>
  <c r="V15" i="14"/>
  <c r="W15" i="14"/>
  <c r="Q15" i="14"/>
  <c r="O15" i="14"/>
  <c r="B15" i="14"/>
  <c r="J24" i="24"/>
  <c r="H24" i="24"/>
  <c r="B24" i="24"/>
  <c r="N28" i="23"/>
  <c r="J23" i="24"/>
  <c r="H23" i="24"/>
  <c r="B23" i="24"/>
  <c r="N19" i="15"/>
  <c r="AE32" i="12"/>
  <c r="AF32" i="12"/>
  <c r="AG32" i="12"/>
  <c r="AH32" i="12"/>
  <c r="Q32" i="12"/>
  <c r="P32" i="12"/>
  <c r="K31" i="12"/>
  <c r="K32" i="12"/>
  <c r="C32" i="12"/>
  <c r="G32" i="12" s="1"/>
  <c r="C33" i="12"/>
  <c r="T31" i="24"/>
  <c r="U31" i="24"/>
  <c r="V31" i="24"/>
  <c r="W31" i="24"/>
  <c r="T32" i="24"/>
  <c r="U32" i="24"/>
  <c r="V32" i="24"/>
  <c r="W32" i="24"/>
  <c r="Q31" i="24"/>
  <c r="O31" i="24"/>
  <c r="O32" i="24"/>
  <c r="J31" i="24"/>
  <c r="H31" i="24"/>
  <c r="B31" i="24"/>
  <c r="B74" i="24"/>
  <c r="K33" i="9" s="1"/>
  <c r="C74" i="24"/>
  <c r="E74" i="24" s="1"/>
  <c r="D74" i="24"/>
  <c r="B75" i="24"/>
  <c r="K34" i="9" s="1"/>
  <c r="C75" i="24"/>
  <c r="E75" i="24" s="1"/>
  <c r="D75" i="24"/>
  <c r="B80" i="24"/>
  <c r="C80" i="24"/>
  <c r="E80" i="24" s="1"/>
  <c r="D80" i="24"/>
  <c r="B83" i="24"/>
  <c r="K18" i="9" s="1"/>
  <c r="C83" i="24"/>
  <c r="E83" i="24" s="1"/>
  <c r="D83" i="24"/>
  <c r="B85" i="24"/>
  <c r="C85" i="24"/>
  <c r="E85" i="24" s="1"/>
  <c r="D85" i="24"/>
  <c r="B61" i="24"/>
  <c r="C61" i="24"/>
  <c r="E61" i="24" s="1"/>
  <c r="D61" i="24"/>
  <c r="B68" i="24"/>
  <c r="K23" i="9" s="1"/>
  <c r="C68" i="24"/>
  <c r="E68" i="24" s="1"/>
  <c r="D68" i="24"/>
  <c r="Q15" i="24"/>
  <c r="T15" i="24"/>
  <c r="U15" i="24"/>
  <c r="V15" i="24"/>
  <c r="W15" i="24"/>
  <c r="O15" i="24"/>
  <c r="B15" i="24"/>
  <c r="R2" i="23"/>
  <c r="S2" i="23"/>
  <c r="G24" i="23"/>
  <c r="J24" i="14"/>
  <c r="J26" i="24"/>
  <c r="M39" i="23"/>
  <c r="N37" i="23"/>
  <c r="N34" i="23"/>
  <c r="N35" i="23" s="1"/>
  <c r="W18" i="23"/>
  <c r="W19" i="23"/>
  <c r="W20" i="23"/>
  <c r="W21" i="23"/>
  <c r="W22" i="23"/>
  <c r="W23" i="23"/>
  <c r="W24" i="23"/>
  <c r="W17" i="23"/>
  <c r="F27" i="23"/>
  <c r="F28" i="23"/>
  <c r="F29" i="23"/>
  <c r="F30" i="23"/>
  <c r="F26" i="23"/>
  <c r="D43" i="24"/>
  <c r="D44" i="24"/>
  <c r="D45" i="24"/>
  <c r="D46" i="24"/>
  <c r="D47" i="24"/>
  <c r="D48" i="24"/>
  <c r="D49" i="24"/>
  <c r="D50" i="24"/>
  <c r="D51" i="24"/>
  <c r="D42" i="24"/>
  <c r="A106" i="24"/>
  <c r="A105" i="24"/>
  <c r="A104" i="24"/>
  <c r="A103" i="24"/>
  <c r="A102" i="24"/>
  <c r="A101" i="24"/>
  <c r="A100" i="24"/>
  <c r="A99" i="24"/>
  <c r="A98" i="24"/>
  <c r="A97" i="24"/>
  <c r="W51" i="24"/>
  <c r="V51" i="24"/>
  <c r="U51" i="24"/>
  <c r="T51" i="24"/>
  <c r="B51" i="24"/>
  <c r="W50" i="24"/>
  <c r="V50" i="24"/>
  <c r="U50" i="24"/>
  <c r="T50" i="24"/>
  <c r="B50" i="24"/>
  <c r="W49" i="24"/>
  <c r="V49" i="24"/>
  <c r="U49" i="24"/>
  <c r="T49" i="24"/>
  <c r="B49" i="24"/>
  <c r="W48" i="24"/>
  <c r="V48" i="24"/>
  <c r="U48" i="24"/>
  <c r="T48" i="24"/>
  <c r="B48" i="24"/>
  <c r="W47" i="24"/>
  <c r="V47" i="24"/>
  <c r="U47" i="24"/>
  <c r="T47" i="24"/>
  <c r="B47" i="24"/>
  <c r="W46" i="24"/>
  <c r="V46" i="24"/>
  <c r="U46" i="24"/>
  <c r="T46" i="24"/>
  <c r="B46" i="24"/>
  <c r="W45" i="24"/>
  <c r="V45" i="24"/>
  <c r="U45" i="24"/>
  <c r="T45" i="24"/>
  <c r="B45" i="24"/>
  <c r="W44" i="24"/>
  <c r="V44" i="24"/>
  <c r="U44" i="24"/>
  <c r="T44" i="24"/>
  <c r="B44" i="24"/>
  <c r="W43" i="24"/>
  <c r="V43" i="24"/>
  <c r="U43" i="24"/>
  <c r="T43" i="24"/>
  <c r="B43" i="24"/>
  <c r="W42" i="24"/>
  <c r="V42" i="24"/>
  <c r="U42" i="24"/>
  <c r="T42" i="24"/>
  <c r="B42" i="24"/>
  <c r="W40" i="24"/>
  <c r="V40" i="24"/>
  <c r="U40" i="24"/>
  <c r="T40" i="24"/>
  <c r="Q40" i="24"/>
  <c r="O40" i="24"/>
  <c r="J40" i="24"/>
  <c r="H40" i="24"/>
  <c r="W39" i="24"/>
  <c r="V39" i="24"/>
  <c r="U39" i="24"/>
  <c r="T39" i="24"/>
  <c r="Q39" i="24"/>
  <c r="O39" i="24"/>
  <c r="J39" i="24"/>
  <c r="H39" i="24"/>
  <c r="B39" i="24"/>
  <c r="W38" i="24"/>
  <c r="V38" i="24"/>
  <c r="U38" i="24"/>
  <c r="T38" i="24"/>
  <c r="Q38" i="24"/>
  <c r="O38" i="24"/>
  <c r="J38" i="24"/>
  <c r="H38" i="24"/>
  <c r="B38" i="24"/>
  <c r="W37" i="24"/>
  <c r="V37" i="24"/>
  <c r="U37" i="24"/>
  <c r="T37" i="24"/>
  <c r="Q37" i="24"/>
  <c r="O37" i="24"/>
  <c r="J37" i="24"/>
  <c r="H37" i="24"/>
  <c r="B37" i="24"/>
  <c r="W36" i="24"/>
  <c r="V36" i="24"/>
  <c r="U36" i="24"/>
  <c r="T36" i="24"/>
  <c r="Q36" i="24"/>
  <c r="O36" i="24"/>
  <c r="J36" i="24"/>
  <c r="H36" i="24"/>
  <c r="B36" i="24"/>
  <c r="W35" i="24"/>
  <c r="V35" i="24"/>
  <c r="U35" i="24"/>
  <c r="T35" i="24"/>
  <c r="Q35" i="24"/>
  <c r="O35" i="24"/>
  <c r="J35" i="24"/>
  <c r="H35" i="24"/>
  <c r="B35" i="24"/>
  <c r="W34" i="24"/>
  <c r="V34" i="24"/>
  <c r="U34" i="24"/>
  <c r="T34" i="24"/>
  <c r="Q34" i="24"/>
  <c r="O34" i="24"/>
  <c r="J34" i="24"/>
  <c r="H34" i="24"/>
  <c r="B34" i="24"/>
  <c r="W33" i="24"/>
  <c r="V33" i="24"/>
  <c r="U33" i="24"/>
  <c r="T33" i="24"/>
  <c r="Q33" i="24"/>
  <c r="O33" i="24"/>
  <c r="J33" i="24"/>
  <c r="H33" i="24"/>
  <c r="B33" i="24"/>
  <c r="Q32" i="24"/>
  <c r="J32" i="24"/>
  <c r="H32" i="24"/>
  <c r="B32" i="24"/>
  <c r="J30" i="24"/>
  <c r="H30" i="24"/>
  <c r="B30" i="24"/>
  <c r="W29" i="24"/>
  <c r="V29" i="24"/>
  <c r="U29" i="24"/>
  <c r="T29" i="24"/>
  <c r="Q29" i="24"/>
  <c r="O29" i="24"/>
  <c r="J29" i="24"/>
  <c r="H29" i="24"/>
  <c r="B29" i="24"/>
  <c r="W28" i="24"/>
  <c r="V28" i="24"/>
  <c r="U28" i="24"/>
  <c r="T28" i="24"/>
  <c r="Q28" i="24"/>
  <c r="O28" i="24"/>
  <c r="J28" i="24"/>
  <c r="H28" i="24"/>
  <c r="B28" i="24"/>
  <c r="W26" i="24"/>
  <c r="V26" i="24"/>
  <c r="U26" i="24"/>
  <c r="T26" i="24"/>
  <c r="Q26" i="24"/>
  <c r="O26" i="24"/>
  <c r="B26" i="24"/>
  <c r="W25" i="24"/>
  <c r="V25" i="24"/>
  <c r="U25" i="24"/>
  <c r="T25" i="24"/>
  <c r="Q25" i="24"/>
  <c r="O25" i="24"/>
  <c r="J25" i="24"/>
  <c r="H25" i="24"/>
  <c r="B25" i="24"/>
  <c r="W22" i="24"/>
  <c r="V22" i="24"/>
  <c r="U22" i="24"/>
  <c r="T22" i="24"/>
  <c r="Q22" i="24"/>
  <c r="O22" i="24"/>
  <c r="J22" i="24"/>
  <c r="H22" i="24"/>
  <c r="B22" i="24"/>
  <c r="W21" i="24"/>
  <c r="V21" i="24"/>
  <c r="U21" i="24"/>
  <c r="T21" i="24"/>
  <c r="Q21" i="24"/>
  <c r="O21" i="24"/>
  <c r="J21" i="24"/>
  <c r="H21" i="24"/>
  <c r="B21" i="24"/>
  <c r="W20" i="24"/>
  <c r="V20" i="24"/>
  <c r="U20" i="24"/>
  <c r="T20" i="24"/>
  <c r="Q20" i="24"/>
  <c r="O20" i="24"/>
  <c r="J20" i="24"/>
  <c r="H20" i="24"/>
  <c r="B20" i="24"/>
  <c r="W19" i="24"/>
  <c r="V19" i="24"/>
  <c r="U19" i="24"/>
  <c r="T19" i="24"/>
  <c r="Q19" i="24"/>
  <c r="O19" i="24"/>
  <c r="J19" i="24"/>
  <c r="H19" i="24"/>
  <c r="B19" i="24"/>
  <c r="W18" i="24"/>
  <c r="V18" i="24"/>
  <c r="U18" i="24"/>
  <c r="T18" i="24"/>
  <c r="Q18" i="24"/>
  <c r="O18" i="24"/>
  <c r="J18" i="24"/>
  <c r="H18" i="24"/>
  <c r="B18" i="24"/>
  <c r="W17" i="24"/>
  <c r="V17" i="24"/>
  <c r="U17" i="24"/>
  <c r="T17" i="24"/>
  <c r="Q17" i="24"/>
  <c r="O17" i="24"/>
  <c r="J17" i="24"/>
  <c r="H17" i="24"/>
  <c r="B17" i="24"/>
  <c r="W16" i="24"/>
  <c r="V16" i="24"/>
  <c r="U16" i="24"/>
  <c r="T16" i="24"/>
  <c r="Q16" i="24"/>
  <c r="O16" i="24"/>
  <c r="J16" i="24"/>
  <c r="H16" i="24"/>
  <c r="B16" i="24"/>
  <c r="D5" i="24"/>
  <c r="C5" i="24"/>
  <c r="D4" i="24"/>
  <c r="B8" i="24" s="1"/>
  <c r="N16" i="23"/>
  <c r="N17" i="23" s="1"/>
  <c r="N18" i="23" s="1"/>
  <c r="N23" i="23"/>
  <c r="V8" i="23"/>
  <c r="V7" i="23"/>
  <c r="V6" i="23"/>
  <c r="W6" i="23" s="1"/>
  <c r="V9" i="23"/>
  <c r="W9" i="23" s="1"/>
  <c r="V10" i="23"/>
  <c r="W10" i="23" s="1"/>
  <c r="V11" i="23"/>
  <c r="W11" i="23" s="1"/>
  <c r="V12" i="23"/>
  <c r="V13" i="23"/>
  <c r="V14" i="23"/>
  <c r="W14" i="23" s="1"/>
  <c r="V5" i="23"/>
  <c r="W5" i="23" s="1"/>
  <c r="E59" i="23"/>
  <c r="K28" i="23"/>
  <c r="K22" i="23"/>
  <c r="K16" i="23"/>
  <c r="C14" i="23"/>
  <c r="C13" i="23"/>
  <c r="C8" i="23"/>
  <c r="C7" i="23"/>
  <c r="C6" i="23"/>
  <c r="C5" i="23"/>
  <c r="C4" i="23"/>
  <c r="S6" i="15"/>
  <c r="T6" i="15" s="1"/>
  <c r="S7" i="15"/>
  <c r="T7" i="15" s="1"/>
  <c r="S8" i="15"/>
  <c r="T8" i="15" s="1"/>
  <c r="S9" i="15"/>
  <c r="T9" i="15" s="1"/>
  <c r="S10" i="15"/>
  <c r="T10" i="15" s="1"/>
  <c r="S11" i="15"/>
  <c r="T11" i="15" s="1"/>
  <c r="S12" i="15"/>
  <c r="T12" i="15" s="1"/>
  <c r="S13" i="15"/>
  <c r="T13" i="15" s="1"/>
  <c r="S14" i="15"/>
  <c r="T14" i="15" s="1"/>
  <c r="S5" i="15"/>
  <c r="T5" i="15" s="1"/>
  <c r="X31" i="37" l="1"/>
  <c r="AB31" i="37" s="1"/>
  <c r="AA31" i="37"/>
  <c r="AE31" i="37" s="1"/>
  <c r="I31" i="37"/>
  <c r="P31" i="37"/>
  <c r="Z31" i="37"/>
  <c r="AD31" i="37" s="1"/>
  <c r="Y31" i="37"/>
  <c r="AC31" i="37" s="1"/>
  <c r="I20" i="37"/>
  <c r="I26" i="37"/>
  <c r="P18" i="37"/>
  <c r="R18" i="37" s="1"/>
  <c r="Z18" i="37"/>
  <c r="AD18" i="37" s="1"/>
  <c r="Z26" i="37"/>
  <c r="AD26" i="37" s="1"/>
  <c r="Y26" i="37"/>
  <c r="AC26" i="37" s="1"/>
  <c r="P23" i="37"/>
  <c r="X26" i="37"/>
  <c r="AB26" i="37" s="1"/>
  <c r="L23" i="37"/>
  <c r="B61" i="37" s="1"/>
  <c r="H30" i="9" s="1"/>
  <c r="AA18" i="37"/>
  <c r="AE18" i="37" s="1"/>
  <c r="AA23" i="37"/>
  <c r="AE23" i="37" s="1"/>
  <c r="K23" i="37"/>
  <c r="D61" i="37" s="1"/>
  <c r="Y23" i="37"/>
  <c r="AC23" i="37" s="1"/>
  <c r="P26" i="37"/>
  <c r="X18" i="37"/>
  <c r="AB18" i="37" s="1"/>
  <c r="AA30" i="36"/>
  <c r="AE30" i="36" s="1"/>
  <c r="Y25" i="37"/>
  <c r="AC25" i="37" s="1"/>
  <c r="X25" i="37"/>
  <c r="AB25" i="37" s="1"/>
  <c r="P25" i="37"/>
  <c r="I25" i="37"/>
  <c r="AA25" i="37"/>
  <c r="AE25" i="37" s="1"/>
  <c r="Z25" i="37"/>
  <c r="AD25" i="37" s="1"/>
  <c r="P22" i="37"/>
  <c r="AA10" i="37"/>
  <c r="AE10" i="37" s="1"/>
  <c r="Z22" i="37"/>
  <c r="AD22" i="37" s="1"/>
  <c r="Z47" i="37"/>
  <c r="AD47" i="37" s="1"/>
  <c r="X22" i="37"/>
  <c r="AB22" i="37" s="1"/>
  <c r="X47" i="37"/>
  <c r="AB47" i="37" s="1"/>
  <c r="E41" i="37"/>
  <c r="AA41" i="37" s="1"/>
  <c r="AE41" i="37" s="1"/>
  <c r="I22" i="37"/>
  <c r="C60" i="37" s="1"/>
  <c r="AA20" i="37"/>
  <c r="AE20" i="37" s="1"/>
  <c r="AA15" i="37"/>
  <c r="AE15" i="37" s="1"/>
  <c r="B104" i="37"/>
  <c r="H48" i="9" s="1"/>
  <c r="Y47" i="37"/>
  <c r="AC47" i="37" s="1"/>
  <c r="AA47" i="37"/>
  <c r="AE47" i="37" s="1"/>
  <c r="B99" i="37"/>
  <c r="B107" i="37" s="1"/>
  <c r="H51" i="9" s="1"/>
  <c r="Y20" i="37"/>
  <c r="AC20" i="37" s="1"/>
  <c r="I12" i="37"/>
  <c r="K12" i="37" s="1"/>
  <c r="D63" i="37" s="1"/>
  <c r="Y45" i="37"/>
  <c r="AC45" i="37" s="1"/>
  <c r="Z20" i="37"/>
  <c r="AD20" i="37" s="1"/>
  <c r="X45" i="37"/>
  <c r="AB45" i="37" s="1"/>
  <c r="Z12" i="37"/>
  <c r="AD12" i="37" s="1"/>
  <c r="Z28" i="37"/>
  <c r="AD28" i="37" s="1"/>
  <c r="P12" i="37"/>
  <c r="AA28" i="37"/>
  <c r="AE28" i="37" s="1"/>
  <c r="AA42" i="37"/>
  <c r="AE42" i="37" s="1"/>
  <c r="E40" i="37"/>
  <c r="B97" i="37"/>
  <c r="H44" i="9" s="1"/>
  <c r="E43" i="37"/>
  <c r="B100" i="37"/>
  <c r="B108" i="37" s="1"/>
  <c r="H52" i="9" s="1"/>
  <c r="C99" i="37"/>
  <c r="Y12" i="37"/>
  <c r="AC12" i="37" s="1"/>
  <c r="AA45" i="37"/>
  <c r="AE45" i="37" s="1"/>
  <c r="P28" i="37"/>
  <c r="S28" i="37" s="1"/>
  <c r="B76" i="37" s="1"/>
  <c r="X42" i="37"/>
  <c r="AB42" i="37" s="1"/>
  <c r="I28" i="37"/>
  <c r="C54" i="37" s="1"/>
  <c r="E48" i="37"/>
  <c r="B105" i="37"/>
  <c r="H49" i="9" s="1"/>
  <c r="B102" i="37"/>
  <c r="H47" i="9" s="1"/>
  <c r="AA12" i="37"/>
  <c r="AE12" i="37" s="1"/>
  <c r="B110" i="37"/>
  <c r="X10" i="37"/>
  <c r="AB10" i="37" s="1"/>
  <c r="Z11" i="37"/>
  <c r="AD11" i="37" s="1"/>
  <c r="Z23" i="37"/>
  <c r="AD23" i="37" s="1"/>
  <c r="X15" i="37"/>
  <c r="AB15" i="37" s="1"/>
  <c r="X49" i="42"/>
  <c r="AB49" i="42" s="1"/>
  <c r="Y46" i="42"/>
  <c r="AC46" i="42" s="1"/>
  <c r="AA43" i="42"/>
  <c r="AE43" i="42" s="1"/>
  <c r="AA38" i="42"/>
  <c r="AE38" i="42" s="1"/>
  <c r="C106" i="42"/>
  <c r="Z49" i="42"/>
  <c r="AD49" i="42" s="1"/>
  <c r="K25" i="42"/>
  <c r="D62" i="42" s="1"/>
  <c r="C62" i="42"/>
  <c r="L25" i="42"/>
  <c r="B62" i="42" s="1"/>
  <c r="E31" i="9" s="1"/>
  <c r="C73" i="42"/>
  <c r="S10" i="42"/>
  <c r="R10" i="42"/>
  <c r="L24" i="42"/>
  <c r="K24" i="42"/>
  <c r="S35" i="42"/>
  <c r="R35" i="42"/>
  <c r="S20" i="42"/>
  <c r="R20" i="42"/>
  <c r="AD10" i="42"/>
  <c r="K21" i="42"/>
  <c r="L21" i="42"/>
  <c r="AC10" i="42"/>
  <c r="L27" i="42"/>
  <c r="B59" i="42" s="1"/>
  <c r="E28" i="9" s="1"/>
  <c r="K27" i="42"/>
  <c r="D59" i="42" s="1"/>
  <c r="C59" i="42"/>
  <c r="AA49" i="42"/>
  <c r="AE49" i="42" s="1"/>
  <c r="AB10" i="42"/>
  <c r="K13" i="42"/>
  <c r="D55" i="42" s="1"/>
  <c r="C55" i="42"/>
  <c r="L13" i="42"/>
  <c r="B55" i="42" s="1"/>
  <c r="E13" i="9" s="1"/>
  <c r="C98" i="42"/>
  <c r="Z41" i="42"/>
  <c r="AD41" i="42" s="1"/>
  <c r="L18" i="42"/>
  <c r="K18" i="42"/>
  <c r="S25" i="42"/>
  <c r="R25" i="42"/>
  <c r="S31" i="42"/>
  <c r="B79" i="42" s="1"/>
  <c r="E21" i="9" s="1"/>
  <c r="R31" i="42"/>
  <c r="D79" i="42" s="1"/>
  <c r="C79" i="42"/>
  <c r="R12" i="42"/>
  <c r="S12" i="42"/>
  <c r="R24" i="42"/>
  <c r="D74" i="42" s="1"/>
  <c r="C74" i="42"/>
  <c r="S24" i="42"/>
  <c r="B74" i="42" s="1"/>
  <c r="Z38" i="42"/>
  <c r="AD38" i="42" s="1"/>
  <c r="X41" i="42"/>
  <c r="AB41" i="42" s="1"/>
  <c r="C60" i="42"/>
  <c r="L22" i="42"/>
  <c r="B60" i="42" s="1"/>
  <c r="E29" i="9" s="1"/>
  <c r="K22" i="42"/>
  <c r="D60" i="42" s="1"/>
  <c r="Z30" i="42"/>
  <c r="AD30" i="42" s="1"/>
  <c r="AA30" i="42"/>
  <c r="AE30" i="42" s="1"/>
  <c r="I30" i="42"/>
  <c r="X30" i="42"/>
  <c r="AB30" i="42" s="1"/>
  <c r="P30" i="42"/>
  <c r="Y43" i="42"/>
  <c r="AC43" i="42" s="1"/>
  <c r="C100" i="42"/>
  <c r="AA44" i="42"/>
  <c r="AE44" i="42" s="1"/>
  <c r="S15" i="42"/>
  <c r="R15" i="42"/>
  <c r="AA41" i="42"/>
  <c r="AE41" i="42" s="1"/>
  <c r="S23" i="42"/>
  <c r="R23" i="42"/>
  <c r="K26" i="42"/>
  <c r="D66" i="42" s="1"/>
  <c r="C66" i="42"/>
  <c r="L26" i="42"/>
  <c r="B66" i="42" s="1"/>
  <c r="E32" i="9" s="1"/>
  <c r="L11" i="42"/>
  <c r="K11" i="42"/>
  <c r="Y30" i="42"/>
  <c r="AC30" i="42" s="1"/>
  <c r="Y41" i="42"/>
  <c r="AC41" i="42" s="1"/>
  <c r="S22" i="42"/>
  <c r="R22" i="42"/>
  <c r="Z44" i="42"/>
  <c r="AD44" i="42" s="1"/>
  <c r="C101" i="42"/>
  <c r="X44" i="42"/>
  <c r="AB44" i="42" s="1"/>
  <c r="C64" i="42"/>
  <c r="L17" i="42"/>
  <c r="B64" i="42" s="1"/>
  <c r="E22" i="9" s="1"/>
  <c r="K17" i="42"/>
  <c r="K37" i="42"/>
  <c r="L37" i="42"/>
  <c r="X38" i="42"/>
  <c r="AB38" i="42" s="1"/>
  <c r="S11" i="42"/>
  <c r="R11" i="42"/>
  <c r="S14" i="42"/>
  <c r="R14" i="42"/>
  <c r="K35" i="42"/>
  <c r="L35" i="42"/>
  <c r="R17" i="42"/>
  <c r="S17" i="42"/>
  <c r="S26" i="42"/>
  <c r="R26" i="42"/>
  <c r="L10" i="42"/>
  <c r="B57" i="42" s="1"/>
  <c r="E15" i="9" s="1"/>
  <c r="C57" i="42"/>
  <c r="K10" i="42"/>
  <c r="D57" i="42" s="1"/>
  <c r="S28" i="42"/>
  <c r="B76" i="42" s="1"/>
  <c r="R28" i="42"/>
  <c r="D76" i="42" s="1"/>
  <c r="C76" i="42"/>
  <c r="S21" i="42"/>
  <c r="R21" i="42"/>
  <c r="L15" i="42"/>
  <c r="C54" i="42"/>
  <c r="K15" i="42"/>
  <c r="C70" i="42"/>
  <c r="S37" i="42"/>
  <c r="B70" i="42" s="1"/>
  <c r="E17" i="9" s="1"/>
  <c r="R37" i="42"/>
  <c r="D70" i="42" s="1"/>
  <c r="S27" i="42"/>
  <c r="R27" i="42"/>
  <c r="C61" i="42"/>
  <c r="L23" i="42"/>
  <c r="B61" i="42" s="1"/>
  <c r="E30" i="9" s="1"/>
  <c r="K23" i="42"/>
  <c r="D61" i="42" s="1"/>
  <c r="AE10" i="42"/>
  <c r="S13" i="42"/>
  <c r="B69" i="42" s="1"/>
  <c r="C69" i="42"/>
  <c r="R13" i="42"/>
  <c r="Z43" i="42"/>
  <c r="AD43" i="42" s="1"/>
  <c r="Z41" i="35"/>
  <c r="AD41" i="35" s="1"/>
  <c r="C106" i="37"/>
  <c r="Y49" i="37"/>
  <c r="AC49" i="37" s="1"/>
  <c r="K13" i="37"/>
  <c r="D55" i="37" s="1"/>
  <c r="C55" i="37"/>
  <c r="L13" i="37"/>
  <c r="B55" i="37" s="1"/>
  <c r="H13" i="9" s="1"/>
  <c r="R26" i="37"/>
  <c r="S26" i="37"/>
  <c r="S14" i="37"/>
  <c r="R14" i="37"/>
  <c r="C98" i="37"/>
  <c r="C64" i="37"/>
  <c r="L17" i="37"/>
  <c r="K17" i="37"/>
  <c r="I30" i="37"/>
  <c r="Z30" i="37"/>
  <c r="AD30" i="37" s="1"/>
  <c r="X30" i="37"/>
  <c r="AB30" i="37" s="1"/>
  <c r="P30" i="37"/>
  <c r="C68" i="37" s="1"/>
  <c r="S27" i="37"/>
  <c r="R27" i="37"/>
  <c r="S31" i="37"/>
  <c r="B79" i="37" s="1"/>
  <c r="H21" i="9" s="1"/>
  <c r="R31" i="37"/>
  <c r="D79" i="37" s="1"/>
  <c r="C79" i="37"/>
  <c r="AA30" i="37"/>
  <c r="C56" i="37"/>
  <c r="L14" i="37"/>
  <c r="B56" i="37" s="1"/>
  <c r="H14" i="9" s="1"/>
  <c r="K14" i="37"/>
  <c r="D56" i="37" s="1"/>
  <c r="K28" i="37"/>
  <c r="L27" i="37"/>
  <c r="B59" i="37" s="1"/>
  <c r="H28" i="9" s="1"/>
  <c r="K27" i="37"/>
  <c r="D59" i="37" s="1"/>
  <c r="C59" i="37"/>
  <c r="R17" i="37"/>
  <c r="S17" i="37"/>
  <c r="L31" i="37"/>
  <c r="K31" i="37"/>
  <c r="L18" i="37"/>
  <c r="K18" i="37"/>
  <c r="S35" i="37"/>
  <c r="R35" i="37"/>
  <c r="S21" i="37"/>
  <c r="R21" i="37"/>
  <c r="S23" i="37"/>
  <c r="R23" i="37"/>
  <c r="L11" i="37"/>
  <c r="K11" i="37"/>
  <c r="S11" i="37"/>
  <c r="B73" i="37" s="1"/>
  <c r="H25" i="9" s="1"/>
  <c r="R11" i="37"/>
  <c r="D73" i="37" s="1"/>
  <c r="L24" i="37"/>
  <c r="K24" i="37"/>
  <c r="S22" i="37"/>
  <c r="R22" i="37"/>
  <c r="Z44" i="37"/>
  <c r="AD44" i="37" s="1"/>
  <c r="Y44" i="37"/>
  <c r="AC44" i="37" s="1"/>
  <c r="C101" i="37"/>
  <c r="S15" i="37"/>
  <c r="R15" i="37"/>
  <c r="L10" i="37"/>
  <c r="K10" i="37"/>
  <c r="C57" i="37"/>
  <c r="AC10" i="37"/>
  <c r="R24" i="37"/>
  <c r="D74" i="37" s="1"/>
  <c r="C74" i="37"/>
  <c r="S24" i="37"/>
  <c r="B74" i="37" s="1"/>
  <c r="S13" i="37"/>
  <c r="R13" i="37"/>
  <c r="D69" i="37" s="1"/>
  <c r="C69" i="37"/>
  <c r="C73" i="37"/>
  <c r="L12" i="37"/>
  <c r="B63" i="37" s="1"/>
  <c r="H19" i="9" s="1"/>
  <c r="L37" i="37"/>
  <c r="K37" i="37"/>
  <c r="L35" i="37"/>
  <c r="K35" i="37"/>
  <c r="K21" i="37"/>
  <c r="L21" i="37"/>
  <c r="AA49" i="37"/>
  <c r="AE49" i="37" s="1"/>
  <c r="Z49" i="37"/>
  <c r="AD49" i="37" s="1"/>
  <c r="S20" i="37"/>
  <c r="R20" i="37"/>
  <c r="S12" i="37"/>
  <c r="R12" i="37"/>
  <c r="C66" i="37"/>
  <c r="L26" i="37"/>
  <c r="B66" i="37" s="1"/>
  <c r="H32" i="9" s="1"/>
  <c r="K26" i="37"/>
  <c r="D66" i="37" s="1"/>
  <c r="L22" i="37"/>
  <c r="B60" i="37" s="1"/>
  <c r="H29" i="9" s="1"/>
  <c r="Y30" i="37"/>
  <c r="AC30" i="37" s="1"/>
  <c r="C62" i="37"/>
  <c r="L25" i="37"/>
  <c r="B62" i="37" s="1"/>
  <c r="H31" i="9" s="1"/>
  <c r="K25" i="37"/>
  <c r="D62" i="37" s="1"/>
  <c r="AA44" i="37"/>
  <c r="AE44" i="37" s="1"/>
  <c r="L20" i="37"/>
  <c r="K20" i="37"/>
  <c r="X44" i="37"/>
  <c r="AB44" i="37" s="1"/>
  <c r="C70" i="37"/>
  <c r="S37" i="37"/>
  <c r="B70" i="37" s="1"/>
  <c r="H17" i="9" s="1"/>
  <c r="R37" i="37"/>
  <c r="D70" i="37" s="1"/>
  <c r="S25" i="37"/>
  <c r="R25" i="37"/>
  <c r="R24" i="36"/>
  <c r="D74" i="36" s="1"/>
  <c r="C74" i="36"/>
  <c r="S24" i="36"/>
  <c r="B74" i="36" s="1"/>
  <c r="C106" i="36"/>
  <c r="Y49" i="36"/>
  <c r="AC49" i="36" s="1"/>
  <c r="Z44" i="36"/>
  <c r="AD44" i="36" s="1"/>
  <c r="Y44" i="36"/>
  <c r="AC44" i="36" s="1"/>
  <c r="C101" i="36"/>
  <c r="AD10" i="36"/>
  <c r="AA49" i="36"/>
  <c r="AE49" i="36" s="1"/>
  <c r="S20" i="36"/>
  <c r="R20" i="36"/>
  <c r="S31" i="36"/>
  <c r="B79" i="36" s="1"/>
  <c r="G21" i="9" s="1"/>
  <c r="C79" i="36"/>
  <c r="R31" i="36"/>
  <c r="D79" i="36" s="1"/>
  <c r="C61" i="36"/>
  <c r="K23" i="36"/>
  <c r="D61" i="36" s="1"/>
  <c r="L23" i="36"/>
  <c r="B61" i="36" s="1"/>
  <c r="G30" i="9" s="1"/>
  <c r="R17" i="36"/>
  <c r="S17" i="36"/>
  <c r="C98" i="36"/>
  <c r="Y41" i="36"/>
  <c r="AC41" i="36" s="1"/>
  <c r="S27" i="36"/>
  <c r="R27" i="36"/>
  <c r="S21" i="36"/>
  <c r="R21" i="36"/>
  <c r="AC10" i="36"/>
  <c r="S15" i="36"/>
  <c r="R15" i="36"/>
  <c r="Z41" i="36"/>
  <c r="AD41" i="36" s="1"/>
  <c r="K13" i="36"/>
  <c r="D55" i="36" s="1"/>
  <c r="C55" i="36"/>
  <c r="L13" i="36"/>
  <c r="B55" i="36" s="1"/>
  <c r="G13" i="9" s="1"/>
  <c r="L22" i="36"/>
  <c r="B60" i="36" s="1"/>
  <c r="G29" i="9" s="1"/>
  <c r="C60" i="36"/>
  <c r="K22" i="36"/>
  <c r="D60" i="36" s="1"/>
  <c r="I30" i="36"/>
  <c r="Z30" i="36"/>
  <c r="AD30" i="36" s="1"/>
  <c r="P30" i="36"/>
  <c r="L24" i="36"/>
  <c r="K24" i="36"/>
  <c r="Y30" i="36"/>
  <c r="AC30" i="36" s="1"/>
  <c r="L10" i="36"/>
  <c r="K10" i="36"/>
  <c r="C57" i="36"/>
  <c r="L20" i="36"/>
  <c r="K20" i="36"/>
  <c r="L31" i="36"/>
  <c r="K31" i="36"/>
  <c r="S14" i="36"/>
  <c r="R14" i="36"/>
  <c r="S35" i="36"/>
  <c r="R35" i="36"/>
  <c r="S25" i="36"/>
  <c r="R25" i="36"/>
  <c r="R26" i="36"/>
  <c r="S26" i="36"/>
  <c r="L11" i="36"/>
  <c r="K11" i="36"/>
  <c r="X41" i="36"/>
  <c r="AB41" i="36" s="1"/>
  <c r="K21" i="36"/>
  <c r="L21" i="36"/>
  <c r="C73" i="36"/>
  <c r="R10" i="36"/>
  <c r="S10" i="36"/>
  <c r="Z49" i="36"/>
  <c r="AD49" i="36" s="1"/>
  <c r="X49" i="36"/>
  <c r="AB49" i="36" s="1"/>
  <c r="C54" i="36"/>
  <c r="L15" i="36"/>
  <c r="K15" i="36"/>
  <c r="L37" i="36"/>
  <c r="K37" i="36"/>
  <c r="C64" i="36"/>
  <c r="L17" i="36"/>
  <c r="K17" i="36"/>
  <c r="L28" i="36"/>
  <c r="K28" i="36"/>
  <c r="AB10" i="36"/>
  <c r="L18" i="36"/>
  <c r="K18" i="36"/>
  <c r="AA44" i="36"/>
  <c r="AE44" i="36" s="1"/>
  <c r="S23" i="36"/>
  <c r="R23" i="36"/>
  <c r="C56" i="36"/>
  <c r="L14" i="36"/>
  <c r="B56" i="36" s="1"/>
  <c r="G14" i="9" s="1"/>
  <c r="K14" i="36"/>
  <c r="D56" i="36" s="1"/>
  <c r="L12" i="36"/>
  <c r="B63" i="36" s="1"/>
  <c r="G19" i="9" s="1"/>
  <c r="K12" i="36"/>
  <c r="D63" i="36" s="1"/>
  <c r="C63" i="36"/>
  <c r="L35" i="36"/>
  <c r="K35" i="36"/>
  <c r="X44" i="36"/>
  <c r="AB44" i="36" s="1"/>
  <c r="S22" i="36"/>
  <c r="R22" i="36"/>
  <c r="C70" i="36"/>
  <c r="S37" i="36"/>
  <c r="B70" i="36" s="1"/>
  <c r="G17" i="9" s="1"/>
  <c r="R37" i="36"/>
  <c r="D70" i="36" s="1"/>
  <c r="S11" i="36"/>
  <c r="R11" i="36"/>
  <c r="S28" i="36"/>
  <c r="B76" i="36" s="1"/>
  <c r="R28" i="36"/>
  <c r="D76" i="36" s="1"/>
  <c r="C76" i="36"/>
  <c r="S13" i="36"/>
  <c r="B69" i="36" s="1"/>
  <c r="R13" i="36"/>
  <c r="D69" i="36" s="1"/>
  <c r="C69" i="36"/>
  <c r="L25" i="36"/>
  <c r="B62" i="36" s="1"/>
  <c r="G31" i="9" s="1"/>
  <c r="K25" i="36"/>
  <c r="D62" i="36" s="1"/>
  <c r="C62" i="36"/>
  <c r="S12" i="36"/>
  <c r="R12" i="36"/>
  <c r="C68" i="36"/>
  <c r="AA41" i="36"/>
  <c r="AE41" i="36" s="1"/>
  <c r="C66" i="36"/>
  <c r="L26" i="36"/>
  <c r="B66" i="36" s="1"/>
  <c r="G32" i="9" s="1"/>
  <c r="K26" i="36"/>
  <c r="D66" i="36" s="1"/>
  <c r="L11" i="35"/>
  <c r="K11" i="35"/>
  <c r="L35" i="35"/>
  <c r="K35" i="35"/>
  <c r="L18" i="35"/>
  <c r="K18" i="35"/>
  <c r="L25" i="35"/>
  <c r="B62" i="35" s="1"/>
  <c r="F31" i="9" s="1"/>
  <c r="K25" i="35"/>
  <c r="D62" i="35" s="1"/>
  <c r="C62" i="35"/>
  <c r="K21" i="35"/>
  <c r="L21" i="35"/>
  <c r="S14" i="35"/>
  <c r="R14" i="35"/>
  <c r="S31" i="35"/>
  <c r="B79" i="35" s="1"/>
  <c r="F21" i="9" s="1"/>
  <c r="R31" i="35"/>
  <c r="D79" i="35" s="1"/>
  <c r="C79" i="35"/>
  <c r="Z44" i="35"/>
  <c r="AD44" i="35" s="1"/>
  <c r="Y44" i="35"/>
  <c r="AC44" i="35" s="1"/>
  <c r="C101" i="35"/>
  <c r="L24" i="35"/>
  <c r="K24" i="35"/>
  <c r="L37" i="35"/>
  <c r="K37" i="35"/>
  <c r="R26" i="35"/>
  <c r="S26" i="35"/>
  <c r="S27" i="35"/>
  <c r="R27" i="35"/>
  <c r="L12" i="35"/>
  <c r="B63" i="35" s="1"/>
  <c r="F19" i="9" s="1"/>
  <c r="K12" i="35"/>
  <c r="D63" i="35" s="1"/>
  <c r="C63" i="35"/>
  <c r="S25" i="35"/>
  <c r="R25" i="35"/>
  <c r="S22" i="35"/>
  <c r="R22" i="35"/>
  <c r="R24" i="35"/>
  <c r="D74" i="35" s="1"/>
  <c r="C74" i="35"/>
  <c r="S24" i="35"/>
  <c r="B74" i="35" s="1"/>
  <c r="C56" i="35"/>
  <c r="L14" i="35"/>
  <c r="B56" i="35" s="1"/>
  <c r="F14" i="9" s="1"/>
  <c r="K14" i="35"/>
  <c r="D56" i="35" s="1"/>
  <c r="L31" i="35"/>
  <c r="K31" i="35"/>
  <c r="L28" i="35"/>
  <c r="K28" i="35"/>
  <c r="C64" i="35"/>
  <c r="L17" i="35"/>
  <c r="B64" i="35" s="1"/>
  <c r="F22" i="9" s="1"/>
  <c r="K17" i="35"/>
  <c r="D64" i="35" s="1"/>
  <c r="S12" i="35"/>
  <c r="R12" i="35"/>
  <c r="L22" i="35"/>
  <c r="B60" i="35" s="1"/>
  <c r="F29" i="9" s="1"/>
  <c r="C60" i="35"/>
  <c r="K22" i="35"/>
  <c r="D60" i="35" s="1"/>
  <c r="C70" i="35"/>
  <c r="R37" i="35"/>
  <c r="D70" i="35" s="1"/>
  <c r="S37" i="35"/>
  <c r="B70" i="35" s="1"/>
  <c r="F17" i="9" s="1"/>
  <c r="C106" i="35"/>
  <c r="Y49" i="35"/>
  <c r="AC49" i="35" s="1"/>
  <c r="C66" i="35"/>
  <c r="L26" i="35"/>
  <c r="B66" i="35" s="1"/>
  <c r="F32" i="9" s="1"/>
  <c r="K26" i="35"/>
  <c r="D66" i="35" s="1"/>
  <c r="S13" i="35"/>
  <c r="R13" i="35"/>
  <c r="C69" i="35"/>
  <c r="AA49" i="35"/>
  <c r="AE49" i="35" s="1"/>
  <c r="Z49" i="35"/>
  <c r="AD49" i="35" s="1"/>
  <c r="L10" i="35"/>
  <c r="B57" i="35" s="1"/>
  <c r="F15" i="9" s="1"/>
  <c r="K10" i="35"/>
  <c r="D57" i="35" s="1"/>
  <c r="C57" i="35"/>
  <c r="K13" i="35"/>
  <c r="D55" i="35" s="1"/>
  <c r="C55" i="35"/>
  <c r="L13" i="35"/>
  <c r="B55" i="35" s="1"/>
  <c r="F13" i="9" s="1"/>
  <c r="C54" i="35"/>
  <c r="K15" i="35"/>
  <c r="L15" i="35"/>
  <c r="C98" i="35"/>
  <c r="Y41" i="35"/>
  <c r="AC41" i="35" s="1"/>
  <c r="S11" i="35"/>
  <c r="B73" i="35" s="1"/>
  <c r="F25" i="9" s="1"/>
  <c r="R11" i="35"/>
  <c r="D73" i="35" s="1"/>
  <c r="S28" i="35"/>
  <c r="B76" i="35" s="1"/>
  <c r="R28" i="35"/>
  <c r="D76" i="35" s="1"/>
  <c r="C76" i="35"/>
  <c r="R17" i="35"/>
  <c r="S17" i="35"/>
  <c r="AA44" i="35"/>
  <c r="AE44" i="35" s="1"/>
  <c r="X44" i="35"/>
  <c r="AB44" i="35" s="1"/>
  <c r="S23" i="35"/>
  <c r="R23" i="35"/>
  <c r="L20" i="35"/>
  <c r="K20" i="35"/>
  <c r="I30" i="35"/>
  <c r="Z30" i="35"/>
  <c r="AD30" i="35" s="1"/>
  <c r="B92" i="35" s="1"/>
  <c r="F9" i="9" s="1"/>
  <c r="P30" i="35"/>
  <c r="C68" i="35" s="1"/>
  <c r="AE10" i="35"/>
  <c r="AC10" i="35"/>
  <c r="S35" i="35"/>
  <c r="R35" i="35"/>
  <c r="X30" i="35"/>
  <c r="AB30" i="35" s="1"/>
  <c r="B95" i="35" s="1"/>
  <c r="F7" i="9" s="1"/>
  <c r="S21" i="35"/>
  <c r="R21" i="35"/>
  <c r="S20" i="35"/>
  <c r="R20" i="35"/>
  <c r="S15" i="35"/>
  <c r="R15" i="35"/>
  <c r="AA41" i="35"/>
  <c r="AE41" i="35" s="1"/>
  <c r="C61" i="35"/>
  <c r="K23" i="35"/>
  <c r="D61" i="35" s="1"/>
  <c r="L23" i="35"/>
  <c r="B61" i="35" s="1"/>
  <c r="F30" i="9" s="1"/>
  <c r="V32" i="12"/>
  <c r="S1" i="23"/>
  <c r="S3" i="23" s="1"/>
  <c r="F32" i="23"/>
  <c r="F33" i="23"/>
  <c r="B9" i="24"/>
  <c r="B11" i="24"/>
  <c r="B10" i="24"/>
  <c r="B7" i="24"/>
  <c r="W7" i="23"/>
  <c r="W12" i="23"/>
  <c r="W13" i="23"/>
  <c r="W8" i="23"/>
  <c r="L28" i="37" l="1"/>
  <c r="C4" i="36"/>
  <c r="G20" i="9"/>
  <c r="B84" i="36"/>
  <c r="G39" i="9" s="1"/>
  <c r="G38" i="9"/>
  <c r="B85" i="36"/>
  <c r="G36" i="9" s="1"/>
  <c r="G35" i="9"/>
  <c r="B84" i="42"/>
  <c r="E39" i="9" s="1"/>
  <c r="E38" i="9"/>
  <c r="B85" i="42"/>
  <c r="E36" i="9" s="1"/>
  <c r="E35" i="9"/>
  <c r="C4" i="42"/>
  <c r="E20" i="9"/>
  <c r="B85" i="35"/>
  <c r="F36" i="9" s="1"/>
  <c r="F35" i="9"/>
  <c r="B84" i="35"/>
  <c r="F39" i="9" s="1"/>
  <c r="F38" i="9"/>
  <c r="C63" i="37"/>
  <c r="Y41" i="37"/>
  <c r="AC41" i="37" s="1"/>
  <c r="Z41" i="37"/>
  <c r="AD41" i="37" s="1"/>
  <c r="C76" i="37"/>
  <c r="K22" i="37"/>
  <c r="D60" i="37" s="1"/>
  <c r="B57" i="37"/>
  <c r="H15" i="9" s="1"/>
  <c r="X41" i="37"/>
  <c r="AB41" i="37" s="1"/>
  <c r="B95" i="37" s="1"/>
  <c r="H7" i="9" s="1"/>
  <c r="R28" i="37"/>
  <c r="D76" i="37" s="1"/>
  <c r="B84" i="37"/>
  <c r="H39" i="9" s="1"/>
  <c r="H38" i="9"/>
  <c r="C105" i="37"/>
  <c r="AA48" i="37"/>
  <c r="AE48" i="37" s="1"/>
  <c r="X48" i="37"/>
  <c r="AB48" i="37" s="1"/>
  <c r="Z48" i="37"/>
  <c r="AD48" i="37" s="1"/>
  <c r="Y48" i="37"/>
  <c r="AC48" i="37" s="1"/>
  <c r="Z40" i="37"/>
  <c r="AD40" i="37" s="1"/>
  <c r="B92" i="37" s="1"/>
  <c r="H9" i="9" s="1"/>
  <c r="AA40" i="37"/>
  <c r="AE40" i="37" s="1"/>
  <c r="C97" i="37"/>
  <c r="X40" i="37"/>
  <c r="AB40" i="37" s="1"/>
  <c r="Y40" i="37"/>
  <c r="AC40" i="37" s="1"/>
  <c r="B85" i="37"/>
  <c r="H36" i="9" s="1"/>
  <c r="H35" i="9"/>
  <c r="D54" i="37"/>
  <c r="D57" i="37"/>
  <c r="Y43" i="37"/>
  <c r="AC43" i="37" s="1"/>
  <c r="C100" i="37"/>
  <c r="X43" i="37"/>
  <c r="AB43" i="37" s="1"/>
  <c r="AA43" i="37"/>
  <c r="AE43" i="37" s="1"/>
  <c r="Z43" i="37"/>
  <c r="AD43" i="37" s="1"/>
  <c r="C94" i="42"/>
  <c r="B94" i="42"/>
  <c r="E10" i="9" s="1"/>
  <c r="D64" i="42"/>
  <c r="B92" i="42"/>
  <c r="E9" i="9" s="1"/>
  <c r="D73" i="42"/>
  <c r="C92" i="42"/>
  <c r="B73" i="42"/>
  <c r="E25" i="9" s="1"/>
  <c r="S30" i="42"/>
  <c r="B68" i="42" s="1"/>
  <c r="E16" i="9" s="1"/>
  <c r="R30" i="42"/>
  <c r="D68" i="42" s="1"/>
  <c r="D54" i="42"/>
  <c r="K30" i="42"/>
  <c r="L30" i="42"/>
  <c r="B93" i="42"/>
  <c r="E8" i="9" s="1"/>
  <c r="C93" i="42"/>
  <c r="B54" i="42"/>
  <c r="E12" i="9" s="1"/>
  <c r="D69" i="42"/>
  <c r="B95" i="42"/>
  <c r="E7" i="9" s="1"/>
  <c r="C68" i="42"/>
  <c r="C95" i="42"/>
  <c r="B54" i="37"/>
  <c r="H12" i="9" s="1"/>
  <c r="B69" i="37"/>
  <c r="B94" i="36"/>
  <c r="G10" i="9" s="1"/>
  <c r="B54" i="36"/>
  <c r="G12" i="9" s="1"/>
  <c r="B64" i="36"/>
  <c r="G22" i="9" s="1"/>
  <c r="B57" i="36"/>
  <c r="G15" i="9" s="1"/>
  <c r="B93" i="35"/>
  <c r="F8" i="9" s="1"/>
  <c r="C93" i="35"/>
  <c r="D54" i="35"/>
  <c r="D64" i="37"/>
  <c r="K30" i="37"/>
  <c r="L30" i="37"/>
  <c r="B64" i="37"/>
  <c r="H22" i="9" s="1"/>
  <c r="C95" i="37"/>
  <c r="S30" i="37"/>
  <c r="B68" i="37" s="1"/>
  <c r="R30" i="37"/>
  <c r="D68" i="37" s="1"/>
  <c r="AE30" i="37"/>
  <c r="B94" i="37" s="1"/>
  <c r="H10" i="9" s="1"/>
  <c r="C94" i="37"/>
  <c r="D57" i="36"/>
  <c r="D64" i="36"/>
  <c r="B93" i="36"/>
  <c r="G8" i="9" s="1"/>
  <c r="C93" i="36"/>
  <c r="B73" i="36"/>
  <c r="G25" i="9" s="1"/>
  <c r="D73" i="36"/>
  <c r="B68" i="36"/>
  <c r="B95" i="36"/>
  <c r="G7" i="9" s="1"/>
  <c r="S30" i="36"/>
  <c r="R30" i="36"/>
  <c r="D68" i="36" s="1"/>
  <c r="B92" i="36"/>
  <c r="G9" i="9" s="1"/>
  <c r="K30" i="36"/>
  <c r="L30" i="36"/>
  <c r="C94" i="36"/>
  <c r="C95" i="36"/>
  <c r="D54" i="36"/>
  <c r="C92" i="36"/>
  <c r="B54" i="35"/>
  <c r="F12" i="9" s="1"/>
  <c r="C95" i="35"/>
  <c r="C92" i="35"/>
  <c r="C94" i="35"/>
  <c r="B94" i="35"/>
  <c r="F10" i="9" s="1"/>
  <c r="D68" i="35"/>
  <c r="K30" i="35"/>
  <c r="L30" i="35"/>
  <c r="S30" i="35"/>
  <c r="B68" i="35" s="1"/>
  <c r="F16" i="9" s="1"/>
  <c r="R30" i="35"/>
  <c r="D69" i="35"/>
  <c r="B69" i="35"/>
  <c r="AE18" i="12"/>
  <c r="AF18" i="12"/>
  <c r="AG18" i="12"/>
  <c r="AH18" i="12"/>
  <c r="AE19" i="12"/>
  <c r="AF19" i="12"/>
  <c r="AG19" i="12"/>
  <c r="AH19" i="12"/>
  <c r="AE20" i="12"/>
  <c r="AF20" i="12"/>
  <c r="AG20" i="12"/>
  <c r="AH20" i="12"/>
  <c r="AE22" i="12"/>
  <c r="AF22" i="12"/>
  <c r="AG22" i="12"/>
  <c r="AH22" i="12"/>
  <c r="AE23" i="12"/>
  <c r="AF23" i="12"/>
  <c r="AG23" i="12"/>
  <c r="AH23" i="12"/>
  <c r="AE24" i="12"/>
  <c r="AF24" i="12"/>
  <c r="AG24" i="12"/>
  <c r="AH24" i="12"/>
  <c r="AE25" i="12"/>
  <c r="AF25" i="12"/>
  <c r="AG25" i="12"/>
  <c r="AH25" i="12"/>
  <c r="AE26" i="12"/>
  <c r="AF26" i="12"/>
  <c r="AG26" i="12"/>
  <c r="AH26" i="12"/>
  <c r="AE27" i="12"/>
  <c r="AF27" i="12"/>
  <c r="AG27" i="12"/>
  <c r="AH27" i="12"/>
  <c r="AE28" i="12"/>
  <c r="AF28" i="12"/>
  <c r="AG28" i="12"/>
  <c r="AH28" i="12"/>
  <c r="AE29" i="12"/>
  <c r="AF29" i="12"/>
  <c r="AG29" i="12"/>
  <c r="AH29" i="12"/>
  <c r="AE30" i="12"/>
  <c r="AF30" i="12"/>
  <c r="AG30" i="12"/>
  <c r="AH30" i="12"/>
  <c r="AE31" i="12"/>
  <c r="AF31" i="12"/>
  <c r="AG31" i="12"/>
  <c r="AH31" i="12"/>
  <c r="AE33" i="12"/>
  <c r="AF33" i="12"/>
  <c r="AG33" i="12"/>
  <c r="AH33" i="12"/>
  <c r="AE35" i="12"/>
  <c r="AF35" i="12"/>
  <c r="AG35" i="12"/>
  <c r="AH35" i="12"/>
  <c r="AE36" i="12"/>
  <c r="AF36" i="12"/>
  <c r="AG36" i="12"/>
  <c r="AH36" i="12"/>
  <c r="AE37" i="12"/>
  <c r="AF37" i="12"/>
  <c r="AG37" i="12"/>
  <c r="AH37" i="12"/>
  <c r="AE38" i="12"/>
  <c r="AF38" i="12"/>
  <c r="AG38" i="12"/>
  <c r="AH38" i="12"/>
  <c r="AE40" i="12"/>
  <c r="AF40" i="12"/>
  <c r="AG40" i="12"/>
  <c r="AH40" i="12"/>
  <c r="AE41" i="12"/>
  <c r="AF41" i="12"/>
  <c r="AG41" i="12"/>
  <c r="AH41" i="12"/>
  <c r="AE42" i="12"/>
  <c r="AF42" i="12"/>
  <c r="AG42" i="12"/>
  <c r="AH42" i="12"/>
  <c r="AE43" i="12"/>
  <c r="AF43" i="12"/>
  <c r="AG43" i="12"/>
  <c r="AH43" i="12"/>
  <c r="AE44" i="12"/>
  <c r="AF44" i="12"/>
  <c r="AG44" i="12"/>
  <c r="AH44" i="12"/>
  <c r="AE45" i="12"/>
  <c r="AF45" i="12"/>
  <c r="AG45" i="12"/>
  <c r="AH45" i="12"/>
  <c r="AE46" i="12"/>
  <c r="AF46" i="12"/>
  <c r="AG46" i="12"/>
  <c r="AH46" i="12"/>
  <c r="AE47" i="12"/>
  <c r="AF47" i="12"/>
  <c r="AG47" i="12"/>
  <c r="AH47" i="12"/>
  <c r="AE48" i="12"/>
  <c r="AF48" i="12"/>
  <c r="AG48" i="12"/>
  <c r="AH48" i="12"/>
  <c r="C113" i="8"/>
  <c r="B71" i="8"/>
  <c r="D33" i="9" s="1"/>
  <c r="C71" i="8"/>
  <c r="D71" i="8"/>
  <c r="B72" i="8"/>
  <c r="D34" i="9" s="1"/>
  <c r="C72" i="8"/>
  <c r="D72" i="8"/>
  <c r="B75" i="8"/>
  <c r="D37" i="9" s="1"/>
  <c r="C75" i="8"/>
  <c r="D75" i="8"/>
  <c r="B77" i="8"/>
  <c r="C77" i="8"/>
  <c r="D77" i="8"/>
  <c r="B78" i="8"/>
  <c r="D40" i="9" s="1"/>
  <c r="C78" i="8"/>
  <c r="D78" i="8"/>
  <c r="B80" i="8"/>
  <c r="D18" i="9" s="1"/>
  <c r="C80" i="8"/>
  <c r="D80" i="8"/>
  <c r="B81" i="8"/>
  <c r="D24" i="9" s="1"/>
  <c r="C81" i="8"/>
  <c r="D81" i="8"/>
  <c r="B58" i="8"/>
  <c r="D27" i="9" s="1"/>
  <c r="C58" i="8"/>
  <c r="D58" i="8"/>
  <c r="B65" i="8"/>
  <c r="D23" i="9" s="1"/>
  <c r="C65" i="8"/>
  <c r="D65" i="8"/>
  <c r="X19" i="8"/>
  <c r="Y19" i="8"/>
  <c r="Z19" i="8"/>
  <c r="AA19" i="8"/>
  <c r="X39" i="8"/>
  <c r="Y39" i="8"/>
  <c r="Z39" i="8"/>
  <c r="AA39" i="8"/>
  <c r="T10" i="8"/>
  <c r="T11" i="8"/>
  <c r="U11" i="8"/>
  <c r="V11" i="8"/>
  <c r="W11" i="8"/>
  <c r="T12" i="8"/>
  <c r="U12" i="8"/>
  <c r="V12" i="8"/>
  <c r="W12" i="8"/>
  <c r="T13" i="8"/>
  <c r="U13" i="8"/>
  <c r="V13" i="8"/>
  <c r="W13" i="8"/>
  <c r="T14" i="8"/>
  <c r="U14" i="8"/>
  <c r="V14" i="8"/>
  <c r="W14" i="8"/>
  <c r="T15" i="8"/>
  <c r="U15" i="8"/>
  <c r="V15" i="8"/>
  <c r="W15" i="8"/>
  <c r="T17" i="8"/>
  <c r="U17" i="8"/>
  <c r="V17" i="8"/>
  <c r="W17" i="8"/>
  <c r="T18" i="8"/>
  <c r="U18" i="8"/>
  <c r="V18" i="8"/>
  <c r="W18" i="8"/>
  <c r="T20" i="8"/>
  <c r="U20" i="8"/>
  <c r="V20" i="8"/>
  <c r="W20" i="8"/>
  <c r="T21" i="8"/>
  <c r="U21" i="8"/>
  <c r="V21" i="8"/>
  <c r="W21" i="8"/>
  <c r="T22" i="8"/>
  <c r="U22" i="8"/>
  <c r="V22" i="8"/>
  <c r="W22" i="8"/>
  <c r="T23" i="8"/>
  <c r="U23" i="8"/>
  <c r="V23" i="8"/>
  <c r="W23" i="8"/>
  <c r="T24" i="8"/>
  <c r="U24" i="8"/>
  <c r="V24" i="8"/>
  <c r="W24" i="8"/>
  <c r="T25" i="8"/>
  <c r="U25" i="8"/>
  <c r="V25" i="8"/>
  <c r="W25" i="8"/>
  <c r="T26" i="8"/>
  <c r="U26" i="8"/>
  <c r="V26" i="8"/>
  <c r="W26" i="8"/>
  <c r="T27" i="8"/>
  <c r="U27" i="8"/>
  <c r="V27" i="8"/>
  <c r="W27" i="8"/>
  <c r="T28" i="8"/>
  <c r="U28" i="8"/>
  <c r="V28" i="8"/>
  <c r="W28" i="8"/>
  <c r="T30" i="8"/>
  <c r="U30" i="8"/>
  <c r="V30" i="8"/>
  <c r="W30" i="8"/>
  <c r="T31" i="8"/>
  <c r="U31" i="8"/>
  <c r="V31" i="8"/>
  <c r="W31" i="8"/>
  <c r="T35" i="8"/>
  <c r="U35" i="8"/>
  <c r="V35" i="8"/>
  <c r="W35" i="8"/>
  <c r="T37" i="8"/>
  <c r="U37" i="8"/>
  <c r="V37" i="8"/>
  <c r="W37" i="8"/>
  <c r="T38" i="8"/>
  <c r="U38" i="8"/>
  <c r="V38" i="8"/>
  <c r="W38" i="8"/>
  <c r="T40" i="8"/>
  <c r="U40" i="8"/>
  <c r="V40" i="8"/>
  <c r="W40" i="8"/>
  <c r="T41" i="8"/>
  <c r="U41" i="8"/>
  <c r="V41" i="8"/>
  <c r="W41" i="8"/>
  <c r="T42" i="8"/>
  <c r="U42" i="8"/>
  <c r="V42" i="8"/>
  <c r="W42" i="8"/>
  <c r="T43" i="8"/>
  <c r="U43" i="8"/>
  <c r="V43" i="8"/>
  <c r="W43" i="8"/>
  <c r="T44" i="8"/>
  <c r="U44" i="8"/>
  <c r="V44" i="8"/>
  <c r="W44" i="8"/>
  <c r="T45" i="8"/>
  <c r="U45" i="8"/>
  <c r="V45" i="8"/>
  <c r="W45" i="8"/>
  <c r="T46" i="8"/>
  <c r="U46" i="8"/>
  <c r="V46" i="8"/>
  <c r="W46" i="8"/>
  <c r="T47" i="8"/>
  <c r="U47" i="8"/>
  <c r="V47" i="8"/>
  <c r="W47" i="8"/>
  <c r="T48" i="8"/>
  <c r="U48" i="8"/>
  <c r="V48" i="8"/>
  <c r="W48" i="8"/>
  <c r="T49" i="8"/>
  <c r="U49" i="8"/>
  <c r="V49" i="8"/>
  <c r="W49" i="8"/>
  <c r="Q30" i="8"/>
  <c r="Q31" i="8"/>
  <c r="O11" i="8"/>
  <c r="O12" i="8"/>
  <c r="O13" i="8"/>
  <c r="O14" i="8"/>
  <c r="O15" i="8"/>
  <c r="O17" i="8"/>
  <c r="O18" i="8"/>
  <c r="O20" i="8"/>
  <c r="O21" i="8"/>
  <c r="O22" i="8"/>
  <c r="O23" i="8"/>
  <c r="O24" i="8"/>
  <c r="O25" i="8"/>
  <c r="O26" i="8"/>
  <c r="O27" i="8"/>
  <c r="O28" i="8"/>
  <c r="O30" i="8"/>
  <c r="O31" i="8"/>
  <c r="J11" i="8"/>
  <c r="J12" i="8"/>
  <c r="J13" i="8"/>
  <c r="J14" i="8"/>
  <c r="J15" i="8"/>
  <c r="J17" i="8"/>
  <c r="J18" i="8"/>
  <c r="J20" i="8"/>
  <c r="J21" i="8"/>
  <c r="J22" i="8"/>
  <c r="J23" i="8"/>
  <c r="J24" i="8"/>
  <c r="J25" i="8"/>
  <c r="J26" i="8"/>
  <c r="J27" i="8"/>
  <c r="J28" i="8"/>
  <c r="J30" i="8"/>
  <c r="J31" i="8"/>
  <c r="H11" i="8"/>
  <c r="H12" i="8"/>
  <c r="H13" i="8"/>
  <c r="H14" i="8"/>
  <c r="H15" i="8"/>
  <c r="H17" i="8"/>
  <c r="H18" i="8"/>
  <c r="H20" i="8"/>
  <c r="H21" i="8"/>
  <c r="H22" i="8"/>
  <c r="H23" i="8"/>
  <c r="H24" i="8"/>
  <c r="H25" i="8"/>
  <c r="H26" i="8"/>
  <c r="H27" i="8"/>
  <c r="H28" i="8"/>
  <c r="H30" i="8"/>
  <c r="H31" i="8"/>
  <c r="H10" i="8"/>
  <c r="B35" i="8"/>
  <c r="B37" i="8"/>
  <c r="B38" i="8"/>
  <c r="B40" i="8"/>
  <c r="B28" i="8"/>
  <c r="B30" i="8"/>
  <c r="B31" i="8"/>
  <c r="B17" i="8"/>
  <c r="B18" i="8"/>
  <c r="B20" i="8"/>
  <c r="B21" i="8"/>
  <c r="B22" i="8"/>
  <c r="B23" i="8"/>
  <c r="B24" i="8"/>
  <c r="B25" i="8"/>
  <c r="B26" i="8"/>
  <c r="B27" i="8"/>
  <c r="P22" i="7"/>
  <c r="M22" i="7"/>
  <c r="C38" i="8"/>
  <c r="B89" i="8" s="1"/>
  <c r="D59" i="9" s="1"/>
  <c r="B11" i="8"/>
  <c r="B12" i="8"/>
  <c r="B13" i="8"/>
  <c r="B14" i="8"/>
  <c r="B15" i="8"/>
  <c r="B41" i="8"/>
  <c r="B42" i="8"/>
  <c r="B43" i="8"/>
  <c r="B44" i="8"/>
  <c r="B45" i="8"/>
  <c r="B46" i="8"/>
  <c r="B47" i="8"/>
  <c r="B48" i="8"/>
  <c r="B49" i="8"/>
  <c r="Q37" i="8"/>
  <c r="O37" i="8"/>
  <c r="J37" i="8"/>
  <c r="H37" i="8"/>
  <c r="Q35" i="8"/>
  <c r="O35" i="8"/>
  <c r="J35" i="8"/>
  <c r="H35" i="8"/>
  <c r="Q28" i="8"/>
  <c r="Q27" i="8"/>
  <c r="Q26" i="8"/>
  <c r="Q25" i="8"/>
  <c r="Q24" i="8"/>
  <c r="Q23" i="8"/>
  <c r="Q22" i="8"/>
  <c r="Q21" i="8"/>
  <c r="Q20" i="8"/>
  <c r="Q17" i="8"/>
  <c r="Q15" i="8"/>
  <c r="Q14" i="8"/>
  <c r="Q13" i="8"/>
  <c r="Q12" i="8"/>
  <c r="Q11" i="8"/>
  <c r="W10" i="8"/>
  <c r="V10" i="8"/>
  <c r="U10" i="8"/>
  <c r="Q10" i="8"/>
  <c r="O10" i="8"/>
  <c r="J10" i="8"/>
  <c r="B10" i="8"/>
  <c r="Q33" i="12"/>
  <c r="P18" i="12"/>
  <c r="P19" i="12"/>
  <c r="P20" i="12"/>
  <c r="P22" i="12"/>
  <c r="P23" i="12"/>
  <c r="P24" i="12"/>
  <c r="P25" i="12"/>
  <c r="P26" i="12"/>
  <c r="P27" i="12"/>
  <c r="P28" i="12"/>
  <c r="P29" i="12"/>
  <c r="P30" i="12"/>
  <c r="P31" i="12"/>
  <c r="P33" i="12"/>
  <c r="P35" i="12"/>
  <c r="P36" i="12"/>
  <c r="P37" i="12"/>
  <c r="P38" i="12"/>
  <c r="P40" i="12"/>
  <c r="P41" i="12"/>
  <c r="P17" i="12"/>
  <c r="Q18" i="12"/>
  <c r="Q19" i="12"/>
  <c r="Q20" i="12"/>
  <c r="Q22" i="12"/>
  <c r="Q23" i="12"/>
  <c r="Q24" i="12"/>
  <c r="Q25" i="12"/>
  <c r="Q26" i="12"/>
  <c r="Q27" i="12"/>
  <c r="Q28" i="12"/>
  <c r="Q29" i="12"/>
  <c r="Q30" i="12"/>
  <c r="Q31" i="12"/>
  <c r="Q35" i="12"/>
  <c r="Q36" i="12"/>
  <c r="Q37" i="12"/>
  <c r="Q38" i="12"/>
  <c r="Q17" i="12"/>
  <c r="J22" i="12"/>
  <c r="J23" i="12"/>
  <c r="J24" i="12"/>
  <c r="J25" i="12"/>
  <c r="J26" i="12"/>
  <c r="J27" i="12"/>
  <c r="J28" i="12"/>
  <c r="J29" i="12"/>
  <c r="J30" i="12"/>
  <c r="J35" i="12"/>
  <c r="J36" i="12"/>
  <c r="J37" i="12"/>
  <c r="J38" i="12"/>
  <c r="J18" i="12"/>
  <c r="J19" i="12"/>
  <c r="J20" i="12"/>
  <c r="J17" i="12"/>
  <c r="K22" i="12"/>
  <c r="K23" i="12"/>
  <c r="K24" i="12"/>
  <c r="K25" i="12"/>
  <c r="K26" i="12"/>
  <c r="K27" i="12"/>
  <c r="K28" i="12"/>
  <c r="K29" i="12"/>
  <c r="K30" i="12"/>
  <c r="K35" i="12"/>
  <c r="K36" i="12"/>
  <c r="K37" i="12"/>
  <c r="K38" i="12"/>
  <c r="K18" i="12"/>
  <c r="K19" i="12"/>
  <c r="K20" i="12"/>
  <c r="K17" i="12"/>
  <c r="E19" i="12"/>
  <c r="E18" i="12"/>
  <c r="E17" i="12"/>
  <c r="C18" i="12"/>
  <c r="C19" i="12"/>
  <c r="O24" i="14"/>
  <c r="O23" i="14"/>
  <c r="J23" i="14"/>
  <c r="H23" i="14"/>
  <c r="B23" i="14"/>
  <c r="B24" i="14"/>
  <c r="A98" i="12"/>
  <c r="A99" i="12"/>
  <c r="A100" i="12"/>
  <c r="A101" i="12"/>
  <c r="A102" i="12"/>
  <c r="A103" i="12"/>
  <c r="A104" i="12"/>
  <c r="A105" i="12"/>
  <c r="A106" i="12"/>
  <c r="A97" i="12"/>
  <c r="B61" i="12"/>
  <c r="C61" i="12"/>
  <c r="D61" i="12"/>
  <c r="B68" i="12"/>
  <c r="C68" i="12"/>
  <c r="D68" i="12"/>
  <c r="B73" i="12"/>
  <c r="C73" i="12"/>
  <c r="D73" i="12"/>
  <c r="B74" i="12"/>
  <c r="C74" i="12"/>
  <c r="D74" i="12"/>
  <c r="B75" i="12"/>
  <c r="C75" i="12"/>
  <c r="D75" i="12"/>
  <c r="B80" i="12"/>
  <c r="C80" i="12"/>
  <c r="D80" i="12"/>
  <c r="B82" i="12"/>
  <c r="C82" i="12"/>
  <c r="D82" i="12"/>
  <c r="B83" i="12"/>
  <c r="C83" i="12"/>
  <c r="D83" i="12"/>
  <c r="AE17" i="12"/>
  <c r="AF17" i="12"/>
  <c r="AG17" i="12"/>
  <c r="AH17" i="12"/>
  <c r="C41" i="12"/>
  <c r="C42" i="12"/>
  <c r="C43" i="12"/>
  <c r="C44" i="12"/>
  <c r="C45" i="12"/>
  <c r="C46" i="12"/>
  <c r="C47" i="12"/>
  <c r="C48" i="12"/>
  <c r="C49" i="12"/>
  <c r="C40" i="12"/>
  <c r="Q16" i="14"/>
  <c r="Q17" i="14"/>
  <c r="Q18" i="14"/>
  <c r="Q19" i="14"/>
  <c r="Q20" i="14"/>
  <c r="Q21" i="14"/>
  <c r="Q22" i="14"/>
  <c r="Q23" i="14"/>
  <c r="Q24" i="14"/>
  <c r="Q25" i="14"/>
  <c r="Q26" i="14"/>
  <c r="Q27" i="14"/>
  <c r="Q29" i="14"/>
  <c r="Q30" i="14"/>
  <c r="Q31" i="14"/>
  <c r="Q32" i="14"/>
  <c r="Q37" i="14"/>
  <c r="Q33" i="14"/>
  <c r="Q34" i="14"/>
  <c r="Q35" i="14"/>
  <c r="Q36" i="14"/>
  <c r="T17" i="14"/>
  <c r="U17" i="14"/>
  <c r="V17" i="14"/>
  <c r="W17" i="14"/>
  <c r="T18" i="14"/>
  <c r="U18" i="14"/>
  <c r="V18" i="14"/>
  <c r="W18" i="14"/>
  <c r="T19" i="14"/>
  <c r="U19" i="14"/>
  <c r="V19" i="14"/>
  <c r="W19" i="14"/>
  <c r="T20" i="14"/>
  <c r="U20" i="14"/>
  <c r="V20" i="14"/>
  <c r="W20" i="14"/>
  <c r="T21" i="14"/>
  <c r="U21" i="14"/>
  <c r="V21" i="14"/>
  <c r="W21" i="14"/>
  <c r="T22" i="14"/>
  <c r="U22" i="14"/>
  <c r="V22" i="14"/>
  <c r="W22" i="14"/>
  <c r="T23" i="14"/>
  <c r="U23" i="14"/>
  <c r="V23" i="14"/>
  <c r="W23" i="14"/>
  <c r="T24" i="14"/>
  <c r="U24" i="14"/>
  <c r="V24" i="14"/>
  <c r="W24" i="14"/>
  <c r="T26" i="14"/>
  <c r="U26" i="14"/>
  <c r="V26" i="14"/>
  <c r="W26" i="14"/>
  <c r="T27" i="14"/>
  <c r="U27" i="14"/>
  <c r="V27" i="14"/>
  <c r="W27" i="14"/>
  <c r="T29" i="14"/>
  <c r="U29" i="14"/>
  <c r="V29" i="14"/>
  <c r="W29" i="14"/>
  <c r="T30" i="14"/>
  <c r="U30" i="14"/>
  <c r="V30" i="14"/>
  <c r="W30" i="14"/>
  <c r="T31" i="14"/>
  <c r="U31" i="14"/>
  <c r="V31" i="14"/>
  <c r="W31" i="14"/>
  <c r="T32" i="14"/>
  <c r="U32" i="14"/>
  <c r="V32" i="14"/>
  <c r="W32" i="14"/>
  <c r="T33" i="14"/>
  <c r="U33" i="14"/>
  <c r="V33" i="14"/>
  <c r="W33" i="14"/>
  <c r="T34" i="14"/>
  <c r="U34" i="14"/>
  <c r="V34" i="14"/>
  <c r="W34" i="14"/>
  <c r="T35" i="14"/>
  <c r="U35" i="14"/>
  <c r="V35" i="14"/>
  <c r="W35" i="14"/>
  <c r="T36" i="14"/>
  <c r="U36" i="14"/>
  <c r="V36" i="14"/>
  <c r="W36" i="14"/>
  <c r="T37" i="14"/>
  <c r="U37" i="14"/>
  <c r="V37" i="14"/>
  <c r="W37" i="14"/>
  <c r="T39" i="14"/>
  <c r="U39" i="14"/>
  <c r="V39" i="14"/>
  <c r="W39" i="14"/>
  <c r="T40" i="14"/>
  <c r="U40" i="14"/>
  <c r="V40" i="14"/>
  <c r="W40" i="14"/>
  <c r="T41" i="14"/>
  <c r="U41" i="14"/>
  <c r="V41" i="14"/>
  <c r="W41" i="14"/>
  <c r="T42" i="14"/>
  <c r="U42" i="14"/>
  <c r="V42" i="14"/>
  <c r="W42" i="14"/>
  <c r="T43" i="14"/>
  <c r="U43" i="14"/>
  <c r="V43" i="14"/>
  <c r="W43" i="14"/>
  <c r="T44" i="14"/>
  <c r="U44" i="14"/>
  <c r="V44" i="14"/>
  <c r="W44" i="14"/>
  <c r="T45" i="14"/>
  <c r="U45" i="14"/>
  <c r="V45" i="14"/>
  <c r="W45" i="14"/>
  <c r="T46" i="14"/>
  <c r="U46" i="14"/>
  <c r="V46" i="14"/>
  <c r="W46" i="14"/>
  <c r="T47" i="14"/>
  <c r="U47" i="14"/>
  <c r="V47" i="14"/>
  <c r="W47" i="14"/>
  <c r="T48" i="14"/>
  <c r="U48" i="14"/>
  <c r="V48" i="14"/>
  <c r="W48" i="14"/>
  <c r="W16" i="14"/>
  <c r="V16" i="14"/>
  <c r="U16" i="14"/>
  <c r="T16" i="14"/>
  <c r="J28" i="15"/>
  <c r="A96" i="14"/>
  <c r="A97" i="14"/>
  <c r="A98" i="14"/>
  <c r="A99" i="14"/>
  <c r="A100" i="14"/>
  <c r="A101" i="14"/>
  <c r="A102" i="14"/>
  <c r="A103" i="14"/>
  <c r="A104" i="14"/>
  <c r="A95" i="14"/>
  <c r="AX20" i="12"/>
  <c r="AX33" i="12"/>
  <c r="AV17" i="12"/>
  <c r="AV37" i="12"/>
  <c r="AV36" i="12"/>
  <c r="AV35" i="12"/>
  <c r="AV34" i="12"/>
  <c r="AV33" i="12"/>
  <c r="AW33" i="12" s="1"/>
  <c r="AV31" i="12"/>
  <c r="AV30" i="12"/>
  <c r="AV29" i="12"/>
  <c r="AV28" i="12"/>
  <c r="AV27" i="12"/>
  <c r="AV26" i="12"/>
  <c r="AV25" i="12"/>
  <c r="AV24" i="12"/>
  <c r="AV23" i="12"/>
  <c r="AV22" i="12"/>
  <c r="AV21" i="12"/>
  <c r="AV20" i="12"/>
  <c r="AW20" i="12" s="1"/>
  <c r="AV19" i="12"/>
  <c r="AV18" i="12"/>
  <c r="BG91" i="12"/>
  <c r="BE91" i="12"/>
  <c r="BF91" i="12" s="1"/>
  <c r="BG85" i="12"/>
  <c r="BE85" i="12"/>
  <c r="BF85" i="12" s="1"/>
  <c r="BG83" i="12"/>
  <c r="BE83" i="12"/>
  <c r="BF83" i="12" s="1"/>
  <c r="BG82" i="12"/>
  <c r="BE82" i="12"/>
  <c r="BF82" i="12" s="1"/>
  <c r="BG81" i="12"/>
  <c r="BE81" i="12"/>
  <c r="BF81" i="12" s="1"/>
  <c r="BG80" i="12"/>
  <c r="BE80" i="12"/>
  <c r="BF80" i="12" s="1"/>
  <c r="BG79" i="12"/>
  <c r="BE79" i="12"/>
  <c r="BF79" i="12" s="1"/>
  <c r="BG78" i="12"/>
  <c r="BE78" i="12"/>
  <c r="BF78" i="12" s="1"/>
  <c r="BG77" i="12"/>
  <c r="BE77" i="12"/>
  <c r="BF77" i="12" s="1"/>
  <c r="BG76" i="12"/>
  <c r="BE76" i="12"/>
  <c r="BF76" i="12" s="1"/>
  <c r="BG75" i="12"/>
  <c r="BE75" i="12"/>
  <c r="BF75" i="12" s="1"/>
  <c r="BG74" i="12"/>
  <c r="BE74" i="12"/>
  <c r="BF74" i="12" s="1"/>
  <c r="BG73" i="12"/>
  <c r="BE73" i="12"/>
  <c r="BF73" i="12" s="1"/>
  <c r="BG72" i="12"/>
  <c r="BE72" i="12"/>
  <c r="BF72" i="12" s="1"/>
  <c r="BG71" i="12"/>
  <c r="BE71" i="12"/>
  <c r="BF71" i="12" s="1"/>
  <c r="BG70" i="12"/>
  <c r="BE70" i="12"/>
  <c r="BF70" i="12" s="1"/>
  <c r="BG69" i="12"/>
  <c r="BE69" i="12"/>
  <c r="BF69" i="12" s="1"/>
  <c r="BG68" i="12"/>
  <c r="BE68" i="12"/>
  <c r="BF68" i="12" s="1"/>
  <c r="BG67" i="12"/>
  <c r="BE67" i="12"/>
  <c r="BF67" i="12" s="1"/>
  <c r="D40" i="14"/>
  <c r="D41" i="14"/>
  <c r="D42" i="14"/>
  <c r="D43" i="14"/>
  <c r="D44" i="14"/>
  <c r="D45" i="14"/>
  <c r="D46" i="14"/>
  <c r="D47" i="14"/>
  <c r="D48" i="14"/>
  <c r="D39" i="14"/>
  <c r="B40" i="14"/>
  <c r="B41" i="14"/>
  <c r="B42" i="14"/>
  <c r="B43" i="14"/>
  <c r="B44" i="14"/>
  <c r="B45" i="14"/>
  <c r="B46" i="14"/>
  <c r="B47" i="14"/>
  <c r="B48" i="14"/>
  <c r="B39" i="14"/>
  <c r="B16" i="14"/>
  <c r="O17" i="14"/>
  <c r="O18" i="14"/>
  <c r="O19" i="14"/>
  <c r="O20" i="14"/>
  <c r="O21" i="14"/>
  <c r="O22" i="14"/>
  <c r="O26" i="14"/>
  <c r="O27" i="14"/>
  <c r="O29" i="14"/>
  <c r="O30" i="14"/>
  <c r="O31" i="14"/>
  <c r="O32" i="14"/>
  <c r="O33" i="14"/>
  <c r="O34" i="14"/>
  <c r="O35" i="14"/>
  <c r="O36" i="14"/>
  <c r="O37" i="14"/>
  <c r="H27" i="14"/>
  <c r="J27" i="14"/>
  <c r="B27" i="14"/>
  <c r="J26" i="14"/>
  <c r="J28" i="14"/>
  <c r="J29" i="14"/>
  <c r="J30" i="14"/>
  <c r="J31" i="14"/>
  <c r="J32" i="14"/>
  <c r="J33" i="14"/>
  <c r="J34" i="14"/>
  <c r="J35" i="14"/>
  <c r="J36" i="14"/>
  <c r="J37" i="14"/>
  <c r="J17" i="14"/>
  <c r="J18" i="14"/>
  <c r="J19" i="14"/>
  <c r="J20" i="14"/>
  <c r="J21" i="14"/>
  <c r="J22" i="14"/>
  <c r="J16" i="14"/>
  <c r="O16" i="14"/>
  <c r="H17" i="14"/>
  <c r="H18" i="14"/>
  <c r="H19" i="14"/>
  <c r="H20" i="14"/>
  <c r="H21" i="14"/>
  <c r="H22" i="14"/>
  <c r="H26" i="14"/>
  <c r="H28" i="14"/>
  <c r="H29" i="14"/>
  <c r="H30" i="14"/>
  <c r="H31" i="14"/>
  <c r="H32" i="14"/>
  <c r="H33" i="14"/>
  <c r="H34" i="14"/>
  <c r="H35" i="14"/>
  <c r="H36" i="14"/>
  <c r="H37" i="14"/>
  <c r="H16" i="14"/>
  <c r="B17" i="14"/>
  <c r="B18" i="14"/>
  <c r="B19" i="14"/>
  <c r="B20" i="14"/>
  <c r="B21" i="14"/>
  <c r="B22" i="14"/>
  <c r="B26" i="14"/>
  <c r="B28" i="14"/>
  <c r="B29" i="14"/>
  <c r="B30" i="14"/>
  <c r="B31" i="14"/>
  <c r="B32" i="14"/>
  <c r="B33" i="14"/>
  <c r="B35" i="14"/>
  <c r="B36" i="14"/>
  <c r="E59" i="15"/>
  <c r="J22" i="15"/>
  <c r="J16" i="15"/>
  <c r="M16" i="15"/>
  <c r="D5" i="14"/>
  <c r="B10" i="14" s="1"/>
  <c r="C5" i="14"/>
  <c r="D4" i="14"/>
  <c r="U9" i="11"/>
  <c r="U20" i="11" s="1"/>
  <c r="G31" i="11"/>
  <c r="G28" i="11"/>
  <c r="G25" i="11"/>
  <c r="V21" i="11"/>
  <c r="P20" i="11"/>
  <c r="P21" i="11" s="1"/>
  <c r="M20" i="11"/>
  <c r="O44" i="11"/>
  <c r="O45" i="11"/>
  <c r="O46" i="11"/>
  <c r="O47" i="11"/>
  <c r="O48" i="11"/>
  <c r="O49" i="11"/>
  <c r="O50" i="11"/>
  <c r="O51" i="11"/>
  <c r="O52" i="11"/>
  <c r="O43" i="11"/>
  <c r="L44" i="11"/>
  <c r="L45" i="11"/>
  <c r="L46" i="11"/>
  <c r="L47" i="11"/>
  <c r="L48" i="11"/>
  <c r="L49" i="11"/>
  <c r="L50" i="11"/>
  <c r="L51" i="11"/>
  <c r="L52" i="11"/>
  <c r="L43" i="11"/>
  <c r="P11" i="11"/>
  <c r="U11" i="11" s="1"/>
  <c r="P12" i="11"/>
  <c r="U12" i="11" s="1"/>
  <c r="P13" i="11"/>
  <c r="U13" i="11" s="1"/>
  <c r="P14" i="11"/>
  <c r="U14" i="11" s="1"/>
  <c r="P15" i="11"/>
  <c r="U15" i="11" s="1"/>
  <c r="P16" i="11"/>
  <c r="U16" i="11" s="1"/>
  <c r="P17" i="11"/>
  <c r="U17" i="11" s="1"/>
  <c r="P18" i="11"/>
  <c r="U18" i="11" s="1"/>
  <c r="P19" i="11"/>
  <c r="U19" i="11" s="1"/>
  <c r="P10" i="11"/>
  <c r="U10" i="11" s="1"/>
  <c r="M11" i="11"/>
  <c r="M12" i="11"/>
  <c r="M13" i="11"/>
  <c r="M14" i="11"/>
  <c r="M15" i="11"/>
  <c r="M16" i="11"/>
  <c r="M17" i="11"/>
  <c r="M18" i="11"/>
  <c r="M19" i="11"/>
  <c r="M10" i="11"/>
  <c r="E20" i="12"/>
  <c r="E22" i="12"/>
  <c r="E23" i="12"/>
  <c r="E24" i="12"/>
  <c r="E25" i="12"/>
  <c r="E26" i="12"/>
  <c r="E27" i="12"/>
  <c r="E28" i="12"/>
  <c r="E29" i="12"/>
  <c r="E30" i="12"/>
  <c r="E31" i="12"/>
  <c r="E33" i="12"/>
  <c r="E35" i="12"/>
  <c r="E36" i="12"/>
  <c r="E37" i="12"/>
  <c r="E38" i="12"/>
  <c r="E12" i="12"/>
  <c r="E2" i="11"/>
  <c r="E3" i="11" s="1"/>
  <c r="C2" i="12" s="1"/>
  <c r="C4" i="11"/>
  <c r="C25" i="12"/>
  <c r="J21" i="11"/>
  <c r="C14" i="11"/>
  <c r="C20" i="12"/>
  <c r="C22" i="12"/>
  <c r="C23" i="12"/>
  <c r="C24" i="12"/>
  <c r="C26" i="12"/>
  <c r="C27" i="12"/>
  <c r="C28" i="12"/>
  <c r="C29" i="12"/>
  <c r="C30" i="12"/>
  <c r="C31" i="12"/>
  <c r="C35" i="12"/>
  <c r="C36" i="12"/>
  <c r="C37" i="12"/>
  <c r="C38" i="12"/>
  <c r="C17" i="12"/>
  <c r="E6" i="12"/>
  <c r="E5" i="12"/>
  <c r="J22" i="7"/>
  <c r="J16" i="7"/>
  <c r="M14" i="7"/>
  <c r="D5" i="8"/>
  <c r="D4" i="8"/>
  <c r="B112" i="36" l="1"/>
  <c r="G4" i="9" s="1"/>
  <c r="G16" i="9"/>
  <c r="C4" i="35"/>
  <c r="F20" i="9"/>
  <c r="B93" i="37"/>
  <c r="H8" i="9" s="1"/>
  <c r="C92" i="37"/>
  <c r="C93" i="37"/>
  <c r="C4" i="37"/>
  <c r="H20" i="9"/>
  <c r="B112" i="37"/>
  <c r="H4" i="9" s="1"/>
  <c r="H16" i="9"/>
  <c r="B112" i="42"/>
  <c r="E4" i="9" s="1"/>
  <c r="B113" i="42"/>
  <c r="E5" i="9" s="1"/>
  <c r="B113" i="37"/>
  <c r="H5" i="9" s="1"/>
  <c r="B113" i="35"/>
  <c r="F5" i="9" s="1"/>
  <c r="B113" i="36"/>
  <c r="G5" i="9" s="1"/>
  <c r="B112" i="35"/>
  <c r="F4" i="9" s="1"/>
  <c r="C20" i="8"/>
  <c r="E20" i="8" s="1"/>
  <c r="AA20" i="8" s="1"/>
  <c r="AE20" i="8" s="1"/>
  <c r="C23" i="14"/>
  <c r="E23" i="14" s="1"/>
  <c r="X23" i="14" s="1"/>
  <c r="C19" i="14"/>
  <c r="C16" i="14"/>
  <c r="E16" i="14" s="1"/>
  <c r="X16" i="14" s="1"/>
  <c r="C20" i="14"/>
  <c r="C17" i="14"/>
  <c r="C21" i="14"/>
  <c r="E21" i="14" s="1"/>
  <c r="Y21" i="14" s="1"/>
  <c r="C18" i="14"/>
  <c r="C15" i="14"/>
  <c r="E15" i="14" s="1"/>
  <c r="C40" i="8"/>
  <c r="B97" i="8" s="1"/>
  <c r="D44" i="9" s="1"/>
  <c r="C35" i="8"/>
  <c r="C15" i="8"/>
  <c r="E15" i="8" s="1"/>
  <c r="P15" i="8" s="1"/>
  <c r="S15" i="8" s="1"/>
  <c r="C46" i="8"/>
  <c r="B103" i="8" s="1"/>
  <c r="B109" i="8" s="1"/>
  <c r="D53" i="9" s="1"/>
  <c r="C11" i="8"/>
  <c r="E11" i="8" s="1"/>
  <c r="I11" i="8" s="1"/>
  <c r="C26" i="8"/>
  <c r="E26" i="8" s="1"/>
  <c r="Z26" i="8" s="1"/>
  <c r="AD26" i="8" s="1"/>
  <c r="C42" i="8"/>
  <c r="B99" i="8" s="1"/>
  <c r="B107" i="8" s="1"/>
  <c r="D51" i="9" s="1"/>
  <c r="C22" i="8"/>
  <c r="E22" i="8" s="1"/>
  <c r="Y22" i="8" s="1"/>
  <c r="AC22" i="8" s="1"/>
  <c r="C14" i="8"/>
  <c r="E14" i="8" s="1"/>
  <c r="X14" i="8" s="1"/>
  <c r="AB14" i="8" s="1"/>
  <c r="C21" i="8"/>
  <c r="E21" i="8" s="1"/>
  <c r="P21" i="8" s="1"/>
  <c r="S21" i="8" s="1"/>
  <c r="C25" i="8"/>
  <c r="E25" i="8" s="1"/>
  <c r="I25" i="8" s="1"/>
  <c r="C62" i="8" s="1"/>
  <c r="C30" i="8"/>
  <c r="B86" i="8" s="1"/>
  <c r="D55" i="9" s="1"/>
  <c r="C49" i="8"/>
  <c r="B106" i="8" s="1"/>
  <c r="D50" i="9" s="1"/>
  <c r="C45" i="8"/>
  <c r="B102" i="8" s="1"/>
  <c r="D47" i="9" s="1"/>
  <c r="C41" i="8"/>
  <c r="C34" i="8"/>
  <c r="B88" i="8" s="1"/>
  <c r="D58" i="9" s="1"/>
  <c r="C17" i="8"/>
  <c r="E17" i="8" s="1"/>
  <c r="X17" i="8" s="1"/>
  <c r="AB17" i="8" s="1"/>
  <c r="C13" i="8"/>
  <c r="E13" i="8" s="1"/>
  <c r="P13" i="8" s="1"/>
  <c r="C18" i="8"/>
  <c r="E18" i="8" s="1"/>
  <c r="C28" i="8"/>
  <c r="E28" i="8" s="1"/>
  <c r="C24" i="8"/>
  <c r="E24" i="8" s="1"/>
  <c r="AA24" i="8" s="1"/>
  <c r="AE24" i="8" s="1"/>
  <c r="C31" i="8"/>
  <c r="E31" i="8" s="1"/>
  <c r="X31" i="8" s="1"/>
  <c r="AB31" i="8" s="1"/>
  <c r="C48" i="8"/>
  <c r="B105" i="8" s="1"/>
  <c r="D49" i="9" s="1"/>
  <c r="C44" i="8"/>
  <c r="C33" i="8"/>
  <c r="B87" i="8" s="1"/>
  <c r="D57" i="9" s="1"/>
  <c r="C10" i="8"/>
  <c r="E10" i="8" s="1"/>
  <c r="Y10" i="8" s="1"/>
  <c r="AC10" i="8" s="1"/>
  <c r="C12" i="8"/>
  <c r="E12" i="8" s="1"/>
  <c r="I12" i="8" s="1"/>
  <c r="C63" i="8" s="1"/>
  <c r="C27" i="8"/>
  <c r="E27" i="8" s="1"/>
  <c r="Y27" i="8" s="1"/>
  <c r="AC27" i="8" s="1"/>
  <c r="C23" i="8"/>
  <c r="E23" i="8" s="1"/>
  <c r="P23" i="8" s="1"/>
  <c r="C37" i="8"/>
  <c r="E37" i="8" s="1"/>
  <c r="Y37" i="8" s="1"/>
  <c r="AC37" i="8" s="1"/>
  <c r="C47" i="8"/>
  <c r="B104" i="8" s="1"/>
  <c r="D48" i="9" s="1"/>
  <c r="C43" i="8"/>
  <c r="B100" i="8" s="1"/>
  <c r="B108" i="8" s="1"/>
  <c r="D52" i="9" s="1"/>
  <c r="E38" i="8"/>
  <c r="X38" i="8" s="1"/>
  <c r="AB38" i="8" s="1"/>
  <c r="B83" i="8"/>
  <c r="D41" i="9" s="1"/>
  <c r="V37" i="12"/>
  <c r="V35" i="12"/>
  <c r="BG54" i="12"/>
  <c r="V38" i="12"/>
  <c r="V36" i="12"/>
  <c r="C30" i="14"/>
  <c r="E30" i="14" s="1"/>
  <c r="C43" i="14"/>
  <c r="B99" i="14" s="1"/>
  <c r="J46" i="9" s="1"/>
  <c r="C47" i="14"/>
  <c r="B103" i="14" s="1"/>
  <c r="J49" i="9" s="1"/>
  <c r="C45" i="14"/>
  <c r="B101" i="14" s="1"/>
  <c r="J53" i="9" s="1"/>
  <c r="C46" i="14"/>
  <c r="B102" i="14" s="1"/>
  <c r="J48" i="9" s="1"/>
  <c r="C40" i="14"/>
  <c r="B96" i="14" s="1"/>
  <c r="J45" i="9" s="1"/>
  <c r="C44" i="14"/>
  <c r="B100" i="14" s="1"/>
  <c r="J47" i="9" s="1"/>
  <c r="C48" i="14"/>
  <c r="C41" i="14"/>
  <c r="E41" i="14" s="1"/>
  <c r="AA41" i="14" s="1"/>
  <c r="C39" i="14"/>
  <c r="B95" i="14" s="1"/>
  <c r="J44" i="9" s="1"/>
  <c r="C42" i="14"/>
  <c r="E42" i="14" s="1"/>
  <c r="AA42" i="14" s="1"/>
  <c r="D18" i="12"/>
  <c r="G18" i="12" s="1"/>
  <c r="D19" i="12"/>
  <c r="D17" i="12"/>
  <c r="C24" i="14"/>
  <c r="H18" i="12"/>
  <c r="W18" i="12" s="1"/>
  <c r="E19" i="14"/>
  <c r="AA19" i="14" s="1"/>
  <c r="C37" i="14"/>
  <c r="E37" i="14" s="1"/>
  <c r="C33" i="14"/>
  <c r="E33" i="14" s="1"/>
  <c r="C29" i="14"/>
  <c r="E29" i="14" s="1"/>
  <c r="Z29" i="14" s="1"/>
  <c r="C22" i="14"/>
  <c r="E22" i="14" s="1"/>
  <c r="Z22" i="14" s="1"/>
  <c r="E18" i="14"/>
  <c r="Y18" i="14" s="1"/>
  <c r="C36" i="14"/>
  <c r="E36" i="14" s="1"/>
  <c r="C32" i="14"/>
  <c r="E32" i="14" s="1"/>
  <c r="C28" i="14"/>
  <c r="E28" i="14" s="1"/>
  <c r="E17" i="14"/>
  <c r="Z17" i="14" s="1"/>
  <c r="C35" i="14"/>
  <c r="E35" i="14" s="1"/>
  <c r="C31" i="14"/>
  <c r="E31" i="14" s="1"/>
  <c r="C27" i="14"/>
  <c r="E27" i="14" s="1"/>
  <c r="E20" i="14"/>
  <c r="X20" i="14" s="1"/>
  <c r="C26" i="14"/>
  <c r="E26" i="14" s="1"/>
  <c r="C34" i="14"/>
  <c r="E34" i="14" s="1"/>
  <c r="B11" i="14"/>
  <c r="B7" i="14"/>
  <c r="B9" i="14"/>
  <c r="B8" i="14"/>
  <c r="H37" i="12"/>
  <c r="H17" i="12"/>
  <c r="W17" i="12" s="1"/>
  <c r="D26" i="12"/>
  <c r="G26" i="12" s="1"/>
  <c r="D29" i="12"/>
  <c r="G29" i="12" s="1"/>
  <c r="V29" i="12" s="1"/>
  <c r="D31" i="12"/>
  <c r="D37" i="12"/>
  <c r="D24" i="12"/>
  <c r="G24" i="12" s="1"/>
  <c r="V24" i="12" s="1"/>
  <c r="D25" i="12"/>
  <c r="G25" i="12" s="1"/>
  <c r="V25" i="12" s="1"/>
  <c r="I7" i="12"/>
  <c r="D35" i="12"/>
  <c r="D23" i="12"/>
  <c r="G23" i="12" s="1"/>
  <c r="D33" i="12"/>
  <c r="G33" i="12" s="1"/>
  <c r="V33" i="12" s="1"/>
  <c r="D20" i="12"/>
  <c r="D30" i="12"/>
  <c r="G30" i="12" s="1"/>
  <c r="D22" i="12"/>
  <c r="G22" i="12" s="1"/>
  <c r="D27" i="12"/>
  <c r="G27" i="12" s="1"/>
  <c r="D38" i="12"/>
  <c r="D28" i="12"/>
  <c r="G28" i="12" s="1"/>
  <c r="V28" i="12" s="1"/>
  <c r="D36" i="12"/>
  <c r="H33" i="12"/>
  <c r="W33" i="12" s="1"/>
  <c r="H24" i="12"/>
  <c r="H26" i="12"/>
  <c r="H25" i="12"/>
  <c r="H31" i="12"/>
  <c r="H23" i="12"/>
  <c r="H30" i="12"/>
  <c r="H22" i="12"/>
  <c r="H29" i="12"/>
  <c r="H20" i="12"/>
  <c r="W20" i="12" s="1"/>
  <c r="H28" i="12"/>
  <c r="H19" i="12"/>
  <c r="W19" i="12" s="1"/>
  <c r="H27" i="12"/>
  <c r="C9" i="12"/>
  <c r="E35" i="8" l="1"/>
  <c r="Y35" i="8" s="1"/>
  <c r="AC35" i="8" s="1"/>
  <c r="B90" i="8"/>
  <c r="D60" i="9" s="1"/>
  <c r="E42" i="8"/>
  <c r="Z42" i="8" s="1"/>
  <c r="AD42" i="8" s="1"/>
  <c r="E43" i="8"/>
  <c r="AA43" i="8" s="1"/>
  <c r="AE43" i="8" s="1"/>
  <c r="B110" i="8"/>
  <c r="E49" i="8"/>
  <c r="C106" i="8" s="1"/>
  <c r="B104" i="14"/>
  <c r="J50" i="9" s="1"/>
  <c r="B106" i="14"/>
  <c r="B98" i="14"/>
  <c r="J52" i="9" s="1"/>
  <c r="B97" i="14"/>
  <c r="J51" i="9" s="1"/>
  <c r="P15" i="14"/>
  <c r="C82" i="14" s="1"/>
  <c r="Y15" i="14"/>
  <c r="X15" i="14"/>
  <c r="Z15" i="14"/>
  <c r="AA15" i="14"/>
  <c r="E46" i="8"/>
  <c r="C103" i="8" s="1"/>
  <c r="E30" i="8"/>
  <c r="I30" i="8" s="1"/>
  <c r="L30" i="8" s="1"/>
  <c r="E47" i="8"/>
  <c r="C104" i="8" s="1"/>
  <c r="E48" i="8"/>
  <c r="Z48" i="8" s="1"/>
  <c r="AD48" i="8" s="1"/>
  <c r="E24" i="14"/>
  <c r="Y24" i="14" s="1"/>
  <c r="AC24" i="14" s="1"/>
  <c r="B88" i="14"/>
  <c r="J55" i="9" s="1"/>
  <c r="E40" i="8"/>
  <c r="C97" i="8" s="1"/>
  <c r="B111" i="8"/>
  <c r="P24" i="14"/>
  <c r="S24" i="14" s="1"/>
  <c r="E47" i="14"/>
  <c r="Y47" i="14" s="1"/>
  <c r="AC47" i="14" s="1"/>
  <c r="E44" i="14"/>
  <c r="X44" i="14" s="1"/>
  <c r="AB44" i="14" s="1"/>
  <c r="E45" i="14"/>
  <c r="Z45" i="14" s="1"/>
  <c r="AD45" i="14" s="1"/>
  <c r="B101" i="8"/>
  <c r="D46" i="9" s="1"/>
  <c r="E44" i="8"/>
  <c r="Y44" i="8" s="1"/>
  <c r="AC44" i="8" s="1"/>
  <c r="B98" i="8"/>
  <c r="D45" i="9" s="1"/>
  <c r="E41" i="8"/>
  <c r="Z41" i="8" s="1"/>
  <c r="AD41" i="8" s="1"/>
  <c r="E45" i="8"/>
  <c r="C102" i="8" s="1"/>
  <c r="R15" i="8"/>
  <c r="AJ18" i="12"/>
  <c r="AN18" i="12" s="1"/>
  <c r="E43" i="14"/>
  <c r="Y43" i="14" s="1"/>
  <c r="AC43" i="14" s="1"/>
  <c r="Z31" i="8"/>
  <c r="AD31" i="8" s="1"/>
  <c r="Y38" i="8"/>
  <c r="AC38" i="8" s="1"/>
  <c r="Z38" i="8"/>
  <c r="AD38" i="8" s="1"/>
  <c r="AA38" i="8"/>
  <c r="AE38" i="8" s="1"/>
  <c r="E46" i="14"/>
  <c r="AA46" i="14" s="1"/>
  <c r="AE46" i="14" s="1"/>
  <c r="E40" i="14"/>
  <c r="X40" i="14" s="1"/>
  <c r="AB40" i="14" s="1"/>
  <c r="E48" i="14"/>
  <c r="X48" i="14" s="1"/>
  <c r="AB48" i="14" s="1"/>
  <c r="AI29" i="12"/>
  <c r="AM29" i="12" s="1"/>
  <c r="AK23" i="12"/>
  <c r="AO23" i="12" s="1"/>
  <c r="AL27" i="12"/>
  <c r="AP27" i="12" s="1"/>
  <c r="AJ25" i="12"/>
  <c r="AN25" i="12" s="1"/>
  <c r="AK33" i="12"/>
  <c r="AO33" i="12" s="1"/>
  <c r="AI27" i="12"/>
  <c r="AM27" i="12" s="1"/>
  <c r="AL22" i="12"/>
  <c r="AP22" i="12" s="1"/>
  <c r="X20" i="8"/>
  <c r="AB20" i="8" s="1"/>
  <c r="AA15" i="8"/>
  <c r="AE15" i="8" s="1"/>
  <c r="Y20" i="8"/>
  <c r="AC20" i="8" s="1"/>
  <c r="Z20" i="8"/>
  <c r="AD20" i="8" s="1"/>
  <c r="I15" i="8"/>
  <c r="L15" i="8" s="1"/>
  <c r="X15" i="8"/>
  <c r="AB15" i="8" s="1"/>
  <c r="Z15" i="8"/>
  <c r="AD15" i="8" s="1"/>
  <c r="AA35" i="8"/>
  <c r="AE35" i="8" s="1"/>
  <c r="Y15" i="8"/>
  <c r="AC15" i="8" s="1"/>
  <c r="Z35" i="8"/>
  <c r="AD35" i="8" s="1"/>
  <c r="P35" i="8"/>
  <c r="S35" i="8" s="1"/>
  <c r="X35" i="8"/>
  <c r="AB35" i="8" s="1"/>
  <c r="AA23" i="14"/>
  <c r="AE23" i="14" s="1"/>
  <c r="E39" i="14"/>
  <c r="X39" i="14" s="1"/>
  <c r="AB39" i="14" s="1"/>
  <c r="AJ24" i="12"/>
  <c r="AN24" i="12" s="1"/>
  <c r="AJ22" i="12"/>
  <c r="AN22" i="12" s="1"/>
  <c r="AI24" i="12"/>
  <c r="AM24" i="12" s="1"/>
  <c r="AK25" i="12"/>
  <c r="AO25" i="12" s="1"/>
  <c r="AI25" i="12"/>
  <c r="AM25" i="12" s="1"/>
  <c r="AI28" i="12"/>
  <c r="AM28" i="12" s="1"/>
  <c r="AL24" i="12"/>
  <c r="AP24" i="12" s="1"/>
  <c r="V18" i="12"/>
  <c r="X18" i="12" s="1"/>
  <c r="AL18" i="12"/>
  <c r="AP18" i="12" s="1"/>
  <c r="V23" i="12"/>
  <c r="AJ23" i="12"/>
  <c r="AN23" i="12" s="1"/>
  <c r="V26" i="12"/>
  <c r="AK26" i="12"/>
  <c r="AO26" i="12" s="1"/>
  <c r="AI26" i="12"/>
  <c r="AM26" i="12" s="1"/>
  <c r="AJ28" i="12"/>
  <c r="AN28" i="12" s="1"/>
  <c r="AI18" i="12"/>
  <c r="AM18" i="12" s="1"/>
  <c r="AJ26" i="12"/>
  <c r="AN26" i="12" s="1"/>
  <c r="AK18" i="12"/>
  <c r="AO18" i="12" s="1"/>
  <c r="AI33" i="12"/>
  <c r="AM33" i="12" s="1"/>
  <c r="AL26" i="12"/>
  <c r="AP26" i="12" s="1"/>
  <c r="V30" i="12"/>
  <c r="AK30" i="12"/>
  <c r="AO30" i="12" s="1"/>
  <c r="AI30" i="12"/>
  <c r="AM30" i="12" s="1"/>
  <c r="AK29" i="12"/>
  <c r="AO29" i="12" s="1"/>
  <c r="AI23" i="12"/>
  <c r="AM23" i="12" s="1"/>
  <c r="AK27" i="12"/>
  <c r="AO27" i="12" s="1"/>
  <c r="AJ29" i="12"/>
  <c r="AN29" i="12" s="1"/>
  <c r="AL28" i="12"/>
  <c r="AP28" i="12" s="1"/>
  <c r="AB18" i="12"/>
  <c r="AJ33" i="12"/>
  <c r="AN33" i="12" s="1"/>
  <c r="AL25" i="12"/>
  <c r="AP25" i="12" s="1"/>
  <c r="AJ30" i="12"/>
  <c r="AN30" i="12" s="1"/>
  <c r="AK24" i="12"/>
  <c r="AO24" i="12" s="1"/>
  <c r="AL30" i="12"/>
  <c r="AP30" i="12" s="1"/>
  <c r="V22" i="12"/>
  <c r="AK22" i="12"/>
  <c r="AO22" i="12" s="1"/>
  <c r="AI22" i="12"/>
  <c r="AM22" i="12" s="1"/>
  <c r="V27" i="12"/>
  <c r="AJ27" i="12"/>
  <c r="AN27" i="12" s="1"/>
  <c r="AA18" i="12"/>
  <c r="AL29" i="12"/>
  <c r="AP29" i="12" s="1"/>
  <c r="AL23" i="12"/>
  <c r="AP23" i="12" s="1"/>
  <c r="AK28" i="12"/>
  <c r="AO28" i="12" s="1"/>
  <c r="AL33" i="12"/>
  <c r="AP33" i="12" s="1"/>
  <c r="Z21" i="8"/>
  <c r="AD21" i="8" s="1"/>
  <c r="I21" i="8"/>
  <c r="L21" i="8" s="1"/>
  <c r="X21" i="8"/>
  <c r="AB21" i="8" s="1"/>
  <c r="R21" i="8"/>
  <c r="Y21" i="8"/>
  <c r="AC21" i="8" s="1"/>
  <c r="AA31" i="8"/>
  <c r="AE31" i="8" s="1"/>
  <c r="I31" i="8"/>
  <c r="K31" i="8" s="1"/>
  <c r="P31" i="8"/>
  <c r="C79" i="8" s="1"/>
  <c r="I23" i="8"/>
  <c r="C61" i="8" s="1"/>
  <c r="Y31" i="8"/>
  <c r="AC31" i="8" s="1"/>
  <c r="AA21" i="8"/>
  <c r="AE21" i="8" s="1"/>
  <c r="I37" i="8"/>
  <c r="L37" i="8" s="1"/>
  <c r="AA37" i="8"/>
  <c r="AE37" i="8" s="1"/>
  <c r="P17" i="8"/>
  <c r="R17" i="8" s="1"/>
  <c r="X37" i="8"/>
  <c r="AB37" i="8" s="1"/>
  <c r="Z37" i="8"/>
  <c r="AD37" i="8" s="1"/>
  <c r="Z22" i="8"/>
  <c r="AD22" i="8" s="1"/>
  <c r="X22" i="8"/>
  <c r="AB22" i="8" s="1"/>
  <c r="Y17" i="8"/>
  <c r="AC17" i="8" s="1"/>
  <c r="Z17" i="8"/>
  <c r="AD17" i="8" s="1"/>
  <c r="AA17" i="8"/>
  <c r="AE17" i="8" s="1"/>
  <c r="S23" i="8"/>
  <c r="R23" i="8"/>
  <c r="Y24" i="8"/>
  <c r="AC24" i="8" s="1"/>
  <c r="Y14" i="8"/>
  <c r="AC14" i="8" s="1"/>
  <c r="P18" i="8"/>
  <c r="R18" i="8" s="1"/>
  <c r="I18" i="8"/>
  <c r="AA18" i="8"/>
  <c r="AE18" i="8" s="1"/>
  <c r="Y26" i="8"/>
  <c r="AC26" i="8" s="1"/>
  <c r="AA22" i="8"/>
  <c r="AE22" i="8" s="1"/>
  <c r="C101" i="8"/>
  <c r="Z14" i="8"/>
  <c r="AD14" i="8" s="1"/>
  <c r="Z27" i="8"/>
  <c r="AD27" i="8" s="1"/>
  <c r="Z18" i="8"/>
  <c r="AD18" i="8" s="1"/>
  <c r="Y18" i="8"/>
  <c r="AC18" i="8" s="1"/>
  <c r="AA14" i="8"/>
  <c r="AE14" i="8" s="1"/>
  <c r="AA27" i="8"/>
  <c r="AE27" i="8" s="1"/>
  <c r="X27" i="8"/>
  <c r="AB27" i="8" s="1"/>
  <c r="W37" i="12"/>
  <c r="G13" i="11" s="1"/>
  <c r="AI37" i="12"/>
  <c r="AM37" i="12" s="1"/>
  <c r="AK37" i="12"/>
  <c r="AO37" i="12" s="1"/>
  <c r="AL37" i="12"/>
  <c r="AP37" i="12" s="1"/>
  <c r="AJ37" i="12"/>
  <c r="AN37" i="12" s="1"/>
  <c r="R13" i="8"/>
  <c r="Y13" i="8"/>
  <c r="AC13" i="8" s="1"/>
  <c r="I13" i="8"/>
  <c r="C55" i="8" s="1"/>
  <c r="Z10" i="8"/>
  <c r="AD10" i="8" s="1"/>
  <c r="S13" i="8"/>
  <c r="X24" i="8"/>
  <c r="AB24" i="8" s="1"/>
  <c r="AA42" i="8"/>
  <c r="AE42" i="8" s="1"/>
  <c r="Y28" i="8"/>
  <c r="AC28" i="8" s="1"/>
  <c r="AA12" i="8"/>
  <c r="AE12" i="8" s="1"/>
  <c r="X11" i="8"/>
  <c r="AB11" i="8" s="1"/>
  <c r="X28" i="8"/>
  <c r="AB28" i="8" s="1"/>
  <c r="X26" i="8"/>
  <c r="AB26" i="8" s="1"/>
  <c r="X13" i="8"/>
  <c r="AB13" i="8" s="1"/>
  <c r="Z11" i="8"/>
  <c r="AD11" i="8" s="1"/>
  <c r="AA11" i="8"/>
  <c r="AE11" i="8" s="1"/>
  <c r="L12" i="8"/>
  <c r="B63" i="8" s="1"/>
  <c r="D19" i="9" s="1"/>
  <c r="K12" i="8"/>
  <c r="D63" i="8" s="1"/>
  <c r="Z23" i="8"/>
  <c r="AD23" i="8" s="1"/>
  <c r="Y23" i="8"/>
  <c r="AC23" i="8" s="1"/>
  <c r="Z12" i="8"/>
  <c r="AD12" i="8" s="1"/>
  <c r="AA26" i="8"/>
  <c r="AE26" i="8" s="1"/>
  <c r="X18" i="8"/>
  <c r="AB18" i="8" s="1"/>
  <c r="Z13" i="8"/>
  <c r="AD13" i="8" s="1"/>
  <c r="AA13" i="8"/>
  <c r="AE13" i="8" s="1"/>
  <c r="AA10" i="8"/>
  <c r="AE10" i="8" s="1"/>
  <c r="Z24" i="8"/>
  <c r="AD24" i="8" s="1"/>
  <c r="AA28" i="8"/>
  <c r="AE28" i="8" s="1"/>
  <c r="X23" i="8"/>
  <c r="AB23" i="8" s="1"/>
  <c r="AA23" i="8"/>
  <c r="AE23" i="8" s="1"/>
  <c r="K11" i="8"/>
  <c r="L11" i="8"/>
  <c r="P25" i="8"/>
  <c r="Z25" i="8"/>
  <c r="AD25" i="8" s="1"/>
  <c r="Y25" i="8"/>
  <c r="AC25" i="8" s="1"/>
  <c r="X25" i="8"/>
  <c r="AB25" i="8" s="1"/>
  <c r="AA25" i="8"/>
  <c r="AE25" i="8" s="1"/>
  <c r="Y12" i="8"/>
  <c r="AC12" i="8" s="1"/>
  <c r="Z28" i="8"/>
  <c r="AD28" i="8" s="1"/>
  <c r="X12" i="8"/>
  <c r="AB12" i="8" s="1"/>
  <c r="Y11" i="8"/>
  <c r="AC11" i="8" s="1"/>
  <c r="L25" i="8"/>
  <c r="B62" i="8" s="1"/>
  <c r="D31" i="9" s="1"/>
  <c r="K25" i="8"/>
  <c r="D62" i="8" s="1"/>
  <c r="P12" i="8"/>
  <c r="R12" i="8" s="1"/>
  <c r="P28" i="8"/>
  <c r="X24" i="14"/>
  <c r="AB24" i="14" s="1"/>
  <c r="P37" i="8"/>
  <c r="P14" i="8"/>
  <c r="S14" i="8" s="1"/>
  <c r="I14" i="8"/>
  <c r="C56" i="8" s="1"/>
  <c r="I22" i="8"/>
  <c r="C60" i="8" s="1"/>
  <c r="I28" i="8"/>
  <c r="P24" i="8"/>
  <c r="P20" i="8"/>
  <c r="S20" i="8" s="1"/>
  <c r="I17" i="8"/>
  <c r="I26" i="8"/>
  <c r="C66" i="8" s="1"/>
  <c r="I10" i="8"/>
  <c r="P26" i="8"/>
  <c r="R26" i="8" s="1"/>
  <c r="I24" i="8"/>
  <c r="I35" i="8"/>
  <c r="P11" i="8"/>
  <c r="S11" i="8" s="1"/>
  <c r="P22" i="8"/>
  <c r="S22" i="8" s="1"/>
  <c r="I20" i="8"/>
  <c r="P10" i="8"/>
  <c r="X10" i="8"/>
  <c r="I27" i="8"/>
  <c r="C59" i="8" s="1"/>
  <c r="P27" i="8"/>
  <c r="M18" i="12"/>
  <c r="N18" i="12" s="1"/>
  <c r="W23" i="12"/>
  <c r="Q44" i="11" s="1"/>
  <c r="W24" i="12"/>
  <c r="Q45" i="11" s="1"/>
  <c r="AA20" i="14"/>
  <c r="AE20" i="14" s="1"/>
  <c r="Z18" i="14"/>
  <c r="AD18" i="14" s="1"/>
  <c r="Y16" i="14"/>
  <c r="X17" i="14"/>
  <c r="AB17" i="14" s="1"/>
  <c r="X22" i="14"/>
  <c r="AB22" i="14" s="1"/>
  <c r="X41" i="14"/>
  <c r="AB41" i="14" s="1"/>
  <c r="Z41" i="14"/>
  <c r="AD41" i="14" s="1"/>
  <c r="Y19" i="14"/>
  <c r="AC19" i="14" s="1"/>
  <c r="Z20" i="14"/>
  <c r="AD20" i="14" s="1"/>
  <c r="Y41" i="14"/>
  <c r="AC41" i="14" s="1"/>
  <c r="Z42" i="14"/>
  <c r="AD42" i="14" s="1"/>
  <c r="W27" i="12"/>
  <c r="Q48" i="11" s="1"/>
  <c r="W29" i="12"/>
  <c r="Q50" i="11" s="1"/>
  <c r="W31" i="12"/>
  <c r="Q52" i="11" s="1"/>
  <c r="S18" i="12"/>
  <c r="T18" i="12" s="1"/>
  <c r="Z18" i="12"/>
  <c r="AA17" i="14"/>
  <c r="AE17" i="14" s="1"/>
  <c r="AA21" i="14"/>
  <c r="AE21" i="14" s="1"/>
  <c r="X18" i="14"/>
  <c r="AB18" i="14" s="1"/>
  <c r="X42" i="14"/>
  <c r="AB42" i="14" s="1"/>
  <c r="P23" i="14"/>
  <c r="C80" i="14" s="1"/>
  <c r="I23" i="14"/>
  <c r="Y20" i="14"/>
  <c r="AC20" i="14" s="1"/>
  <c r="Z16" i="14"/>
  <c r="Z23" i="14"/>
  <c r="AD23" i="14" s="1"/>
  <c r="W22" i="12"/>
  <c r="G19" i="11" s="1"/>
  <c r="W25" i="12"/>
  <c r="Q46" i="11" s="1"/>
  <c r="Y18" i="12"/>
  <c r="AA18" i="14"/>
  <c r="AE18" i="14" s="1"/>
  <c r="AA22" i="14"/>
  <c r="AE22" i="14" s="1"/>
  <c r="X19" i="14"/>
  <c r="AB19" i="14" s="1"/>
  <c r="Z19" i="14"/>
  <c r="AD19" i="14" s="1"/>
  <c r="Y17" i="14"/>
  <c r="AC17" i="14" s="1"/>
  <c r="Y22" i="14"/>
  <c r="AC22" i="14" s="1"/>
  <c r="Y42" i="14"/>
  <c r="AC42" i="14" s="1"/>
  <c r="W28" i="12"/>
  <c r="Q49" i="11" s="1"/>
  <c r="W30" i="12"/>
  <c r="Q51" i="11" s="1"/>
  <c r="W26" i="12"/>
  <c r="Q47" i="11" s="1"/>
  <c r="X21" i="14"/>
  <c r="AB21" i="14" s="1"/>
  <c r="AA16" i="14"/>
  <c r="Y23" i="14"/>
  <c r="AC23" i="14" s="1"/>
  <c r="Z21" i="14"/>
  <c r="AD21" i="14" s="1"/>
  <c r="Y31" i="14"/>
  <c r="AC31" i="14" s="1"/>
  <c r="X31" i="14"/>
  <c r="AB31" i="14" s="1"/>
  <c r="Z31" i="14"/>
  <c r="AD31" i="14" s="1"/>
  <c r="AA31" i="14"/>
  <c r="AE31" i="14" s="1"/>
  <c r="X36" i="14"/>
  <c r="AB36" i="14" s="1"/>
  <c r="Y36" i="14"/>
  <c r="AC36" i="14" s="1"/>
  <c r="Z36" i="14"/>
  <c r="AD36" i="14" s="1"/>
  <c r="AA36" i="14"/>
  <c r="AE36" i="14" s="1"/>
  <c r="X30" i="14"/>
  <c r="AB30" i="14" s="1"/>
  <c r="Y30" i="14"/>
  <c r="AC30" i="14" s="1"/>
  <c r="Z30" i="14"/>
  <c r="AD30" i="14" s="1"/>
  <c r="AA30" i="14"/>
  <c r="AE30" i="14" s="1"/>
  <c r="Y35" i="14"/>
  <c r="AC35" i="14" s="1"/>
  <c r="X35" i="14"/>
  <c r="AB35" i="14" s="1"/>
  <c r="Z35" i="14"/>
  <c r="AD35" i="14" s="1"/>
  <c r="AA35" i="14"/>
  <c r="AE35" i="14" s="1"/>
  <c r="X34" i="14"/>
  <c r="AB34" i="14" s="1"/>
  <c r="Y34" i="14"/>
  <c r="AC34" i="14" s="1"/>
  <c r="Z34" i="14"/>
  <c r="AD34" i="14" s="1"/>
  <c r="AA34" i="14"/>
  <c r="AE34" i="14" s="1"/>
  <c r="Y33" i="14"/>
  <c r="AC33" i="14" s="1"/>
  <c r="X33" i="14"/>
  <c r="AB33" i="14" s="1"/>
  <c r="Z33" i="14"/>
  <c r="AD33" i="14" s="1"/>
  <c r="AA33" i="14"/>
  <c r="AE33" i="14" s="1"/>
  <c r="X26" i="14"/>
  <c r="AB26" i="14" s="1"/>
  <c r="Y26" i="14"/>
  <c r="AC26" i="14" s="1"/>
  <c r="Z26" i="14"/>
  <c r="AD26" i="14" s="1"/>
  <c r="AA26" i="14"/>
  <c r="AE26" i="14" s="1"/>
  <c r="X37" i="14"/>
  <c r="AB37" i="14" s="1"/>
  <c r="Z37" i="14"/>
  <c r="AD37" i="14" s="1"/>
  <c r="Y37" i="14"/>
  <c r="AC37" i="14" s="1"/>
  <c r="AA37" i="14"/>
  <c r="AE37" i="14" s="1"/>
  <c r="X27" i="14"/>
  <c r="AB27" i="14" s="1"/>
  <c r="Y27" i="14"/>
  <c r="AC27" i="14" s="1"/>
  <c r="Z27" i="14"/>
  <c r="AD27" i="14" s="1"/>
  <c r="AA27" i="14"/>
  <c r="AE27" i="14" s="1"/>
  <c r="X32" i="14"/>
  <c r="AB32" i="14" s="1"/>
  <c r="Y32" i="14"/>
  <c r="AC32" i="14" s="1"/>
  <c r="Z32" i="14"/>
  <c r="AD32" i="14" s="1"/>
  <c r="AA32" i="14"/>
  <c r="AE32" i="14" s="1"/>
  <c r="X29" i="14"/>
  <c r="AB29" i="14" s="1"/>
  <c r="AA29" i="14"/>
  <c r="AE29" i="14" s="1"/>
  <c r="Y29" i="14"/>
  <c r="AC29" i="14" s="1"/>
  <c r="AC18" i="14"/>
  <c r="AB20" i="14"/>
  <c r="AE41" i="14"/>
  <c r="AD22" i="14"/>
  <c r="AW27" i="12"/>
  <c r="AW31" i="12"/>
  <c r="AX36" i="12"/>
  <c r="AX24" i="12"/>
  <c r="AD29" i="14"/>
  <c r="AB23" i="14"/>
  <c r="AE19" i="14"/>
  <c r="AC21" i="14"/>
  <c r="AD17" i="14"/>
  <c r="AE42" i="14"/>
  <c r="AX25" i="12"/>
  <c r="AW25" i="12"/>
  <c r="AX26" i="12"/>
  <c r="AX31" i="12"/>
  <c r="AW26" i="12"/>
  <c r="AW28" i="12"/>
  <c r="AX21" i="12"/>
  <c r="AW21" i="12"/>
  <c r="AX22" i="12"/>
  <c r="AX23" i="12"/>
  <c r="AW23" i="12"/>
  <c r="AW22" i="12"/>
  <c r="AW24" i="12"/>
  <c r="AX27" i="12"/>
  <c r="AX29" i="12"/>
  <c r="AW29" i="12"/>
  <c r="AX28" i="12"/>
  <c r="AW36" i="12"/>
  <c r="T37" i="12"/>
  <c r="S37" i="12"/>
  <c r="M37" i="12"/>
  <c r="C59" i="12" s="1"/>
  <c r="N37" i="12"/>
  <c r="P29" i="14"/>
  <c r="C79" i="14" s="1"/>
  <c r="I29" i="14"/>
  <c r="P28" i="14"/>
  <c r="I28" i="14"/>
  <c r="P17" i="14"/>
  <c r="I17" i="14"/>
  <c r="P18" i="14"/>
  <c r="I18" i="14"/>
  <c r="P19" i="14"/>
  <c r="I19" i="14"/>
  <c r="C55" i="14" s="1"/>
  <c r="P20" i="14"/>
  <c r="I20" i="14"/>
  <c r="C56" i="14" s="1"/>
  <c r="P22" i="14"/>
  <c r="C71" i="14" s="1"/>
  <c r="I22" i="14"/>
  <c r="P37" i="14"/>
  <c r="C77" i="14" s="1"/>
  <c r="I37" i="14"/>
  <c r="P27" i="14"/>
  <c r="I27" i="14"/>
  <c r="C64" i="14" s="1"/>
  <c r="P21" i="14"/>
  <c r="I21" i="14"/>
  <c r="P32" i="14"/>
  <c r="C75" i="14" s="1"/>
  <c r="I32" i="14"/>
  <c r="I16" i="14"/>
  <c r="C57" i="14" s="1"/>
  <c r="P16" i="14"/>
  <c r="P31" i="14"/>
  <c r="C76" i="14" s="1"/>
  <c r="I31" i="14"/>
  <c r="P35" i="14"/>
  <c r="I35" i="14"/>
  <c r="C59" i="14" s="1"/>
  <c r="P34" i="14"/>
  <c r="I34" i="14"/>
  <c r="C66" i="14" s="1"/>
  <c r="P36" i="14"/>
  <c r="I36" i="14"/>
  <c r="C61" i="14" s="1"/>
  <c r="I33" i="14"/>
  <c r="C62" i="14" s="1"/>
  <c r="P33" i="14"/>
  <c r="P30" i="14"/>
  <c r="I30" i="14"/>
  <c r="C60" i="14" s="1"/>
  <c r="P26" i="14"/>
  <c r="C68" i="14" s="1"/>
  <c r="I26" i="14"/>
  <c r="G20" i="12"/>
  <c r="C23" i="11"/>
  <c r="G19" i="12"/>
  <c r="C21" i="11"/>
  <c r="G17" i="12"/>
  <c r="AW17" i="12" s="1"/>
  <c r="C22" i="11"/>
  <c r="S29" i="12"/>
  <c r="C81" i="12" s="1"/>
  <c r="M29" i="12"/>
  <c r="N29" i="12" s="1"/>
  <c r="S26" i="12"/>
  <c r="T26" i="12" s="1"/>
  <c r="M26" i="12"/>
  <c r="C69" i="12" s="1"/>
  <c r="S30" i="12"/>
  <c r="C78" i="12" s="1"/>
  <c r="M30" i="12"/>
  <c r="N30" i="12" s="1"/>
  <c r="S27" i="12"/>
  <c r="T27" i="12" s="1"/>
  <c r="M27" i="12"/>
  <c r="C64" i="12" s="1"/>
  <c r="S23" i="12"/>
  <c r="T23" i="12" s="1"/>
  <c r="M23" i="12"/>
  <c r="C65" i="12" s="1"/>
  <c r="S28" i="12"/>
  <c r="C79" i="12" s="1"/>
  <c r="M28" i="12"/>
  <c r="S25" i="12"/>
  <c r="T25" i="12" s="1"/>
  <c r="M25" i="12"/>
  <c r="C63" i="12" s="1"/>
  <c r="S24" i="12"/>
  <c r="T24" i="12" s="1"/>
  <c r="M24" i="12"/>
  <c r="C62" i="12" s="1"/>
  <c r="S33" i="12"/>
  <c r="M33" i="12"/>
  <c r="N33" i="12" s="1"/>
  <c r="S22" i="12"/>
  <c r="T22" i="12" s="1"/>
  <c r="M22" i="12"/>
  <c r="C67" i="12" s="1"/>
  <c r="AB26" i="12"/>
  <c r="Z26" i="12"/>
  <c r="Y26" i="12"/>
  <c r="AA26" i="12"/>
  <c r="D69" i="12" s="1"/>
  <c r="AB22" i="12"/>
  <c r="Z22" i="12"/>
  <c r="Y22" i="12"/>
  <c r="AA22" i="12"/>
  <c r="D67" i="12" s="1"/>
  <c r="AB30" i="12"/>
  <c r="D78" i="12" s="1"/>
  <c r="Z30" i="12"/>
  <c r="Y30" i="12"/>
  <c r="AA30" i="12"/>
  <c r="AB29" i="12"/>
  <c r="D81" i="12" s="1"/>
  <c r="Z29" i="12"/>
  <c r="Y29" i="12"/>
  <c r="AA29" i="12"/>
  <c r="AB23" i="12"/>
  <c r="Z23" i="12"/>
  <c r="Y23" i="12"/>
  <c r="AA23" i="12"/>
  <c r="D65" i="12" s="1"/>
  <c r="AB33" i="12"/>
  <c r="Z33" i="12"/>
  <c r="Y33" i="12"/>
  <c r="AA33" i="12"/>
  <c r="AB28" i="12"/>
  <c r="D79" i="12" s="1"/>
  <c r="Z28" i="12"/>
  <c r="Y28" i="12"/>
  <c r="AA28" i="12"/>
  <c r="AB25" i="12"/>
  <c r="Z25" i="12"/>
  <c r="Y25" i="12"/>
  <c r="AA25" i="12"/>
  <c r="D63" i="12" s="1"/>
  <c r="AB37" i="12"/>
  <c r="Z37" i="12"/>
  <c r="Y37" i="12"/>
  <c r="AA37" i="12"/>
  <c r="D59" i="12" s="1"/>
  <c r="AB27" i="12"/>
  <c r="Z27" i="12"/>
  <c r="Y27" i="12"/>
  <c r="AA27" i="12"/>
  <c r="D64" i="12" s="1"/>
  <c r="AB24" i="12"/>
  <c r="Z24" i="12"/>
  <c r="Y24" i="12"/>
  <c r="AA24" i="12"/>
  <c r="D62" i="12" s="1"/>
  <c r="W10" i="11"/>
  <c r="X33" i="12"/>
  <c r="G31" i="12"/>
  <c r="C12" i="12"/>
  <c r="D6" i="12"/>
  <c r="C11" i="12"/>
  <c r="C13" i="7"/>
  <c r="C5" i="8"/>
  <c r="Y43" i="8" l="1"/>
  <c r="AC43" i="8" s="1"/>
  <c r="C70" i="14"/>
  <c r="X42" i="8"/>
  <c r="AB42" i="8" s="1"/>
  <c r="C99" i="8"/>
  <c r="Y42" i="8"/>
  <c r="AC42" i="8" s="1"/>
  <c r="P30" i="8"/>
  <c r="S30" i="8" s="1"/>
  <c r="Z46" i="8"/>
  <c r="AD46" i="8" s="1"/>
  <c r="X46" i="8"/>
  <c r="AB46" i="8" s="1"/>
  <c r="Z43" i="8"/>
  <c r="AD43" i="8" s="1"/>
  <c r="C100" i="8"/>
  <c r="X43" i="8"/>
  <c r="AB43" i="8" s="1"/>
  <c r="AA46" i="8"/>
  <c r="AE46" i="8" s="1"/>
  <c r="AA49" i="8"/>
  <c r="AE49" i="8" s="1"/>
  <c r="X30" i="8"/>
  <c r="AB30" i="8" s="1"/>
  <c r="AA41" i="8"/>
  <c r="AE41" i="8" s="1"/>
  <c r="K30" i="8"/>
  <c r="Y49" i="8"/>
  <c r="AC49" i="8" s="1"/>
  <c r="X49" i="8"/>
  <c r="AB49" i="8" s="1"/>
  <c r="Y46" i="8"/>
  <c r="AC46" i="8" s="1"/>
  <c r="Z30" i="8"/>
  <c r="AD30" i="8" s="1"/>
  <c r="Z49" i="8"/>
  <c r="AD49" i="8" s="1"/>
  <c r="AA30" i="8"/>
  <c r="AE30" i="8" s="1"/>
  <c r="AA47" i="8"/>
  <c r="AE47" i="8" s="1"/>
  <c r="X48" i="8"/>
  <c r="AB48" i="8" s="1"/>
  <c r="Z47" i="8"/>
  <c r="AD47" i="8" s="1"/>
  <c r="X47" i="8"/>
  <c r="AB47" i="8" s="1"/>
  <c r="Y47" i="8"/>
  <c r="AC47" i="8" s="1"/>
  <c r="Y30" i="8"/>
  <c r="AC30" i="8" s="1"/>
  <c r="Z44" i="8"/>
  <c r="AD44" i="8" s="1"/>
  <c r="AA48" i="8"/>
  <c r="AE48" i="8" s="1"/>
  <c r="AA44" i="8"/>
  <c r="AE44" i="8" s="1"/>
  <c r="C105" i="8"/>
  <c r="Y48" i="8"/>
  <c r="AC48" i="8" s="1"/>
  <c r="X44" i="8"/>
  <c r="AB44" i="8" s="1"/>
  <c r="C74" i="14"/>
  <c r="C69" i="14"/>
  <c r="AB15" i="14"/>
  <c r="AC15" i="14"/>
  <c r="AE15" i="14"/>
  <c r="AD15" i="14"/>
  <c r="I24" i="14"/>
  <c r="C53" i="14" s="1"/>
  <c r="AA24" i="14"/>
  <c r="AE24" i="14" s="1"/>
  <c r="Z24" i="14"/>
  <c r="AD24" i="14" s="1"/>
  <c r="C63" i="14"/>
  <c r="R15" i="14"/>
  <c r="D82" i="14" s="1"/>
  <c r="S15" i="14"/>
  <c r="B82" i="14" s="1"/>
  <c r="J24" i="9" s="1"/>
  <c r="C54" i="14"/>
  <c r="Y40" i="8"/>
  <c r="AC40" i="8" s="1"/>
  <c r="Z40" i="8"/>
  <c r="AD40" i="8" s="1"/>
  <c r="AA40" i="8"/>
  <c r="AE40" i="8" s="1"/>
  <c r="X40" i="8"/>
  <c r="AB40" i="8" s="1"/>
  <c r="X41" i="8"/>
  <c r="AB41" i="8" s="1"/>
  <c r="Z46" i="14"/>
  <c r="AD46" i="14" s="1"/>
  <c r="X46" i="14"/>
  <c r="AB46" i="14" s="1"/>
  <c r="Y45" i="8"/>
  <c r="AC45" i="8" s="1"/>
  <c r="Z45" i="8"/>
  <c r="AD45" i="8" s="1"/>
  <c r="Y41" i="8"/>
  <c r="AC41" i="8" s="1"/>
  <c r="X45" i="8"/>
  <c r="AB45" i="8" s="1"/>
  <c r="AA45" i="8"/>
  <c r="AE45" i="8" s="1"/>
  <c r="C98" i="8"/>
  <c r="R24" i="14"/>
  <c r="X47" i="14"/>
  <c r="AB47" i="14" s="1"/>
  <c r="AA45" i="14"/>
  <c r="AE45" i="14" s="1"/>
  <c r="Y45" i="14"/>
  <c r="AC45" i="14" s="1"/>
  <c r="AA44" i="14"/>
  <c r="AE44" i="14" s="1"/>
  <c r="X45" i="14"/>
  <c r="AB45" i="14" s="1"/>
  <c r="Z44" i="14"/>
  <c r="AD44" i="14" s="1"/>
  <c r="Y44" i="14"/>
  <c r="AC44" i="14" s="1"/>
  <c r="Z47" i="14"/>
  <c r="AD47" i="14" s="1"/>
  <c r="AA47" i="14"/>
  <c r="AE47" i="14" s="1"/>
  <c r="Y46" i="14"/>
  <c r="AC46" i="14" s="1"/>
  <c r="Z43" i="14"/>
  <c r="AD43" i="14" s="1"/>
  <c r="X43" i="14"/>
  <c r="AB43" i="14" s="1"/>
  <c r="AA43" i="14"/>
  <c r="AE43" i="14" s="1"/>
  <c r="K21" i="8"/>
  <c r="K23" i="8"/>
  <c r="D61" i="8" s="1"/>
  <c r="Z48" i="14"/>
  <c r="AD48" i="14" s="1"/>
  <c r="C64" i="8"/>
  <c r="R35" i="8"/>
  <c r="K15" i="8"/>
  <c r="K37" i="8"/>
  <c r="X23" i="12"/>
  <c r="Y40" i="14"/>
  <c r="AC40" i="14" s="1"/>
  <c r="Z40" i="14"/>
  <c r="AD40" i="14" s="1"/>
  <c r="AA48" i="14"/>
  <c r="AE48" i="14" s="1"/>
  <c r="AA40" i="14"/>
  <c r="AE40" i="14" s="1"/>
  <c r="Y48" i="14"/>
  <c r="AC48" i="14" s="1"/>
  <c r="Y39" i="14"/>
  <c r="AC39" i="14" s="1"/>
  <c r="AA39" i="14"/>
  <c r="AE39" i="14" s="1"/>
  <c r="X30" i="12"/>
  <c r="L31" i="8"/>
  <c r="S17" i="8"/>
  <c r="B69" i="8" s="1"/>
  <c r="D20" i="9" s="1"/>
  <c r="L23" i="8"/>
  <c r="B61" i="8" s="1"/>
  <c r="D30" i="9" s="1"/>
  <c r="R30" i="8"/>
  <c r="D69" i="8"/>
  <c r="C69" i="8"/>
  <c r="X26" i="12"/>
  <c r="Z39" i="14"/>
  <c r="AD39" i="14" s="1"/>
  <c r="V19" i="12"/>
  <c r="AJ19" i="12"/>
  <c r="AN19" i="12" s="1"/>
  <c r="AK19" i="12"/>
  <c r="AO19" i="12" s="1"/>
  <c r="AL19" i="12"/>
  <c r="AP19" i="12" s="1"/>
  <c r="AI19" i="12"/>
  <c r="AM19" i="12" s="1"/>
  <c r="V20" i="12"/>
  <c r="AJ20" i="12"/>
  <c r="AN20" i="12" s="1"/>
  <c r="AL20" i="12"/>
  <c r="AP20" i="12" s="1"/>
  <c r="AI20" i="12"/>
  <c r="AM20" i="12" s="1"/>
  <c r="AK20" i="12"/>
  <c r="AO20" i="12" s="1"/>
  <c r="C85" i="12"/>
  <c r="C84" i="12"/>
  <c r="V31" i="12"/>
  <c r="AJ31" i="12"/>
  <c r="AN31" i="12" s="1"/>
  <c r="AK31" i="12"/>
  <c r="AO31" i="12" s="1"/>
  <c r="AI31" i="12"/>
  <c r="AM31" i="12" s="1"/>
  <c r="AL31" i="12"/>
  <c r="AP31" i="12" s="1"/>
  <c r="R31" i="8"/>
  <c r="D79" i="8" s="1"/>
  <c r="S31" i="8"/>
  <c r="B79" i="8" s="1"/>
  <c r="D21" i="9" s="1"/>
  <c r="L13" i="8"/>
  <c r="B55" i="8" s="1"/>
  <c r="D13" i="9" s="1"/>
  <c r="K13" i="8"/>
  <c r="D55" i="8" s="1"/>
  <c r="S24" i="8"/>
  <c r="B74" i="8" s="1"/>
  <c r="D35" i="9" s="1"/>
  <c r="C74" i="8"/>
  <c r="S28" i="8"/>
  <c r="B76" i="8" s="1"/>
  <c r="D38" i="9" s="1"/>
  <c r="C76" i="8"/>
  <c r="K18" i="8"/>
  <c r="L18" i="8"/>
  <c r="S12" i="8"/>
  <c r="R10" i="8"/>
  <c r="C73" i="8"/>
  <c r="K10" i="8"/>
  <c r="D57" i="8" s="1"/>
  <c r="C57" i="8"/>
  <c r="K35" i="8"/>
  <c r="C54" i="8"/>
  <c r="S37" i="8"/>
  <c r="B70" i="8" s="1"/>
  <c r="D17" i="9" s="1"/>
  <c r="C70" i="8"/>
  <c r="X27" i="12"/>
  <c r="X24" i="12"/>
  <c r="L17" i="8"/>
  <c r="B64" i="8" s="1"/>
  <c r="D22" i="9" s="1"/>
  <c r="K17" i="8"/>
  <c r="L14" i="8"/>
  <c r="B56" i="8" s="1"/>
  <c r="D14" i="9" s="1"/>
  <c r="K14" i="8"/>
  <c r="D56" i="8" s="1"/>
  <c r="R25" i="8"/>
  <c r="S25" i="8"/>
  <c r="L24" i="8"/>
  <c r="K24" i="8"/>
  <c r="K27" i="8"/>
  <c r="D59" i="8" s="1"/>
  <c r="L27" i="8"/>
  <c r="B59" i="8" s="1"/>
  <c r="D28" i="9" s="1"/>
  <c r="K28" i="8"/>
  <c r="L28" i="8"/>
  <c r="L22" i="8"/>
  <c r="B60" i="8" s="1"/>
  <c r="D29" i="9" s="1"/>
  <c r="K22" i="8"/>
  <c r="D60" i="8" s="1"/>
  <c r="L26" i="8"/>
  <c r="B66" i="8" s="1"/>
  <c r="D32" i="9" s="1"/>
  <c r="K26" i="8"/>
  <c r="D66" i="8" s="1"/>
  <c r="L20" i="8"/>
  <c r="K20" i="8"/>
  <c r="R28" i="8"/>
  <c r="D76" i="8" s="1"/>
  <c r="R37" i="8"/>
  <c r="D70" i="8" s="1"/>
  <c r="D85" i="12"/>
  <c r="D84" i="12"/>
  <c r="L35" i="8"/>
  <c r="R14" i="8"/>
  <c r="L10" i="8"/>
  <c r="B57" i="8" s="1"/>
  <c r="D15" i="9" s="1"/>
  <c r="R24" i="8"/>
  <c r="D74" i="8" s="1"/>
  <c r="R22" i="8"/>
  <c r="S10" i="8"/>
  <c r="B73" i="8" s="1"/>
  <c r="D25" i="9" s="1"/>
  <c r="R11" i="8"/>
  <c r="S26" i="8"/>
  <c r="R20" i="8"/>
  <c r="AB10" i="8"/>
  <c r="S27" i="8"/>
  <c r="R27" i="8"/>
  <c r="Q43" i="11"/>
  <c r="X22" i="12"/>
  <c r="X28" i="12"/>
  <c r="X29" i="12"/>
  <c r="C7" i="15"/>
  <c r="S23" i="14"/>
  <c r="B80" i="14" s="1"/>
  <c r="J21" i="9" s="1"/>
  <c r="R23" i="14"/>
  <c r="D80" i="14" s="1"/>
  <c r="C14" i="15"/>
  <c r="K23" i="14"/>
  <c r="L23" i="14"/>
  <c r="X37" i="12"/>
  <c r="N46" i="11"/>
  <c r="X25" i="12"/>
  <c r="H35" i="12"/>
  <c r="Z17" i="12"/>
  <c r="AK17" i="12"/>
  <c r="AO17" i="12" s="1"/>
  <c r="AI17" i="12"/>
  <c r="AM17" i="12" s="1"/>
  <c r="AL17" i="12"/>
  <c r="AP17" i="12" s="1"/>
  <c r="AJ17" i="12"/>
  <c r="AN17" i="12" s="1"/>
  <c r="B59" i="12"/>
  <c r="AE16" i="14"/>
  <c r="AD16" i="14"/>
  <c r="AC16" i="14"/>
  <c r="AB16" i="14"/>
  <c r="S19" i="12"/>
  <c r="AX18" i="12"/>
  <c r="AW18" i="12"/>
  <c r="AX30" i="12"/>
  <c r="AW30" i="12"/>
  <c r="AA17" i="12"/>
  <c r="D66" i="12" s="1"/>
  <c r="AX17" i="12"/>
  <c r="AB20" i="12"/>
  <c r="D72" i="12" s="1"/>
  <c r="AX19" i="12"/>
  <c r="AW19" i="12"/>
  <c r="N22" i="12"/>
  <c r="N24" i="12"/>
  <c r="N27" i="12"/>
  <c r="N26" i="12"/>
  <c r="B69" i="12" s="1"/>
  <c r="T28" i="12"/>
  <c r="N25" i="12"/>
  <c r="N23" i="12"/>
  <c r="N28" i="12"/>
  <c r="T33" i="12"/>
  <c r="T30" i="12"/>
  <c r="T29" i="12"/>
  <c r="S16" i="14"/>
  <c r="R16" i="14"/>
  <c r="S30" i="14"/>
  <c r="R30" i="14"/>
  <c r="S36" i="14"/>
  <c r="R36" i="14"/>
  <c r="S35" i="14"/>
  <c r="R35" i="14"/>
  <c r="S21" i="14"/>
  <c r="R21" i="14"/>
  <c r="S37" i="14"/>
  <c r="B77" i="14" s="1"/>
  <c r="J38" i="9" s="1"/>
  <c r="R37" i="14"/>
  <c r="D77" i="14" s="1"/>
  <c r="S20" i="14"/>
  <c r="R20" i="14"/>
  <c r="S18" i="14"/>
  <c r="R18" i="14"/>
  <c r="S28" i="14"/>
  <c r="R28" i="14"/>
  <c r="S33" i="14"/>
  <c r="R33" i="14"/>
  <c r="S26" i="14"/>
  <c r="B68" i="14" s="1"/>
  <c r="R26" i="14"/>
  <c r="D68" i="14" s="1"/>
  <c r="S34" i="14"/>
  <c r="R34" i="14"/>
  <c r="S31" i="14"/>
  <c r="B76" i="14" s="1"/>
  <c r="J37" i="9" s="1"/>
  <c r="R31" i="14"/>
  <c r="D76" i="14" s="1"/>
  <c r="S32" i="14"/>
  <c r="B75" i="14" s="1"/>
  <c r="J35" i="9" s="1"/>
  <c r="R32" i="14"/>
  <c r="D75" i="14" s="1"/>
  <c r="S27" i="14"/>
  <c r="R27" i="14"/>
  <c r="S22" i="14"/>
  <c r="B71" i="14" s="1"/>
  <c r="J17" i="9" s="1"/>
  <c r="R22" i="14"/>
  <c r="D71" i="14" s="1"/>
  <c r="S19" i="14"/>
  <c r="R19" i="14"/>
  <c r="S17" i="14"/>
  <c r="R17" i="14"/>
  <c r="S29" i="14"/>
  <c r="B79" i="14" s="1"/>
  <c r="J40" i="9" s="1"/>
  <c r="R29" i="14"/>
  <c r="D79" i="14" s="1"/>
  <c r="L30" i="14"/>
  <c r="B60" i="14" s="1"/>
  <c r="J29" i="9" s="1"/>
  <c r="K30" i="14"/>
  <c r="D60" i="14" s="1"/>
  <c r="L34" i="14"/>
  <c r="B66" i="14" s="1"/>
  <c r="J32" i="9" s="1"/>
  <c r="K34" i="14"/>
  <c r="D66" i="14" s="1"/>
  <c r="L31" i="14"/>
  <c r="K31" i="14"/>
  <c r="L32" i="14"/>
  <c r="B53" i="14" s="1"/>
  <c r="K32" i="14"/>
  <c r="L27" i="14"/>
  <c r="B64" i="14" s="1"/>
  <c r="J22" i="9" s="1"/>
  <c r="K27" i="14"/>
  <c r="D64" i="14" s="1"/>
  <c r="L22" i="14"/>
  <c r="K22" i="14"/>
  <c r="L19" i="14"/>
  <c r="B55" i="14" s="1"/>
  <c r="J13" i="9" s="1"/>
  <c r="K19" i="14"/>
  <c r="D55" i="14" s="1"/>
  <c r="L17" i="14"/>
  <c r="K17" i="14"/>
  <c r="L28" i="14"/>
  <c r="K28" i="14"/>
  <c r="L33" i="14"/>
  <c r="B62" i="14" s="1"/>
  <c r="J31" i="9" s="1"/>
  <c r="K33" i="14"/>
  <c r="D62" i="14" s="1"/>
  <c r="L26" i="14"/>
  <c r="K26" i="14"/>
  <c r="L36" i="14"/>
  <c r="B61" i="14" s="1"/>
  <c r="J30" i="9" s="1"/>
  <c r="K36" i="14"/>
  <c r="D61" i="14" s="1"/>
  <c r="L35" i="14"/>
  <c r="B59" i="14" s="1"/>
  <c r="J28" i="9" s="1"/>
  <c r="K35" i="14"/>
  <c r="D59" i="14" s="1"/>
  <c r="L21" i="14"/>
  <c r="K21" i="14"/>
  <c r="L37" i="14"/>
  <c r="K37" i="14"/>
  <c r="L20" i="14"/>
  <c r="B56" i="14" s="1"/>
  <c r="J14" i="9" s="1"/>
  <c r="K20" i="14"/>
  <c r="D56" i="14" s="1"/>
  <c r="L18" i="14"/>
  <c r="B63" i="14" s="1"/>
  <c r="J19" i="9" s="1"/>
  <c r="K18" i="14"/>
  <c r="D63" i="14" s="1"/>
  <c r="L29" i="14"/>
  <c r="K29" i="14"/>
  <c r="L16" i="14"/>
  <c r="K16" i="14"/>
  <c r="D57" i="14" s="1"/>
  <c r="C8" i="15"/>
  <c r="C13" i="15"/>
  <c r="AA19" i="12"/>
  <c r="Z19" i="12"/>
  <c r="Y19" i="12"/>
  <c r="AB19" i="12"/>
  <c r="D76" i="12" s="1"/>
  <c r="AB17" i="12"/>
  <c r="V17" i="12"/>
  <c r="X17" i="12" s="1"/>
  <c r="M17" i="12"/>
  <c r="C66" i="12" s="1"/>
  <c r="M19" i="12"/>
  <c r="S17" i="12"/>
  <c r="S20" i="12"/>
  <c r="C72" i="12" s="1"/>
  <c r="AA20" i="12"/>
  <c r="Y20" i="12"/>
  <c r="M20" i="12"/>
  <c r="Z20" i="12"/>
  <c r="Y17" i="12"/>
  <c r="P50" i="11"/>
  <c r="P52" i="11"/>
  <c r="P46" i="11"/>
  <c r="P44" i="11"/>
  <c r="P45" i="11"/>
  <c r="P49" i="11"/>
  <c r="P47" i="11"/>
  <c r="P43" i="11"/>
  <c r="P51" i="11"/>
  <c r="P48" i="11"/>
  <c r="R10" i="11"/>
  <c r="N43" i="11"/>
  <c r="G18" i="11"/>
  <c r="M43" i="11" s="1"/>
  <c r="R12" i="11"/>
  <c r="N45" i="11"/>
  <c r="R16" i="11"/>
  <c r="N49" i="11"/>
  <c r="R18" i="11"/>
  <c r="N51" i="11"/>
  <c r="R14" i="11"/>
  <c r="N47" i="11"/>
  <c r="R11" i="11"/>
  <c r="N44" i="11"/>
  <c r="R15" i="11"/>
  <c r="N48" i="11"/>
  <c r="R17" i="11"/>
  <c r="N50" i="11"/>
  <c r="S31" i="12"/>
  <c r="C77" i="12" s="1"/>
  <c r="M31" i="12"/>
  <c r="N31" i="12" s="1"/>
  <c r="C10" i="12"/>
  <c r="AB31" i="12"/>
  <c r="D77" i="12" s="1"/>
  <c r="Z31" i="12"/>
  <c r="Y31" i="12"/>
  <c r="AA31" i="12"/>
  <c r="D5" i="12"/>
  <c r="C7" i="12" s="1"/>
  <c r="C8" i="12"/>
  <c r="R13" i="11"/>
  <c r="W12" i="11"/>
  <c r="M21" i="11"/>
  <c r="W16" i="11"/>
  <c r="W14" i="11"/>
  <c r="W17" i="11"/>
  <c r="W11" i="11"/>
  <c r="W18" i="11"/>
  <c r="W15" i="11"/>
  <c r="C8" i="7"/>
  <c r="C7" i="7"/>
  <c r="C14" i="7"/>
  <c r="C68" i="8" l="1"/>
  <c r="B92" i="8"/>
  <c r="D9" i="9" s="1"/>
  <c r="B70" i="14"/>
  <c r="J20" i="9" s="1"/>
  <c r="C95" i="8"/>
  <c r="K24" i="14"/>
  <c r="D70" i="14"/>
  <c r="D54" i="14"/>
  <c r="D74" i="14"/>
  <c r="C91" i="14"/>
  <c r="B54" i="14"/>
  <c r="B74" i="14"/>
  <c r="J25" i="9" s="1"/>
  <c r="B94" i="8"/>
  <c r="D10" i="9" s="1"/>
  <c r="B91" i="14"/>
  <c r="J8" i="9" s="1"/>
  <c r="C93" i="14"/>
  <c r="D69" i="14"/>
  <c r="C90" i="14"/>
  <c r="C92" i="14"/>
  <c r="B93" i="14"/>
  <c r="J7" i="9" s="1"/>
  <c r="B57" i="14"/>
  <c r="J15" i="9" s="1"/>
  <c r="B69" i="14"/>
  <c r="J16" i="9" s="1"/>
  <c r="B86" i="14"/>
  <c r="J39" i="9" s="1"/>
  <c r="D53" i="14"/>
  <c r="B93" i="8"/>
  <c r="D8" i="9" s="1"/>
  <c r="B90" i="14"/>
  <c r="J9" i="9" s="1"/>
  <c r="B92" i="14"/>
  <c r="J10" i="9" s="1"/>
  <c r="C93" i="8"/>
  <c r="B95" i="8"/>
  <c r="D7" i="9" s="1"/>
  <c r="C92" i="8"/>
  <c r="C94" i="8"/>
  <c r="B54" i="8"/>
  <c r="D12" i="9" s="1"/>
  <c r="D64" i="8"/>
  <c r="B84" i="8"/>
  <c r="D39" i="9" s="1"/>
  <c r="B85" i="8"/>
  <c r="D36" i="9" s="1"/>
  <c r="B87" i="14"/>
  <c r="J36" i="9" s="1"/>
  <c r="B85" i="14"/>
  <c r="J41" i="9" s="1"/>
  <c r="C4" i="8"/>
  <c r="D68" i="8"/>
  <c r="B68" i="8"/>
  <c r="D16" i="9" s="1"/>
  <c r="D54" i="8"/>
  <c r="W35" i="12"/>
  <c r="AL35" i="12"/>
  <c r="AP35" i="12" s="1"/>
  <c r="AI35" i="12"/>
  <c r="AM35" i="12" s="1"/>
  <c r="AK35" i="12"/>
  <c r="AO35" i="12" s="1"/>
  <c r="AJ35" i="12"/>
  <c r="AN35" i="12" s="1"/>
  <c r="D73" i="8"/>
  <c r="B85" i="12"/>
  <c r="B84" i="12"/>
  <c r="N52" i="11"/>
  <c r="X31" i="12"/>
  <c r="G17" i="11"/>
  <c r="X20" i="12"/>
  <c r="G16" i="11"/>
  <c r="X19" i="12"/>
  <c r="B79" i="12"/>
  <c r="B81" i="12"/>
  <c r="B64" i="12"/>
  <c r="B78" i="12"/>
  <c r="B62" i="12"/>
  <c r="B67" i="12"/>
  <c r="B65" i="12"/>
  <c r="N20" i="12"/>
  <c r="B63" i="12"/>
  <c r="T19" i="12"/>
  <c r="C76" i="12"/>
  <c r="AX34" i="12"/>
  <c r="AW34" i="12"/>
  <c r="T20" i="12"/>
  <c r="N17" i="12"/>
  <c r="N35" i="12"/>
  <c r="B57" i="12" s="1"/>
  <c r="T35" i="12"/>
  <c r="S35" i="12"/>
  <c r="M35" i="12"/>
  <c r="C57" i="12" s="1"/>
  <c r="N19" i="12"/>
  <c r="T31" i="12"/>
  <c r="B77" i="12" s="1"/>
  <c r="T17" i="12"/>
  <c r="H38" i="12"/>
  <c r="H36" i="12"/>
  <c r="G15" i="11"/>
  <c r="C6" i="15"/>
  <c r="C5" i="15"/>
  <c r="C4" i="14"/>
  <c r="B6" i="14" s="1"/>
  <c r="C12" i="11"/>
  <c r="M48" i="11"/>
  <c r="M45" i="11"/>
  <c r="M49" i="11"/>
  <c r="M50" i="11"/>
  <c r="M51" i="11"/>
  <c r="M44" i="11"/>
  <c r="M52" i="11"/>
  <c r="M46" i="11"/>
  <c r="M47" i="11"/>
  <c r="Y35" i="12"/>
  <c r="Z35" i="12"/>
  <c r="AA35" i="12"/>
  <c r="D57" i="12" s="1"/>
  <c r="AB35" i="12"/>
  <c r="R19" i="11"/>
  <c r="W13" i="11"/>
  <c r="C5" i="7"/>
  <c r="C10" i="39" l="1"/>
  <c r="C9" i="39" s="1"/>
  <c r="J12" i="9"/>
  <c r="B108" i="14"/>
  <c r="J5" i="9" s="1"/>
  <c r="C10" i="34"/>
  <c r="C9" i="34" s="1"/>
  <c r="C10" i="23"/>
  <c r="C9" i="23" s="1"/>
  <c r="B112" i="8"/>
  <c r="D4" i="9" s="1"/>
  <c r="B87" i="12"/>
  <c r="B88" i="12"/>
  <c r="B89" i="12"/>
  <c r="B107" i="14"/>
  <c r="J4" i="9" s="1"/>
  <c r="B113" i="8"/>
  <c r="D5" i="9" s="1"/>
  <c r="W36" i="12"/>
  <c r="AJ36" i="12"/>
  <c r="AN36" i="12" s="1"/>
  <c r="AL36" i="12"/>
  <c r="AP36" i="12" s="1"/>
  <c r="AK36" i="12"/>
  <c r="AO36" i="12" s="1"/>
  <c r="AI36" i="12"/>
  <c r="AM36" i="12" s="1"/>
  <c r="W38" i="12"/>
  <c r="AJ38" i="12"/>
  <c r="AN38" i="12" s="1"/>
  <c r="AK38" i="12"/>
  <c r="AO38" i="12" s="1"/>
  <c r="AL38" i="12"/>
  <c r="AP38" i="12" s="1"/>
  <c r="AI38" i="12"/>
  <c r="AM38" i="12" s="1"/>
  <c r="C10" i="15"/>
  <c r="C9" i="15" s="1"/>
  <c r="G11" i="11"/>
  <c r="X35" i="12"/>
  <c r="G22" i="11"/>
  <c r="B66" i="12"/>
  <c r="B76" i="12"/>
  <c r="B72" i="12"/>
  <c r="AB36" i="12"/>
  <c r="Z38" i="12"/>
  <c r="AX37" i="12"/>
  <c r="AW37" i="12"/>
  <c r="Z36" i="12"/>
  <c r="AX35" i="12"/>
  <c r="AW35" i="12"/>
  <c r="AA38" i="12"/>
  <c r="D58" i="12" s="1"/>
  <c r="T38" i="12"/>
  <c r="S38" i="12"/>
  <c r="M38" i="12"/>
  <c r="C58" i="12" s="1"/>
  <c r="N38" i="12"/>
  <c r="B58" i="12" s="1"/>
  <c r="Y38" i="12"/>
  <c r="AB38" i="12"/>
  <c r="S36" i="12"/>
  <c r="M36" i="12"/>
  <c r="C60" i="12" s="1"/>
  <c r="N36" i="12"/>
  <c r="T36" i="12"/>
  <c r="AA36" i="12"/>
  <c r="D60" i="12" s="1"/>
  <c r="Y36" i="12"/>
  <c r="C4" i="15"/>
  <c r="C13" i="11"/>
  <c r="W19" i="11"/>
  <c r="C6" i="7"/>
  <c r="C4" i="7"/>
  <c r="C10" i="7"/>
  <c r="B113" i="12" l="1"/>
  <c r="G12" i="11"/>
  <c r="X36" i="12"/>
  <c r="G14" i="11"/>
  <c r="X38" i="12"/>
  <c r="B60" i="12"/>
  <c r="C11" i="11"/>
  <c r="C17" i="11"/>
  <c r="C16" i="11"/>
  <c r="C9" i="7"/>
  <c r="C8" i="11"/>
  <c r="C10" i="11"/>
  <c r="C9" i="11"/>
  <c r="C15" i="11" l="1"/>
  <c r="C18" i="11"/>
  <c r="G23" i="11" l="1"/>
  <c r="H32" i="12" s="1"/>
  <c r="B90" i="12" s="1"/>
  <c r="E43" i="12" l="1"/>
  <c r="E49" i="12"/>
  <c r="E44" i="12"/>
  <c r="E45" i="12"/>
  <c r="E42" i="12"/>
  <c r="E46" i="12"/>
  <c r="E41" i="12"/>
  <c r="E47" i="12"/>
  <c r="E48" i="12"/>
  <c r="E40" i="12"/>
  <c r="W32" i="12" l="1"/>
  <c r="X32" i="12" s="1"/>
  <c r="AA32" i="12"/>
  <c r="S32" i="12"/>
  <c r="C71" i="12" s="1"/>
  <c r="Y32" i="12"/>
  <c r="M32" i="12"/>
  <c r="N32" i="12" s="1"/>
  <c r="H46" i="12"/>
  <c r="B103" i="12"/>
  <c r="H42" i="12"/>
  <c r="B99" i="12"/>
  <c r="H47" i="12"/>
  <c r="B104" i="12"/>
  <c r="H45" i="12"/>
  <c r="B102" i="12"/>
  <c r="H41" i="12"/>
  <c r="B98" i="12"/>
  <c r="H44" i="12"/>
  <c r="B101" i="12"/>
  <c r="H40" i="12"/>
  <c r="B97" i="12"/>
  <c r="H49" i="12"/>
  <c r="B106" i="12"/>
  <c r="H48" i="12"/>
  <c r="B105" i="12"/>
  <c r="H43" i="12"/>
  <c r="B100" i="12"/>
  <c r="T32" i="12" l="1"/>
  <c r="B71" i="12" s="1"/>
  <c r="AB32" i="12"/>
  <c r="D71" i="12" s="1"/>
  <c r="Z32" i="12"/>
  <c r="AL32" i="12"/>
  <c r="AP32" i="12" s="1"/>
  <c r="AI32" i="12"/>
  <c r="AM32" i="12" s="1"/>
  <c r="AK32" i="12"/>
  <c r="AO32" i="12" s="1"/>
  <c r="AJ32" i="12"/>
  <c r="AN32" i="12" s="1"/>
  <c r="B111" i="12"/>
  <c r="B110" i="12"/>
  <c r="B108" i="12"/>
  <c r="B107" i="12"/>
  <c r="B109" i="12"/>
  <c r="AK45" i="12"/>
  <c r="AO45" i="12" s="1"/>
  <c r="AL45" i="12"/>
  <c r="AP45" i="12" s="1"/>
  <c r="AI45" i="12"/>
  <c r="AM45" i="12" s="1"/>
  <c r="AJ45" i="12"/>
  <c r="AN45" i="12" s="1"/>
  <c r="AJ48" i="12"/>
  <c r="AN48" i="12" s="1"/>
  <c r="AI48" i="12"/>
  <c r="AM48" i="12" s="1"/>
  <c r="AK48" i="12"/>
  <c r="AO48" i="12" s="1"/>
  <c r="AL48" i="12"/>
  <c r="AP48" i="12" s="1"/>
  <c r="AL47" i="12"/>
  <c r="AP47" i="12" s="1"/>
  <c r="AK47" i="12"/>
  <c r="AO47" i="12" s="1"/>
  <c r="AI47" i="12"/>
  <c r="AM47" i="12" s="1"/>
  <c r="AJ47" i="12"/>
  <c r="AN47" i="12" s="1"/>
  <c r="AJ40" i="12"/>
  <c r="AN40" i="12" s="1"/>
  <c r="AL40" i="12"/>
  <c r="AP40" i="12" s="1"/>
  <c r="AK40" i="12"/>
  <c r="AO40" i="12" s="1"/>
  <c r="AI40" i="12"/>
  <c r="AM40" i="12" s="1"/>
  <c r="AK43" i="12"/>
  <c r="AO43" i="12" s="1"/>
  <c r="AL43" i="12"/>
  <c r="AP43" i="12" s="1"/>
  <c r="AJ43" i="12"/>
  <c r="AN43" i="12" s="1"/>
  <c r="AI43" i="12"/>
  <c r="AM43" i="12" s="1"/>
  <c r="AJ42" i="12"/>
  <c r="AN42" i="12" s="1"/>
  <c r="AK42" i="12"/>
  <c r="AO42" i="12" s="1"/>
  <c r="AL42" i="12"/>
  <c r="AP42" i="12" s="1"/>
  <c r="AI42" i="12"/>
  <c r="AM42" i="12" s="1"/>
  <c r="AJ44" i="12"/>
  <c r="AN44" i="12" s="1"/>
  <c r="AK44" i="12"/>
  <c r="AO44" i="12" s="1"/>
  <c r="AL44" i="12"/>
  <c r="AP44" i="12" s="1"/>
  <c r="AI44" i="12"/>
  <c r="AM44" i="12" s="1"/>
  <c r="AI41" i="12"/>
  <c r="AM41" i="12" s="1"/>
  <c r="AK41" i="12"/>
  <c r="AO41" i="12" s="1"/>
  <c r="AL41" i="12"/>
  <c r="AP41" i="12" s="1"/>
  <c r="AJ41" i="12"/>
  <c r="AN41" i="12" s="1"/>
  <c r="AJ46" i="12"/>
  <c r="AN46" i="12" s="1"/>
  <c r="AL46" i="12"/>
  <c r="AP46" i="12" s="1"/>
  <c r="AI46" i="12"/>
  <c r="AM46" i="12" s="1"/>
  <c r="AK46" i="12"/>
  <c r="AO46" i="12" s="1"/>
  <c r="B112" i="12" l="1"/>
  <c r="B92" i="12"/>
  <c r="B94" i="12"/>
  <c r="B93" i="12"/>
  <c r="B95" i="12"/>
  <c r="B100" i="24" l="1"/>
  <c r="B110" i="24" s="1"/>
  <c r="K52" i="9" s="1"/>
  <c r="Y39" i="24"/>
  <c r="AC39" i="24" s="1"/>
  <c r="AA45" i="24"/>
  <c r="AE45" i="24" s="1"/>
  <c r="P39" i="24"/>
  <c r="S39" i="24" s="1"/>
  <c r="C23" i="24"/>
  <c r="E23" i="24"/>
  <c r="I23" i="24" s="1"/>
  <c r="C30" i="24"/>
  <c r="E30" i="24"/>
  <c r="I30" i="24"/>
  <c r="Z16" i="24"/>
  <c r="AD16" i="24" s="1"/>
  <c r="C46" i="24"/>
  <c r="B101" i="24" s="1"/>
  <c r="K46" i="9" s="1"/>
  <c r="E46" i="24"/>
  <c r="X46" i="24" s="1"/>
  <c r="AB46" i="24" s="1"/>
  <c r="C18" i="24"/>
  <c r="E18" i="24" s="1"/>
  <c r="C49" i="24"/>
  <c r="B104" i="24" s="1"/>
  <c r="K48" i="9" s="1"/>
  <c r="C39" i="24"/>
  <c r="E39" i="24"/>
  <c r="X39" i="24" s="1"/>
  <c r="AB39" i="24" s="1"/>
  <c r="Z39" i="24"/>
  <c r="AD39" i="24" s="1"/>
  <c r="C43" i="24"/>
  <c r="B98" i="24" s="1"/>
  <c r="K45" i="9" s="1"/>
  <c r="E43" i="24"/>
  <c r="Y43" i="24" s="1"/>
  <c r="AC43" i="24" s="1"/>
  <c r="C25" i="24"/>
  <c r="E25" i="24" s="1"/>
  <c r="C44" i="24"/>
  <c r="B99" i="24" s="1"/>
  <c r="B109" i="24" s="1"/>
  <c r="K51" i="9" s="1"/>
  <c r="E44" i="24"/>
  <c r="C36" i="24"/>
  <c r="E36" i="24"/>
  <c r="I36" i="24" s="1"/>
  <c r="C48" i="24"/>
  <c r="B103" i="24" s="1"/>
  <c r="E48" i="24"/>
  <c r="C45" i="24"/>
  <c r="E45" i="24"/>
  <c r="Y45" i="24" s="1"/>
  <c r="AC45" i="24" s="1"/>
  <c r="X45" i="24"/>
  <c r="AB45" i="24" s="1"/>
  <c r="D24" i="23"/>
  <c r="D25" i="23" s="1"/>
  <c r="C35" i="24"/>
  <c r="E35" i="24"/>
  <c r="X35" i="24" s="1"/>
  <c r="AB35" i="24" s="1"/>
  <c r="AA34" i="24"/>
  <c r="AE34" i="24" s="1"/>
  <c r="C37" i="24"/>
  <c r="E37" i="24" s="1"/>
  <c r="I37" i="24" s="1"/>
  <c r="C20" i="24"/>
  <c r="E20" i="24" s="1"/>
  <c r="AA20" i="24" s="1"/>
  <c r="AE20" i="24" s="1"/>
  <c r="C33" i="24"/>
  <c r="E33" i="24" s="1"/>
  <c r="I33" i="24" s="1"/>
  <c r="C40" i="24"/>
  <c r="E40" i="24" s="1"/>
  <c r="Y40" i="24"/>
  <c r="AC40" i="24" s="1"/>
  <c r="C21" i="24"/>
  <c r="E21" i="24" s="1"/>
  <c r="P21" i="24" s="1"/>
  <c r="C24" i="24"/>
  <c r="E24" i="24"/>
  <c r="I24" i="24" s="1"/>
  <c r="C31" i="24"/>
  <c r="E31" i="24" s="1"/>
  <c r="Y31" i="24" s="1"/>
  <c r="AC31" i="24" s="1"/>
  <c r="C16" i="24"/>
  <c r="E16" i="24"/>
  <c r="P16" i="24" s="1"/>
  <c r="C38" i="24"/>
  <c r="E38" i="24" s="1"/>
  <c r="C42" i="24"/>
  <c r="B97" i="24" s="1"/>
  <c r="K44" i="9" s="1"/>
  <c r="E42" i="24"/>
  <c r="AA42" i="24" s="1"/>
  <c r="AE42" i="24" s="1"/>
  <c r="C50" i="24"/>
  <c r="E50" i="24" s="1"/>
  <c r="C28" i="24"/>
  <c r="E28" i="24" s="1"/>
  <c r="C17" i="24"/>
  <c r="E17" i="24" s="1"/>
  <c r="C47" i="24"/>
  <c r="E47" i="24" s="1"/>
  <c r="C51" i="24"/>
  <c r="E51" i="24" s="1"/>
  <c r="C22" i="24"/>
  <c r="E22" i="24" s="1"/>
  <c r="C19" i="24"/>
  <c r="E19" i="24" s="1"/>
  <c r="C32" i="24"/>
  <c r="E32" i="24" s="1"/>
  <c r="X32" i="24" s="1"/>
  <c r="AB32" i="24" s="1"/>
  <c r="C34" i="24"/>
  <c r="E34" i="24"/>
  <c r="Z34" i="24" s="1"/>
  <c r="AD34" i="24" s="1"/>
  <c r="C15" i="24"/>
  <c r="E15" i="24"/>
  <c r="C26" i="24"/>
  <c r="E26" i="24" s="1"/>
  <c r="AA26" i="24" s="1"/>
  <c r="AE26" i="24" s="1"/>
  <c r="C29" i="24"/>
  <c r="E29" i="24" s="1"/>
  <c r="D23" i="23"/>
  <c r="G22" i="23"/>
  <c r="G20" i="23"/>
  <c r="C63" i="24" l="1"/>
  <c r="E63" i="24" s="1"/>
  <c r="K33" i="24"/>
  <c r="D63" i="24" s="1"/>
  <c r="L33" i="24"/>
  <c r="B63" i="24" s="1"/>
  <c r="K29" i="9" s="1"/>
  <c r="C69" i="24"/>
  <c r="E69" i="24" s="1"/>
  <c r="L37" i="24"/>
  <c r="B69" i="24" s="1"/>
  <c r="K37" i="24"/>
  <c r="D69" i="24" s="1"/>
  <c r="R21" i="24"/>
  <c r="S21" i="24"/>
  <c r="AA25" i="24"/>
  <c r="AE25" i="24" s="1"/>
  <c r="Y25" i="24"/>
  <c r="AC25" i="24" s="1"/>
  <c r="Z25" i="24"/>
  <c r="AD25" i="24" s="1"/>
  <c r="P25" i="24"/>
  <c r="X25" i="24"/>
  <c r="AB25" i="24" s="1"/>
  <c r="I25" i="24"/>
  <c r="Y51" i="24"/>
  <c r="AC51" i="24" s="1"/>
  <c r="X51" i="24"/>
  <c r="AB51" i="24" s="1"/>
  <c r="AA51" i="24"/>
  <c r="AE51" i="24" s="1"/>
  <c r="Z51" i="24"/>
  <c r="AD51" i="24" s="1"/>
  <c r="Y48" i="24"/>
  <c r="AC48" i="24" s="1"/>
  <c r="Z48" i="24"/>
  <c r="AD48" i="24" s="1"/>
  <c r="AA48" i="24"/>
  <c r="AE48" i="24" s="1"/>
  <c r="X48" i="24"/>
  <c r="AB48" i="24" s="1"/>
  <c r="I32" i="24"/>
  <c r="Z17" i="24"/>
  <c r="AD17" i="24" s="1"/>
  <c r="Y17" i="24"/>
  <c r="AC17" i="24" s="1"/>
  <c r="X17" i="24"/>
  <c r="AB17" i="24" s="1"/>
  <c r="I17" i="24"/>
  <c r="P17" i="24"/>
  <c r="C76" i="24" s="1"/>
  <c r="E76" i="24" s="1"/>
  <c r="AA17" i="24"/>
  <c r="AE17" i="24" s="1"/>
  <c r="S16" i="24"/>
  <c r="R16" i="24"/>
  <c r="Z40" i="24"/>
  <c r="AD40" i="24" s="1"/>
  <c r="AA40" i="24"/>
  <c r="AE40" i="24" s="1"/>
  <c r="X40" i="24"/>
  <c r="AB40" i="24" s="1"/>
  <c r="P40" i="24"/>
  <c r="I40" i="24"/>
  <c r="P18" i="24"/>
  <c r="AA18" i="24"/>
  <c r="AE18" i="24" s="1"/>
  <c r="I18" i="24"/>
  <c r="Y18" i="24"/>
  <c r="AC18" i="24" s="1"/>
  <c r="Z18" i="24"/>
  <c r="AD18" i="24" s="1"/>
  <c r="X18" i="24"/>
  <c r="AB18" i="24" s="1"/>
  <c r="K30" i="24"/>
  <c r="L30" i="24"/>
  <c r="X47" i="24"/>
  <c r="AB47" i="24" s="1"/>
  <c r="AA47" i="24"/>
  <c r="AE47" i="24" s="1"/>
  <c r="Z47" i="24"/>
  <c r="AD47" i="24" s="1"/>
  <c r="Y47" i="24"/>
  <c r="AC47" i="24" s="1"/>
  <c r="Y38" i="24"/>
  <c r="AC38" i="24" s="1"/>
  <c r="Z38" i="24"/>
  <c r="AD38" i="24" s="1"/>
  <c r="I38" i="24"/>
  <c r="P38" i="24"/>
  <c r="AA38" i="24"/>
  <c r="AE38" i="24" s="1"/>
  <c r="X38" i="24"/>
  <c r="AB38" i="24" s="1"/>
  <c r="Y32" i="24"/>
  <c r="AC32" i="24" s="1"/>
  <c r="AA32" i="24"/>
  <c r="AE32" i="24" s="1"/>
  <c r="Z32" i="24"/>
  <c r="AD32" i="24" s="1"/>
  <c r="P32" i="24"/>
  <c r="Y33" i="24"/>
  <c r="AC33" i="24" s="1"/>
  <c r="X33" i="24"/>
  <c r="AB33" i="24" s="1"/>
  <c r="AA33" i="24"/>
  <c r="AE33" i="24" s="1"/>
  <c r="Z33" i="24"/>
  <c r="AD33" i="24" s="1"/>
  <c r="P33" i="24"/>
  <c r="K36" i="24"/>
  <c r="D65" i="24" s="1"/>
  <c r="L36" i="24"/>
  <c r="B65" i="24" s="1"/>
  <c r="K31" i="9" s="1"/>
  <c r="C65" i="24"/>
  <c r="E65" i="24" s="1"/>
  <c r="AA29" i="24"/>
  <c r="AE29" i="24" s="1"/>
  <c r="P29" i="24"/>
  <c r="X29" i="24"/>
  <c r="AB29" i="24" s="1"/>
  <c r="Y29" i="24"/>
  <c r="AC29" i="24" s="1"/>
  <c r="I29" i="24"/>
  <c r="Z29" i="24"/>
  <c r="AD29" i="24" s="1"/>
  <c r="Y19" i="24"/>
  <c r="AC19" i="24" s="1"/>
  <c r="Z19" i="24"/>
  <c r="AD19" i="24" s="1"/>
  <c r="P19" i="24"/>
  <c r="AA19" i="24"/>
  <c r="AE19" i="24" s="1"/>
  <c r="X19" i="24"/>
  <c r="AB19" i="24" s="1"/>
  <c r="I19" i="24"/>
  <c r="I28" i="24"/>
  <c r="Y28" i="24"/>
  <c r="AC28" i="24" s="1"/>
  <c r="P28" i="24"/>
  <c r="Z28" i="24"/>
  <c r="AD28" i="24" s="1"/>
  <c r="X28" i="24"/>
  <c r="AB28" i="24" s="1"/>
  <c r="AA28" i="24"/>
  <c r="AE28" i="24" s="1"/>
  <c r="Y21" i="24"/>
  <c r="AC21" i="24" s="1"/>
  <c r="X21" i="24"/>
  <c r="AB21" i="24" s="1"/>
  <c r="AA21" i="24"/>
  <c r="AE21" i="24" s="1"/>
  <c r="Z21" i="24"/>
  <c r="AD21" i="24" s="1"/>
  <c r="I21" i="24"/>
  <c r="X50" i="24"/>
  <c r="AB50" i="24" s="1"/>
  <c r="Y50" i="24"/>
  <c r="AC50" i="24" s="1"/>
  <c r="Z50" i="24"/>
  <c r="AD50" i="24" s="1"/>
  <c r="AA50" i="24"/>
  <c r="AE50" i="24" s="1"/>
  <c r="Z20" i="24"/>
  <c r="AD20" i="24" s="1"/>
  <c r="P20" i="24"/>
  <c r="I20" i="24"/>
  <c r="X20" i="24"/>
  <c r="AB20" i="24" s="1"/>
  <c r="Y20" i="24"/>
  <c r="AC20" i="24" s="1"/>
  <c r="I26" i="24"/>
  <c r="Z26" i="24"/>
  <c r="AD26" i="24" s="1"/>
  <c r="X26" i="24"/>
  <c r="AB26" i="24" s="1"/>
  <c r="Y26" i="24"/>
  <c r="AC26" i="24" s="1"/>
  <c r="P26" i="24"/>
  <c r="I31" i="24"/>
  <c r="Z31" i="24"/>
  <c r="AD31" i="24" s="1"/>
  <c r="X31" i="24"/>
  <c r="AB31" i="24" s="1"/>
  <c r="P31" i="24"/>
  <c r="AA31" i="24"/>
  <c r="AE31" i="24" s="1"/>
  <c r="Y15" i="24"/>
  <c r="P15" i="24"/>
  <c r="AA15" i="24"/>
  <c r="Z15" i="24"/>
  <c r="X15" i="24"/>
  <c r="P22" i="24"/>
  <c r="Y22" i="24"/>
  <c r="AC22" i="24" s="1"/>
  <c r="Z22" i="24"/>
  <c r="AD22" i="24" s="1"/>
  <c r="X22" i="24"/>
  <c r="AB22" i="24" s="1"/>
  <c r="I22" i="24"/>
  <c r="AA22" i="24"/>
  <c r="AE22" i="24" s="1"/>
  <c r="K24" i="24"/>
  <c r="L24" i="24"/>
  <c r="P37" i="24"/>
  <c r="Z37" i="24"/>
  <c r="AD37" i="24" s="1"/>
  <c r="X37" i="24"/>
  <c r="AB37" i="24" s="1"/>
  <c r="Y37" i="24"/>
  <c r="AC37" i="24" s="1"/>
  <c r="AA37" i="24"/>
  <c r="AE37" i="24" s="1"/>
  <c r="X44" i="24"/>
  <c r="AB44" i="24" s="1"/>
  <c r="AA44" i="24"/>
  <c r="AE44" i="24" s="1"/>
  <c r="Y44" i="24"/>
  <c r="AC44" i="24" s="1"/>
  <c r="Z44" i="24"/>
  <c r="AD44" i="24" s="1"/>
  <c r="L23" i="24"/>
  <c r="K23" i="24"/>
  <c r="I16" i="24"/>
  <c r="I35" i="24"/>
  <c r="AA39" i="24"/>
  <c r="AE39" i="24" s="1"/>
  <c r="R39" i="24"/>
  <c r="Z42" i="24"/>
  <c r="AD42" i="24" s="1"/>
  <c r="Z36" i="24"/>
  <c r="AD36" i="24" s="1"/>
  <c r="B102" i="24"/>
  <c r="K47" i="9" s="1"/>
  <c r="Y42" i="24"/>
  <c r="AC42" i="24" s="1"/>
  <c r="P35" i="24"/>
  <c r="Z45" i="24"/>
  <c r="AD45" i="24" s="1"/>
  <c r="Y36" i="24"/>
  <c r="AC36" i="24" s="1"/>
  <c r="Y46" i="24"/>
  <c r="AC46" i="24" s="1"/>
  <c r="P34" i="24"/>
  <c r="AA43" i="24"/>
  <c r="AE43" i="24" s="1"/>
  <c r="B106" i="24"/>
  <c r="AA35" i="24"/>
  <c r="AE35" i="24" s="1"/>
  <c r="X43" i="24"/>
  <c r="AB43" i="24" s="1"/>
  <c r="E49" i="24"/>
  <c r="Z46" i="24"/>
  <c r="AD46" i="24" s="1"/>
  <c r="B90" i="24"/>
  <c r="K55" i="9" s="1"/>
  <c r="AA16" i="24"/>
  <c r="AE16" i="24" s="1"/>
  <c r="X34" i="24"/>
  <c r="AB34" i="24" s="1"/>
  <c r="AA36" i="24"/>
  <c r="AE36" i="24" s="1"/>
  <c r="I34" i="24"/>
  <c r="Y34" i="24"/>
  <c r="AC34" i="24" s="1"/>
  <c r="Z43" i="24"/>
  <c r="AD43" i="24" s="1"/>
  <c r="P36" i="24"/>
  <c r="Y16" i="24"/>
  <c r="AC16" i="24" s="1"/>
  <c r="AA46" i="24"/>
  <c r="AE46" i="24" s="1"/>
  <c r="X36" i="24"/>
  <c r="AB36" i="24" s="1"/>
  <c r="I39" i="24"/>
  <c r="X42" i="24"/>
  <c r="AB42" i="24" s="1"/>
  <c r="Z35" i="24"/>
  <c r="AD35" i="24" s="1"/>
  <c r="X16" i="24"/>
  <c r="AB16" i="24" s="1"/>
  <c r="Y35" i="24"/>
  <c r="AC35" i="24" s="1"/>
  <c r="B105" i="24"/>
  <c r="K49" i="9" s="1"/>
  <c r="R36" i="24" l="1"/>
  <c r="S36" i="24"/>
  <c r="AE15" i="24"/>
  <c r="R26" i="24"/>
  <c r="S26" i="24"/>
  <c r="R20" i="24"/>
  <c r="S20" i="24"/>
  <c r="L28" i="24"/>
  <c r="K28" i="24"/>
  <c r="L29" i="24"/>
  <c r="K29" i="24"/>
  <c r="C67" i="24"/>
  <c r="E67" i="24" s="1"/>
  <c r="R33" i="24"/>
  <c r="S33" i="24"/>
  <c r="L18" i="24"/>
  <c r="B66" i="24" s="1"/>
  <c r="K19" i="9" s="1"/>
  <c r="C66" i="24"/>
  <c r="E66" i="24" s="1"/>
  <c r="K18" i="24"/>
  <c r="D66" i="24" s="1"/>
  <c r="K22" i="24"/>
  <c r="L22" i="24"/>
  <c r="L32" i="24"/>
  <c r="K32" i="24"/>
  <c r="R35" i="24"/>
  <c r="D77" i="24" s="1"/>
  <c r="C77" i="24"/>
  <c r="E77" i="24" s="1"/>
  <c r="S35" i="24"/>
  <c r="B77" i="24" s="1"/>
  <c r="C60" i="24"/>
  <c r="E60" i="24" s="1"/>
  <c r="L16" i="24"/>
  <c r="K16" i="24"/>
  <c r="AC15" i="24"/>
  <c r="R18" i="24"/>
  <c r="C71" i="24"/>
  <c r="E71" i="24" s="1"/>
  <c r="S18" i="24"/>
  <c r="L25" i="24"/>
  <c r="K25" i="24"/>
  <c r="C84" i="24"/>
  <c r="E84" i="24" s="1"/>
  <c r="S15" i="24"/>
  <c r="B84" i="24" s="1"/>
  <c r="K24" i="9" s="1"/>
  <c r="R15" i="24"/>
  <c r="D84" i="24" s="1"/>
  <c r="L34" i="24"/>
  <c r="K34" i="24"/>
  <c r="R29" i="24"/>
  <c r="C72" i="24"/>
  <c r="E72" i="24" s="1"/>
  <c r="S29" i="24"/>
  <c r="S38" i="24"/>
  <c r="R38" i="24"/>
  <c r="K40" i="24"/>
  <c r="L40" i="24"/>
  <c r="C4" i="24"/>
  <c r="B6" i="24" s="1"/>
  <c r="K32" i="9"/>
  <c r="X49" i="24"/>
  <c r="AB49" i="24" s="1"/>
  <c r="Y49" i="24"/>
  <c r="AC49" i="24" s="1"/>
  <c r="AA49" i="24"/>
  <c r="AE49" i="24" s="1"/>
  <c r="Z49" i="24"/>
  <c r="AD49" i="24" s="1"/>
  <c r="K39" i="24"/>
  <c r="D64" i="24" s="1"/>
  <c r="L39" i="24"/>
  <c r="B64" i="24" s="1"/>
  <c r="K30" i="9" s="1"/>
  <c r="C64" i="24"/>
  <c r="E64" i="24" s="1"/>
  <c r="B108" i="24"/>
  <c r="K50" i="9" s="1"/>
  <c r="B107" i="24"/>
  <c r="S31" i="24"/>
  <c r="R31" i="24"/>
  <c r="C56" i="24"/>
  <c r="G56" i="24" s="1"/>
  <c r="L26" i="24"/>
  <c r="K26" i="24"/>
  <c r="R19" i="24"/>
  <c r="S19" i="24"/>
  <c r="K38" i="24"/>
  <c r="D62" i="24" s="1"/>
  <c r="C62" i="24"/>
  <c r="E62" i="24" s="1"/>
  <c r="L38" i="24"/>
  <c r="B62" i="24" s="1"/>
  <c r="K28" i="9" s="1"/>
  <c r="R40" i="24"/>
  <c r="D79" i="24" s="1"/>
  <c r="C79" i="24"/>
  <c r="E79" i="24" s="1"/>
  <c r="S40" i="24"/>
  <c r="B79" i="24" s="1"/>
  <c r="S17" i="24"/>
  <c r="B76" i="24" s="1"/>
  <c r="K25" i="9" s="1"/>
  <c r="R17" i="24"/>
  <c r="D76" i="24" s="1"/>
  <c r="S25" i="24"/>
  <c r="B82" i="24" s="1"/>
  <c r="K21" i="9" s="1"/>
  <c r="C82" i="24"/>
  <c r="E82" i="24" s="1"/>
  <c r="R25" i="24"/>
  <c r="D82" i="24" s="1"/>
  <c r="R37" i="24"/>
  <c r="S37" i="24"/>
  <c r="R22" i="24"/>
  <c r="D73" i="24" s="1"/>
  <c r="S22" i="24"/>
  <c r="B73" i="24" s="1"/>
  <c r="K17" i="9" s="1"/>
  <c r="C73" i="24"/>
  <c r="E73" i="24" s="1"/>
  <c r="C81" i="24"/>
  <c r="E81" i="24" s="1"/>
  <c r="R32" i="24"/>
  <c r="D81" i="24" s="1"/>
  <c r="S32" i="24"/>
  <c r="B81" i="24" s="1"/>
  <c r="K17" i="24"/>
  <c r="L17" i="24"/>
  <c r="L35" i="24"/>
  <c r="K35" i="24"/>
  <c r="K19" i="24"/>
  <c r="D58" i="24" s="1"/>
  <c r="C58" i="24"/>
  <c r="E58" i="24" s="1"/>
  <c r="L19" i="24"/>
  <c r="B58" i="24" s="1"/>
  <c r="K13" i="9" s="1"/>
  <c r="C78" i="24"/>
  <c r="E78" i="24" s="1"/>
  <c r="R34" i="24"/>
  <c r="D78" i="24" s="1"/>
  <c r="S34" i="24"/>
  <c r="B78" i="24" s="1"/>
  <c r="K37" i="9" s="1"/>
  <c r="C95" i="24"/>
  <c r="AB15" i="24"/>
  <c r="B95" i="24" s="1"/>
  <c r="K7" i="9" s="1"/>
  <c r="L21" i="24"/>
  <c r="B57" i="24" s="1"/>
  <c r="C57" i="24"/>
  <c r="E57" i="24" s="1"/>
  <c r="K21" i="24"/>
  <c r="D57" i="24" s="1"/>
  <c r="R28" i="24"/>
  <c r="S28" i="24"/>
  <c r="AD15" i="24"/>
  <c r="B92" i="24" s="1"/>
  <c r="K9" i="9" s="1"/>
  <c r="C92" i="24"/>
  <c r="K31" i="24"/>
  <c r="L31" i="24"/>
  <c r="K20" i="24"/>
  <c r="D59" i="24" s="1"/>
  <c r="L20" i="24"/>
  <c r="B59" i="24" s="1"/>
  <c r="K14" i="9" s="1"/>
  <c r="C59" i="24"/>
  <c r="E59" i="24" s="1"/>
  <c r="B56" i="24" l="1"/>
  <c r="C93" i="24"/>
  <c r="B93" i="24"/>
  <c r="K8" i="9" s="1"/>
  <c r="K40" i="9"/>
  <c r="B87" i="24"/>
  <c r="K41" i="9" s="1"/>
  <c r="D60" i="24"/>
  <c r="B72" i="24"/>
  <c r="K20" i="9" s="1"/>
  <c r="B60" i="24"/>
  <c r="K15" i="9" s="1"/>
  <c r="D67" i="24"/>
  <c r="B94" i="24"/>
  <c r="K10" i="9" s="1"/>
  <c r="K12" i="9"/>
  <c r="D72" i="24"/>
  <c r="B71" i="24"/>
  <c r="K16" i="9" s="1"/>
  <c r="K35" i="9"/>
  <c r="B89" i="24"/>
  <c r="K36" i="9" s="1"/>
  <c r="B67" i="24"/>
  <c r="K22" i="9" s="1"/>
  <c r="C94" i="24"/>
  <c r="B88" i="24"/>
  <c r="K39" i="9" s="1"/>
  <c r="K38" i="9"/>
  <c r="D56" i="24"/>
  <c r="D71" i="24"/>
  <c r="B111" i="24" l="1"/>
  <c r="K4" i="9" s="1"/>
  <c r="B112" i="24"/>
  <c r="K5" i="9" s="1"/>
  <c r="P35" i="38"/>
  <c r="S35" i="38" s="1"/>
  <c r="C28" i="38"/>
  <c r="E28" i="38" s="1"/>
  <c r="Z35" i="38"/>
  <c r="AD35" i="38" s="1"/>
  <c r="E44" i="38"/>
  <c r="X44" i="38" s="1"/>
  <c r="AB44" i="38" s="1"/>
  <c r="Z30" i="38"/>
  <c r="AD30" i="38" s="1"/>
  <c r="C17" i="38"/>
  <c r="E17" i="38" s="1"/>
  <c r="E43" i="38"/>
  <c r="AA43" i="38" s="1"/>
  <c r="AE43" i="38" s="1"/>
  <c r="X43" i="38"/>
  <c r="AB43" i="38" s="1"/>
  <c r="C26" i="38"/>
  <c r="E26" i="38" s="1"/>
  <c r="X27" i="38"/>
  <c r="AB27" i="38" s="1"/>
  <c r="Z31" i="38"/>
  <c r="AD31" i="38" s="1"/>
  <c r="E42" i="38"/>
  <c r="X42" i="38" s="1"/>
  <c r="AB42" i="38" s="1"/>
  <c r="C35" i="38"/>
  <c r="E35" i="38"/>
  <c r="AA35" i="38" s="1"/>
  <c r="AE35" i="38" s="1"/>
  <c r="I35" i="38"/>
  <c r="K35" i="38" s="1"/>
  <c r="D59" i="38" s="1"/>
  <c r="C39" i="38"/>
  <c r="E39" i="38" s="1"/>
  <c r="B95" i="38"/>
  <c r="L44" i="9"/>
  <c r="C43" i="38"/>
  <c r="B99" i="38" s="1"/>
  <c r="L46" i="9" s="1"/>
  <c r="C19" i="38"/>
  <c r="E19" i="38" s="1"/>
  <c r="C32" i="38"/>
  <c r="E32" i="38" s="1"/>
  <c r="C45" i="38"/>
  <c r="E45" i="38" s="1"/>
  <c r="C40" i="38"/>
  <c r="E40" i="38" s="1"/>
  <c r="B96" i="38"/>
  <c r="L45" i="9" s="1"/>
  <c r="C31" i="38"/>
  <c r="E31" i="38"/>
  <c r="Y31" i="38" s="1"/>
  <c r="AC31" i="38" s="1"/>
  <c r="P31" i="38"/>
  <c r="C76" i="38" s="1"/>
  <c r="B106" i="38"/>
  <c r="C42" i="38"/>
  <c r="B98" i="38"/>
  <c r="L52" i="9"/>
  <c r="C44" i="38"/>
  <c r="B100" i="38"/>
  <c r="L47" i="9" s="1"/>
  <c r="C22" i="38"/>
  <c r="E22" i="38" s="1"/>
  <c r="C41" i="38"/>
  <c r="E41" i="38" s="1"/>
  <c r="C23" i="38"/>
  <c r="E23" i="38" s="1"/>
  <c r="C21" i="38"/>
  <c r="E21" i="38" s="1"/>
  <c r="C29" i="38"/>
  <c r="E29" i="38" s="1"/>
  <c r="C34" i="38"/>
  <c r="E34" i="38" s="1"/>
  <c r="C48" i="38"/>
  <c r="E48" i="38" s="1"/>
  <c r="AA18" i="38"/>
  <c r="AE18" i="38" s="1"/>
  <c r="X18" i="38"/>
  <c r="AB18" i="38" s="1"/>
  <c r="C18" i="38"/>
  <c r="E18" i="38"/>
  <c r="I18" i="38" s="1"/>
  <c r="Y18" i="38"/>
  <c r="AC18" i="38" s="1"/>
  <c r="C24" i="38"/>
  <c r="B88" i="38" s="1"/>
  <c r="L55" i="9" s="1"/>
  <c r="E24" i="38"/>
  <c r="Y24" i="38" s="1"/>
  <c r="AC24" i="38" s="1"/>
  <c r="C16" i="38"/>
  <c r="E16" i="38" s="1"/>
  <c r="C33" i="38"/>
  <c r="E33" i="38" s="1"/>
  <c r="C47" i="38"/>
  <c r="E47" i="38" s="1"/>
  <c r="B103" i="38"/>
  <c r="L49" i="9"/>
  <c r="C30" i="38"/>
  <c r="E30" i="38"/>
  <c r="P30" i="38" s="1"/>
  <c r="C15" i="38"/>
  <c r="E15" i="38"/>
  <c r="Z15" i="38" s="1"/>
  <c r="C27" i="38"/>
  <c r="E27" i="38"/>
  <c r="AA27" i="38" s="1"/>
  <c r="AE27" i="38" s="1"/>
  <c r="I27" i="38"/>
  <c r="C64" i="38" s="1"/>
  <c r="L27" i="38"/>
  <c r="B64" i="38" s="1"/>
  <c r="L22" i="9" s="1"/>
  <c r="C20" i="38"/>
  <c r="E20" i="38"/>
  <c r="C37" i="38"/>
  <c r="E37" i="38" s="1"/>
  <c r="C36" i="38"/>
  <c r="E36" i="38"/>
  <c r="AA36" i="38" s="1"/>
  <c r="AE36" i="38" s="1"/>
  <c r="C46" i="38"/>
  <c r="E46" i="38" s="1"/>
  <c r="B102" i="38"/>
  <c r="L48" i="9"/>
  <c r="Z47" i="38" l="1"/>
  <c r="AD47" i="38" s="1"/>
  <c r="Y47" i="38"/>
  <c r="AC47" i="38" s="1"/>
  <c r="X47" i="38"/>
  <c r="AB47" i="38" s="1"/>
  <c r="AA47" i="38"/>
  <c r="AE47" i="38" s="1"/>
  <c r="Y45" i="38"/>
  <c r="AC45" i="38" s="1"/>
  <c r="X45" i="38"/>
  <c r="AB45" i="38" s="1"/>
  <c r="AA45" i="38"/>
  <c r="AE45" i="38" s="1"/>
  <c r="Z45" i="38"/>
  <c r="AD45" i="38" s="1"/>
  <c r="P17" i="38"/>
  <c r="Z17" i="38"/>
  <c r="AD17" i="38" s="1"/>
  <c r="Y17" i="38"/>
  <c r="AC17" i="38" s="1"/>
  <c r="X17" i="38"/>
  <c r="AB17" i="38" s="1"/>
  <c r="AA17" i="38"/>
  <c r="AE17" i="38" s="1"/>
  <c r="I17" i="38"/>
  <c r="Z48" i="38"/>
  <c r="AD48" i="38" s="1"/>
  <c r="Y48" i="38"/>
  <c r="AC48" i="38" s="1"/>
  <c r="X48" i="38"/>
  <c r="AB48" i="38" s="1"/>
  <c r="AA48" i="38"/>
  <c r="AE48" i="38" s="1"/>
  <c r="K18" i="38"/>
  <c r="L18" i="38"/>
  <c r="Y21" i="38"/>
  <c r="AC21" i="38" s="1"/>
  <c r="I21" i="38"/>
  <c r="X21" i="38"/>
  <c r="AB21" i="38" s="1"/>
  <c r="Z21" i="38"/>
  <c r="AD21" i="38" s="1"/>
  <c r="P21" i="38"/>
  <c r="AA21" i="38"/>
  <c r="AE21" i="38" s="1"/>
  <c r="AA32" i="38"/>
  <c r="AE32" i="38" s="1"/>
  <c r="P32" i="38"/>
  <c r="I32" i="38"/>
  <c r="Y32" i="38"/>
  <c r="AC32" i="38" s="1"/>
  <c r="X32" i="38"/>
  <c r="AB32" i="38" s="1"/>
  <c r="Z32" i="38"/>
  <c r="AD32" i="38" s="1"/>
  <c r="AA46" i="38"/>
  <c r="AE46" i="38" s="1"/>
  <c r="X46" i="38"/>
  <c r="AB46" i="38" s="1"/>
  <c r="Z46" i="38"/>
  <c r="AD46" i="38" s="1"/>
  <c r="Y46" i="38"/>
  <c r="AC46" i="38" s="1"/>
  <c r="I37" i="38"/>
  <c r="Y37" i="38"/>
  <c r="AC37" i="38" s="1"/>
  <c r="AA37" i="38"/>
  <c r="AE37" i="38" s="1"/>
  <c r="Z37" i="38"/>
  <c r="AD37" i="38" s="1"/>
  <c r="P37" i="38"/>
  <c r="X37" i="38"/>
  <c r="AB37" i="38" s="1"/>
  <c r="AD15" i="38"/>
  <c r="I20" i="38"/>
  <c r="AA20" i="38"/>
  <c r="AE20" i="38" s="1"/>
  <c r="P20" i="38"/>
  <c r="X20" i="38"/>
  <c r="AB20" i="38" s="1"/>
  <c r="Y20" i="38"/>
  <c r="AC20" i="38" s="1"/>
  <c r="Z20" i="38"/>
  <c r="AD20" i="38" s="1"/>
  <c r="P33" i="38"/>
  <c r="AA33" i="38"/>
  <c r="AE33" i="38" s="1"/>
  <c r="Z33" i="38"/>
  <c r="AD33" i="38" s="1"/>
  <c r="Y33" i="38"/>
  <c r="AC33" i="38" s="1"/>
  <c r="X33" i="38"/>
  <c r="AB33" i="38" s="1"/>
  <c r="I33" i="38"/>
  <c r="AA23" i="38"/>
  <c r="AE23" i="38" s="1"/>
  <c r="Y23" i="38"/>
  <c r="AC23" i="38" s="1"/>
  <c r="P23" i="38"/>
  <c r="I23" i="38"/>
  <c r="Z23" i="38"/>
  <c r="AD23" i="38" s="1"/>
  <c r="X23" i="38"/>
  <c r="AB23" i="38" s="1"/>
  <c r="AA19" i="38"/>
  <c r="AE19" i="38" s="1"/>
  <c r="I19" i="38"/>
  <c r="Z19" i="38"/>
  <c r="AD19" i="38" s="1"/>
  <c r="X19" i="38"/>
  <c r="AB19" i="38" s="1"/>
  <c r="Y19" i="38"/>
  <c r="AC19" i="38" s="1"/>
  <c r="P19" i="38"/>
  <c r="X41" i="38"/>
  <c r="AB41" i="38" s="1"/>
  <c r="Y41" i="38"/>
  <c r="AC41" i="38" s="1"/>
  <c r="AA41" i="38"/>
  <c r="AE41" i="38" s="1"/>
  <c r="Z41" i="38"/>
  <c r="AD41" i="38" s="1"/>
  <c r="R30" i="38"/>
  <c r="S30" i="38"/>
  <c r="X16" i="38"/>
  <c r="AB16" i="38" s="1"/>
  <c r="P16" i="38"/>
  <c r="Z16" i="38"/>
  <c r="AD16" i="38" s="1"/>
  <c r="AA16" i="38"/>
  <c r="AE16" i="38" s="1"/>
  <c r="Y16" i="38"/>
  <c r="AC16" i="38" s="1"/>
  <c r="I16" i="38"/>
  <c r="X22" i="38"/>
  <c r="AB22" i="38" s="1"/>
  <c r="I22" i="38"/>
  <c r="Y22" i="38"/>
  <c r="AC22" i="38" s="1"/>
  <c r="Z22" i="38"/>
  <c r="AD22" i="38" s="1"/>
  <c r="AA22" i="38"/>
  <c r="AE22" i="38" s="1"/>
  <c r="P22" i="38"/>
  <c r="I28" i="38"/>
  <c r="P28" i="38"/>
  <c r="Z26" i="38"/>
  <c r="AD26" i="38" s="1"/>
  <c r="P26" i="38"/>
  <c r="X26" i="38"/>
  <c r="AB26" i="38" s="1"/>
  <c r="I26" i="38"/>
  <c r="AA26" i="38"/>
  <c r="AE26" i="38" s="1"/>
  <c r="Y26" i="38"/>
  <c r="AC26" i="38" s="1"/>
  <c r="Z34" i="38"/>
  <c r="AD34" i="38" s="1"/>
  <c r="I34" i="38"/>
  <c r="P34" i="38"/>
  <c r="X34" i="38"/>
  <c r="AB34" i="38" s="1"/>
  <c r="AA34" i="38"/>
  <c r="AE34" i="38" s="1"/>
  <c r="Y34" i="38"/>
  <c r="AC34" i="38" s="1"/>
  <c r="Z39" i="38"/>
  <c r="AD39" i="38" s="1"/>
  <c r="Y39" i="38"/>
  <c r="AC39" i="38" s="1"/>
  <c r="AA39" i="38"/>
  <c r="AE39" i="38" s="1"/>
  <c r="X39" i="38"/>
  <c r="AB39" i="38" s="1"/>
  <c r="Z29" i="38"/>
  <c r="AD29" i="38" s="1"/>
  <c r="I29" i="38"/>
  <c r="Y29" i="38"/>
  <c r="AC29" i="38" s="1"/>
  <c r="X29" i="38"/>
  <c r="AB29" i="38" s="1"/>
  <c r="P29" i="38"/>
  <c r="AA29" i="38"/>
  <c r="AE29" i="38" s="1"/>
  <c r="Z40" i="38"/>
  <c r="AD40" i="38" s="1"/>
  <c r="AA40" i="38"/>
  <c r="AE40" i="38" s="1"/>
  <c r="Y40" i="38"/>
  <c r="AC40" i="38" s="1"/>
  <c r="X40" i="38"/>
  <c r="AB40" i="38" s="1"/>
  <c r="I30" i="38"/>
  <c r="I24" i="38"/>
  <c r="AA15" i="38"/>
  <c r="B97" i="38"/>
  <c r="L51" i="9" s="1"/>
  <c r="Z43" i="38"/>
  <c r="AD43" i="38" s="1"/>
  <c r="AA24" i="38"/>
  <c r="AE24" i="38" s="1"/>
  <c r="C59" i="38"/>
  <c r="R35" i="38"/>
  <c r="Z18" i="38"/>
  <c r="AD18" i="38" s="1"/>
  <c r="P15" i="38"/>
  <c r="Y15" i="38"/>
  <c r="P27" i="38"/>
  <c r="AA42" i="38"/>
  <c r="AE42" i="38" s="1"/>
  <c r="AA31" i="38"/>
  <c r="AE31" i="38" s="1"/>
  <c r="Y27" i="38"/>
  <c r="AC27" i="38" s="1"/>
  <c r="X30" i="38"/>
  <c r="AB30" i="38" s="1"/>
  <c r="X36" i="38"/>
  <c r="AB36" i="38" s="1"/>
  <c r="Z44" i="38"/>
  <c r="AD44" i="38" s="1"/>
  <c r="I31" i="38"/>
  <c r="R31" i="38"/>
  <c r="D76" i="38" s="1"/>
  <c r="X35" i="38"/>
  <c r="AB35" i="38" s="1"/>
  <c r="Z36" i="38"/>
  <c r="AD36" i="38" s="1"/>
  <c r="I36" i="38"/>
  <c r="X15" i="38"/>
  <c r="B104" i="38"/>
  <c r="L50" i="9" s="1"/>
  <c r="S31" i="38"/>
  <c r="B76" i="38" s="1"/>
  <c r="L37" i="9" s="1"/>
  <c r="B101" i="38"/>
  <c r="L53" i="9" s="1"/>
  <c r="L35" i="38"/>
  <c r="B59" i="38" s="1"/>
  <c r="L28" i="9" s="1"/>
  <c r="Y43" i="38"/>
  <c r="AC43" i="38" s="1"/>
  <c r="Z24" i="38"/>
  <c r="AD24" i="38" s="1"/>
  <c r="Y42" i="38"/>
  <c r="AC42" i="38" s="1"/>
  <c r="X31" i="38"/>
  <c r="AB31" i="38" s="1"/>
  <c r="Z27" i="38"/>
  <c r="AD27" i="38" s="1"/>
  <c r="AA30" i="38"/>
  <c r="AE30" i="38" s="1"/>
  <c r="Y36" i="38"/>
  <c r="AC36" i="38" s="1"/>
  <c r="Y44" i="38"/>
  <c r="AC44" i="38" s="1"/>
  <c r="K27" i="38"/>
  <c r="D64" i="38" s="1"/>
  <c r="Y35" i="38"/>
  <c r="AC35" i="38" s="1"/>
  <c r="P24" i="38"/>
  <c r="P36" i="38"/>
  <c r="X24" i="38"/>
  <c r="AB24" i="38" s="1"/>
  <c r="P18" i="38"/>
  <c r="Z42" i="38"/>
  <c r="AD42" i="38" s="1"/>
  <c r="Y30" i="38"/>
  <c r="AC30" i="38" s="1"/>
  <c r="AA44" i="38"/>
  <c r="AE44" i="38" s="1"/>
  <c r="L28" i="38" l="1"/>
  <c r="K28" i="38"/>
  <c r="R20" i="38"/>
  <c r="S20" i="38"/>
  <c r="S22" i="38"/>
  <c r="B71" i="38" s="1"/>
  <c r="L17" i="9" s="1"/>
  <c r="R22" i="38"/>
  <c r="D71" i="38" s="1"/>
  <c r="C71" i="38"/>
  <c r="L21" i="38"/>
  <c r="K21" i="38"/>
  <c r="C54" i="38"/>
  <c r="R27" i="38"/>
  <c r="C70" i="38"/>
  <c r="S27" i="38"/>
  <c r="B70" i="38" s="1"/>
  <c r="L20" i="9" s="1"/>
  <c r="K31" i="38"/>
  <c r="L31" i="38"/>
  <c r="C91" i="38"/>
  <c r="AC15" i="38"/>
  <c r="B91" i="38" s="1"/>
  <c r="L8" i="9" s="1"/>
  <c r="C92" i="38"/>
  <c r="AE15" i="38"/>
  <c r="B92" i="38" s="1"/>
  <c r="L10" i="9" s="1"/>
  <c r="S29" i="38"/>
  <c r="B79" i="38" s="1"/>
  <c r="R29" i="38"/>
  <c r="D79" i="38" s="1"/>
  <c r="C79" i="38"/>
  <c r="C56" i="38"/>
  <c r="L20" i="38"/>
  <c r="B56" i="38" s="1"/>
  <c r="L14" i="9" s="1"/>
  <c r="K20" i="38"/>
  <c r="D56" i="38" s="1"/>
  <c r="L37" i="38"/>
  <c r="K37" i="38"/>
  <c r="K32" i="38"/>
  <c r="L32" i="38"/>
  <c r="B53" i="38" s="1"/>
  <c r="K17" i="38"/>
  <c r="L17" i="38"/>
  <c r="S18" i="38"/>
  <c r="B69" i="38" s="1"/>
  <c r="L16" i="9" s="1"/>
  <c r="R18" i="38"/>
  <c r="C69" i="38"/>
  <c r="R15" i="38"/>
  <c r="D82" i="38" s="1"/>
  <c r="S15" i="38"/>
  <c r="B82" i="38" s="1"/>
  <c r="L24" i="9" s="1"/>
  <c r="C82" i="38"/>
  <c r="C53" i="38"/>
  <c r="K24" i="38"/>
  <c r="D53" i="38" s="1"/>
  <c r="K26" i="38"/>
  <c r="L26" i="38"/>
  <c r="C74" i="38"/>
  <c r="S16" i="38"/>
  <c r="R16" i="38"/>
  <c r="R19" i="38"/>
  <c r="S19" i="38"/>
  <c r="K23" i="38"/>
  <c r="L23" i="38"/>
  <c r="C90" i="38"/>
  <c r="C75" i="38"/>
  <c r="S32" i="38"/>
  <c r="B75" i="38" s="1"/>
  <c r="R32" i="38"/>
  <c r="D75" i="38" s="1"/>
  <c r="C63" i="38"/>
  <c r="S23" i="38"/>
  <c r="B80" i="38" s="1"/>
  <c r="L21" i="9" s="1"/>
  <c r="C80" i="38"/>
  <c r="R23" i="38"/>
  <c r="D80" i="38" s="1"/>
  <c r="R33" i="38"/>
  <c r="S33" i="38"/>
  <c r="B90" i="38"/>
  <c r="L9" i="9" s="1"/>
  <c r="B63" i="38"/>
  <c r="L19" i="9" s="1"/>
  <c r="C60" i="38"/>
  <c r="K30" i="38"/>
  <c r="D60" i="38" s="1"/>
  <c r="L30" i="38"/>
  <c r="B60" i="38" s="1"/>
  <c r="L29" i="9" s="1"/>
  <c r="K29" i="38"/>
  <c r="L29" i="38"/>
  <c r="D63" i="38"/>
  <c r="S34" i="38"/>
  <c r="R34" i="38"/>
  <c r="C77" i="38"/>
  <c r="R37" i="38"/>
  <c r="D77" i="38" s="1"/>
  <c r="S37" i="38"/>
  <c r="B77" i="38" s="1"/>
  <c r="R21" i="38"/>
  <c r="S21" i="38"/>
  <c r="S36" i="38"/>
  <c r="R36" i="38"/>
  <c r="C93" i="38"/>
  <c r="AB15" i="38"/>
  <c r="B93" i="38" s="1"/>
  <c r="L7" i="9" s="1"/>
  <c r="R26" i="38"/>
  <c r="D68" i="38" s="1"/>
  <c r="C68" i="38"/>
  <c r="S26" i="38"/>
  <c r="B68" i="38" s="1"/>
  <c r="K22" i="38"/>
  <c r="L22" i="38"/>
  <c r="R24" i="38"/>
  <c r="S24" i="38"/>
  <c r="C61" i="38"/>
  <c r="L36" i="38"/>
  <c r="B61" i="38" s="1"/>
  <c r="L30" i="9" s="1"/>
  <c r="K36" i="38"/>
  <c r="D61" i="38" s="1"/>
  <c r="L34" i="38"/>
  <c r="B66" i="38" s="1"/>
  <c r="C66" i="38"/>
  <c r="K34" i="38"/>
  <c r="D66" i="38" s="1"/>
  <c r="R28" i="38"/>
  <c r="S28" i="38"/>
  <c r="C57" i="38"/>
  <c r="K16" i="38"/>
  <c r="D57" i="38" s="1"/>
  <c r="L16" i="38"/>
  <c r="B57" i="38" s="1"/>
  <c r="L15" i="9" s="1"/>
  <c r="K19" i="38"/>
  <c r="D55" i="38" s="1"/>
  <c r="L19" i="38"/>
  <c r="B55" i="38" s="1"/>
  <c r="L13" i="9" s="1"/>
  <c r="C55" i="38"/>
  <c r="C62" i="38"/>
  <c r="K33" i="38"/>
  <c r="D62" i="38" s="1"/>
  <c r="L33" i="38"/>
  <c r="B62" i="38" s="1"/>
  <c r="L31" i="9" s="1"/>
  <c r="R17" i="38"/>
  <c r="S17" i="38"/>
  <c r="B54" i="38" l="1"/>
  <c r="L38" i="9"/>
  <c r="B86" i="38"/>
  <c r="L39" i="9" s="1"/>
  <c r="L32" i="9"/>
  <c r="C4" i="38"/>
  <c r="B6" i="38" s="1"/>
  <c r="D74" i="38"/>
  <c r="L40" i="9"/>
  <c r="B85" i="38"/>
  <c r="L41" i="9" s="1"/>
  <c r="B87" i="38"/>
  <c r="L36" i="9" s="1"/>
  <c r="L35" i="9"/>
  <c r="B74" i="38"/>
  <c r="L25" i="9" s="1"/>
  <c r="D70" i="38"/>
  <c r="D69" i="38"/>
  <c r="D54" i="38"/>
  <c r="B108" i="38" s="1"/>
  <c r="L5" i="9" s="1"/>
  <c r="L12" i="9" l="1"/>
  <c r="B107" i="38"/>
  <c r="L4" i="9" s="1"/>
  <c r="C28" i="40"/>
  <c r="E28" i="40"/>
  <c r="I28" i="40" s="1"/>
  <c r="Z44" i="40"/>
  <c r="AD44" i="40" s="1"/>
  <c r="C17" i="40"/>
  <c r="E17" i="40" s="1"/>
  <c r="Z23" i="40"/>
  <c r="AD23" i="40" s="1"/>
  <c r="Z26" i="40"/>
  <c r="AD26" i="40" s="1"/>
  <c r="C26" i="40"/>
  <c r="E26" i="40"/>
  <c r="AA26" i="40" s="1"/>
  <c r="AE26" i="40" s="1"/>
  <c r="E40" i="40"/>
  <c r="C36" i="40"/>
  <c r="E36" i="40" s="1"/>
  <c r="Y36" i="40" s="1"/>
  <c r="AC36" i="40" s="1"/>
  <c r="C46" i="40"/>
  <c r="C44" i="40"/>
  <c r="E44" i="40" s="1"/>
  <c r="B100" i="40"/>
  <c r="M47" i="9" s="1"/>
  <c r="C23" i="40"/>
  <c r="E23" i="40" s="1"/>
  <c r="C19" i="40"/>
  <c r="E19" i="40" s="1"/>
  <c r="C39" i="40"/>
  <c r="B95" i="40" s="1"/>
  <c r="M44" i="9" s="1"/>
  <c r="C43" i="40"/>
  <c r="E43" i="40" s="1"/>
  <c r="B99" i="40"/>
  <c r="M46" i="9" s="1"/>
  <c r="C20" i="40"/>
  <c r="E20" i="40" s="1"/>
  <c r="I20" i="40"/>
  <c r="C35" i="40"/>
  <c r="E35" i="40"/>
  <c r="Y35" i="40" s="1"/>
  <c r="AC35" i="40" s="1"/>
  <c r="C32" i="40"/>
  <c r="E32" i="40" s="1"/>
  <c r="Y32" i="40" s="1"/>
  <c r="AC32" i="40" s="1"/>
  <c r="M53" i="9"/>
  <c r="C45" i="40"/>
  <c r="B101" i="40" s="1"/>
  <c r="C40" i="40"/>
  <c r="B96" i="40"/>
  <c r="M45" i="9" s="1"/>
  <c r="C30" i="40"/>
  <c r="E30" i="40" s="1"/>
  <c r="Y30" i="40" s="1"/>
  <c r="AC30" i="40" s="1"/>
  <c r="I30" i="40"/>
  <c r="K30" i="40" s="1"/>
  <c r="D60" i="40" s="1"/>
  <c r="C42" i="40"/>
  <c r="E42" i="40" s="1"/>
  <c r="B98" i="40"/>
  <c r="M52" i="9" s="1"/>
  <c r="C24" i="40"/>
  <c r="C41" i="40"/>
  <c r="E41" i="40" s="1"/>
  <c r="B97" i="40"/>
  <c r="M51" i="9" s="1"/>
  <c r="C31" i="40"/>
  <c r="E31" i="40" s="1"/>
  <c r="C16" i="40"/>
  <c r="E16" i="40" s="1"/>
  <c r="Z16" i="40" s="1"/>
  <c r="AD16" i="40" s="1"/>
  <c r="P16" i="40"/>
  <c r="C22" i="40"/>
  <c r="E22" i="40"/>
  <c r="I22" i="40" s="1"/>
  <c r="P22" i="40"/>
  <c r="R22" i="40" s="1"/>
  <c r="D71" i="40" s="1"/>
  <c r="C29" i="40"/>
  <c r="E29" i="40" s="1"/>
  <c r="C34" i="40"/>
  <c r="E34" i="40" s="1"/>
  <c r="C27" i="40"/>
  <c r="E27" i="40" s="1"/>
  <c r="C48" i="40"/>
  <c r="C21" i="40"/>
  <c r="E21" i="40" s="1"/>
  <c r="C15" i="40"/>
  <c r="E15" i="40" s="1"/>
  <c r="C18" i="40"/>
  <c r="E18" i="40"/>
  <c r="I18" i="40" s="1"/>
  <c r="C37" i="40"/>
  <c r="E37" i="40"/>
  <c r="C33" i="40"/>
  <c r="E33" i="40"/>
  <c r="X33" i="40" s="1"/>
  <c r="AB33" i="40" s="1"/>
  <c r="I33" i="40"/>
  <c r="G18" i="39"/>
  <c r="C47" i="40"/>
  <c r="E47" i="40" s="1"/>
  <c r="Z47" i="40" s="1"/>
  <c r="AD47" i="40" s="1"/>
  <c r="B103" i="40"/>
  <c r="M49" i="9"/>
  <c r="C63" i="40" l="1"/>
  <c r="K18" i="40"/>
  <c r="L18" i="40"/>
  <c r="Y41" i="40"/>
  <c r="AC41" i="40" s="1"/>
  <c r="X41" i="40"/>
  <c r="AB41" i="40" s="1"/>
  <c r="Z41" i="40"/>
  <c r="AD41" i="40" s="1"/>
  <c r="AA41" i="40"/>
  <c r="AE41" i="40" s="1"/>
  <c r="C56" i="40"/>
  <c r="K20" i="40"/>
  <c r="D56" i="40" s="1"/>
  <c r="L20" i="40"/>
  <c r="B56" i="40" s="1"/>
  <c r="M14" i="9" s="1"/>
  <c r="AA18" i="40"/>
  <c r="AE18" i="40" s="1"/>
  <c r="E39" i="40"/>
  <c r="Z21" i="40"/>
  <c r="AD21" i="40" s="1"/>
  <c r="P21" i="40"/>
  <c r="X21" i="40"/>
  <c r="AB21" i="40" s="1"/>
  <c r="I21" i="40"/>
  <c r="AA21" i="40"/>
  <c r="AE21" i="40" s="1"/>
  <c r="E24" i="40"/>
  <c r="B88" i="40"/>
  <c r="M55" i="9" s="1"/>
  <c r="AA20" i="40"/>
  <c r="AE20" i="40" s="1"/>
  <c r="X20" i="40"/>
  <c r="AB20" i="40" s="1"/>
  <c r="P20" i="40"/>
  <c r="Z20" i="40"/>
  <c r="AD20" i="40" s="1"/>
  <c r="Y20" i="40"/>
  <c r="AC20" i="40" s="1"/>
  <c r="X44" i="40"/>
  <c r="AB44" i="40" s="1"/>
  <c r="Y44" i="40"/>
  <c r="AC44" i="40" s="1"/>
  <c r="AA44" i="40"/>
  <c r="AE44" i="40" s="1"/>
  <c r="X15" i="40"/>
  <c r="P15" i="40"/>
  <c r="Z15" i="40"/>
  <c r="Y15" i="40"/>
  <c r="AA15" i="40"/>
  <c r="E46" i="40"/>
  <c r="B102" i="40"/>
  <c r="M48" i="9" s="1"/>
  <c r="Y21" i="40"/>
  <c r="AC21" i="40" s="1"/>
  <c r="Y47" i="40"/>
  <c r="AC47" i="40" s="1"/>
  <c r="AA47" i="40"/>
  <c r="AE47" i="40" s="1"/>
  <c r="X47" i="40"/>
  <c r="AB47" i="40" s="1"/>
  <c r="AA43" i="40"/>
  <c r="AE43" i="40" s="1"/>
  <c r="X43" i="40"/>
  <c r="AB43" i="40" s="1"/>
  <c r="Y43" i="40"/>
  <c r="AC43" i="40" s="1"/>
  <c r="AA29" i="40"/>
  <c r="AE29" i="40" s="1"/>
  <c r="X29" i="40"/>
  <c r="AB29" i="40" s="1"/>
  <c r="P29" i="40"/>
  <c r="I29" i="40"/>
  <c r="Y29" i="40"/>
  <c r="AC29" i="40" s="1"/>
  <c r="Z29" i="40"/>
  <c r="AD29" i="40" s="1"/>
  <c r="AA27" i="40"/>
  <c r="AE27" i="40" s="1"/>
  <c r="Z27" i="40"/>
  <c r="AD27" i="40" s="1"/>
  <c r="I27" i="40"/>
  <c r="Y27" i="40"/>
  <c r="AC27" i="40" s="1"/>
  <c r="X27" i="40"/>
  <c r="AB27" i="40" s="1"/>
  <c r="AA36" i="40"/>
  <c r="AE36" i="40" s="1"/>
  <c r="P36" i="40"/>
  <c r="Z36" i="40"/>
  <c r="AD36" i="40" s="1"/>
  <c r="I36" i="40"/>
  <c r="X36" i="40"/>
  <c r="AB36" i="40" s="1"/>
  <c r="R16" i="40"/>
  <c r="C74" i="40"/>
  <c r="S16" i="40"/>
  <c r="L28" i="40"/>
  <c r="K28" i="40"/>
  <c r="X37" i="40"/>
  <c r="AB37" i="40" s="1"/>
  <c r="Z37" i="40"/>
  <c r="AD37" i="40" s="1"/>
  <c r="I37" i="40"/>
  <c r="Y37" i="40"/>
  <c r="AC37" i="40" s="1"/>
  <c r="P37" i="40"/>
  <c r="Z42" i="40"/>
  <c r="AD42" i="40" s="1"/>
  <c r="X42" i="40"/>
  <c r="AB42" i="40" s="1"/>
  <c r="AA42" i="40"/>
  <c r="AE42" i="40" s="1"/>
  <c r="Y42" i="40"/>
  <c r="AC42" i="40" s="1"/>
  <c r="X32" i="40"/>
  <c r="AB32" i="40" s="1"/>
  <c r="AA32" i="40"/>
  <c r="AE32" i="40" s="1"/>
  <c r="P32" i="40"/>
  <c r="Z32" i="40"/>
  <c r="AD32" i="40" s="1"/>
  <c r="I32" i="40"/>
  <c r="AA37" i="40"/>
  <c r="AE37" i="40" s="1"/>
  <c r="Y18" i="40"/>
  <c r="AC18" i="40" s="1"/>
  <c r="X18" i="40"/>
  <c r="AB18" i="40" s="1"/>
  <c r="Z18" i="40"/>
  <c r="AD18" i="40" s="1"/>
  <c r="P18" i="40"/>
  <c r="Y34" i="40"/>
  <c r="AC34" i="40" s="1"/>
  <c r="X34" i="40"/>
  <c r="AB34" i="40" s="1"/>
  <c r="I34" i="40"/>
  <c r="AA34" i="40"/>
  <c r="AE34" i="40" s="1"/>
  <c r="P34" i="40"/>
  <c r="AA16" i="40"/>
  <c r="AE16" i="40" s="1"/>
  <c r="I16" i="40"/>
  <c r="Y16" i="40"/>
  <c r="AC16" i="40" s="1"/>
  <c r="X16" i="40"/>
  <c r="AB16" i="40" s="1"/>
  <c r="C60" i="40"/>
  <c r="L30" i="40"/>
  <c r="B60" i="40" s="1"/>
  <c r="M29" i="9" s="1"/>
  <c r="I19" i="40"/>
  <c r="P19" i="40"/>
  <c r="Z19" i="40"/>
  <c r="AD19" i="40" s="1"/>
  <c r="AA19" i="40"/>
  <c r="AE19" i="40" s="1"/>
  <c r="X19" i="40"/>
  <c r="AB19" i="40" s="1"/>
  <c r="Y19" i="40"/>
  <c r="AC19" i="40" s="1"/>
  <c r="E48" i="40"/>
  <c r="B104" i="40"/>
  <c r="M50" i="9" s="1"/>
  <c r="B106" i="40"/>
  <c r="L22" i="40"/>
  <c r="K22" i="40"/>
  <c r="C62" i="40"/>
  <c r="L33" i="40"/>
  <c r="B62" i="40" s="1"/>
  <c r="M31" i="9" s="1"/>
  <c r="K33" i="40"/>
  <c r="D62" i="40" s="1"/>
  <c r="P31" i="40"/>
  <c r="Z31" i="40"/>
  <c r="AD31" i="40" s="1"/>
  <c r="I31" i="40"/>
  <c r="AA31" i="40"/>
  <c r="AE31" i="40" s="1"/>
  <c r="X31" i="40"/>
  <c r="AB31" i="40" s="1"/>
  <c r="Y31" i="40"/>
  <c r="AC31" i="40" s="1"/>
  <c r="X30" i="40"/>
  <c r="AB30" i="40" s="1"/>
  <c r="P30" i="40"/>
  <c r="Z30" i="40"/>
  <c r="AD30" i="40" s="1"/>
  <c r="AA30" i="40"/>
  <c r="AE30" i="40" s="1"/>
  <c r="I23" i="40"/>
  <c r="Y23" i="40"/>
  <c r="AC23" i="40" s="1"/>
  <c r="X23" i="40"/>
  <c r="AB23" i="40" s="1"/>
  <c r="P23" i="40"/>
  <c r="AA23" i="40"/>
  <c r="AE23" i="40" s="1"/>
  <c r="AA17" i="40"/>
  <c r="AE17" i="40" s="1"/>
  <c r="Z17" i="40"/>
  <c r="AD17" i="40" s="1"/>
  <c r="Y17" i="40"/>
  <c r="AC17" i="40" s="1"/>
  <c r="I17" i="40"/>
  <c r="P17" i="40"/>
  <c r="X17" i="40"/>
  <c r="AB17" i="40" s="1"/>
  <c r="Z43" i="40"/>
  <c r="AD43" i="40" s="1"/>
  <c r="P27" i="40"/>
  <c r="AA40" i="40"/>
  <c r="AE40" i="40" s="1"/>
  <c r="X40" i="40"/>
  <c r="AB40" i="40" s="1"/>
  <c r="Y40" i="40"/>
  <c r="AC40" i="40" s="1"/>
  <c r="Z40" i="40"/>
  <c r="AD40" i="40" s="1"/>
  <c r="Z34" i="40"/>
  <c r="AD34" i="40" s="1"/>
  <c r="Z35" i="40"/>
  <c r="AD35" i="40" s="1"/>
  <c r="AA33" i="40"/>
  <c r="AE33" i="40" s="1"/>
  <c r="X22" i="40"/>
  <c r="AB22" i="40" s="1"/>
  <c r="P35" i="40"/>
  <c r="S22" i="40"/>
  <c r="B71" i="40" s="1"/>
  <c r="M17" i="9" s="1"/>
  <c r="X35" i="40"/>
  <c r="AB35" i="40" s="1"/>
  <c r="Z33" i="40"/>
  <c r="AD33" i="40" s="1"/>
  <c r="AA22" i="40"/>
  <c r="AE22" i="40" s="1"/>
  <c r="I35" i="40"/>
  <c r="Y26" i="40"/>
  <c r="AC26" i="40" s="1"/>
  <c r="X26" i="40"/>
  <c r="AB26" i="40" s="1"/>
  <c r="P28" i="40"/>
  <c r="C71" i="40"/>
  <c r="P33" i="40"/>
  <c r="Z22" i="40"/>
  <c r="AD22" i="40" s="1"/>
  <c r="I26" i="40"/>
  <c r="E45" i="40"/>
  <c r="P26" i="40"/>
  <c r="AA35" i="40"/>
  <c r="AE35" i="40" s="1"/>
  <c r="Y33" i="40"/>
  <c r="AC33" i="40" s="1"/>
  <c r="Y22" i="40"/>
  <c r="AC22" i="40" s="1"/>
  <c r="S35" i="40" l="1"/>
  <c r="R35" i="40"/>
  <c r="S26" i="40"/>
  <c r="B68" i="40" s="1"/>
  <c r="C68" i="40"/>
  <c r="R26" i="40"/>
  <c r="D68" i="40" s="1"/>
  <c r="S23" i="40"/>
  <c r="B80" i="40" s="1"/>
  <c r="M21" i="9" s="1"/>
  <c r="C80" i="40"/>
  <c r="R23" i="40"/>
  <c r="D80" i="40" s="1"/>
  <c r="C57" i="40"/>
  <c r="L16" i="40"/>
  <c r="K16" i="40"/>
  <c r="K36" i="40"/>
  <c r="D61" i="40" s="1"/>
  <c r="L36" i="40"/>
  <c r="B61" i="40" s="1"/>
  <c r="M30" i="9" s="1"/>
  <c r="C61" i="40"/>
  <c r="AE15" i="40"/>
  <c r="L21" i="40"/>
  <c r="K21" i="40"/>
  <c r="C54" i="40"/>
  <c r="R30" i="40"/>
  <c r="S30" i="40"/>
  <c r="R27" i="40"/>
  <c r="D70" i="40" s="1"/>
  <c r="C70" i="40"/>
  <c r="S27" i="40"/>
  <c r="AA45" i="40"/>
  <c r="AE45" i="40" s="1"/>
  <c r="X45" i="40"/>
  <c r="AB45" i="40" s="1"/>
  <c r="Z45" i="40"/>
  <c r="AD45" i="40" s="1"/>
  <c r="Y45" i="40"/>
  <c r="AC45" i="40" s="1"/>
  <c r="C59" i="40"/>
  <c r="K35" i="40"/>
  <c r="D59" i="40" s="1"/>
  <c r="L35" i="40"/>
  <c r="B59" i="40" s="1"/>
  <c r="M28" i="9" s="1"/>
  <c r="AC15" i="40"/>
  <c r="K26" i="40"/>
  <c r="L26" i="40"/>
  <c r="R17" i="40"/>
  <c r="S17" i="40"/>
  <c r="B74" i="40" s="1"/>
  <c r="M25" i="9" s="1"/>
  <c r="R19" i="40"/>
  <c r="S19" i="40"/>
  <c r="R34" i="40"/>
  <c r="S34" i="40"/>
  <c r="R36" i="40"/>
  <c r="S36" i="40"/>
  <c r="AD15" i="40"/>
  <c r="R20" i="40"/>
  <c r="S20" i="40"/>
  <c r="R21" i="40"/>
  <c r="S21" i="40"/>
  <c r="R28" i="40"/>
  <c r="S28" i="40"/>
  <c r="K17" i="40"/>
  <c r="L17" i="40"/>
  <c r="K23" i="40"/>
  <c r="L23" i="40"/>
  <c r="K31" i="40"/>
  <c r="L31" i="40"/>
  <c r="C55" i="40"/>
  <c r="L19" i="40"/>
  <c r="B55" i="40" s="1"/>
  <c r="M13" i="9" s="1"/>
  <c r="K19" i="40"/>
  <c r="D55" i="40" s="1"/>
  <c r="K29" i="40"/>
  <c r="L29" i="40"/>
  <c r="S15" i="40"/>
  <c r="B82" i="40" s="1"/>
  <c r="M24" i="9" s="1"/>
  <c r="R15" i="40"/>
  <c r="D82" i="40" s="1"/>
  <c r="C82" i="40"/>
  <c r="S33" i="40"/>
  <c r="R33" i="40"/>
  <c r="L34" i="40"/>
  <c r="B66" i="40" s="1"/>
  <c r="K34" i="40"/>
  <c r="D66" i="40" s="1"/>
  <c r="C66" i="40"/>
  <c r="L32" i="40"/>
  <c r="B53" i="40" s="1"/>
  <c r="K32" i="40"/>
  <c r="S29" i="40"/>
  <c r="B79" i="40" s="1"/>
  <c r="R29" i="40"/>
  <c r="D79" i="40" s="1"/>
  <c r="C79" i="40"/>
  <c r="C93" i="40"/>
  <c r="AB15" i="40"/>
  <c r="AA39" i="40"/>
  <c r="AE39" i="40" s="1"/>
  <c r="Z39" i="40"/>
  <c r="AD39" i="40" s="1"/>
  <c r="Y39" i="40"/>
  <c r="AC39" i="40" s="1"/>
  <c r="X39" i="40"/>
  <c r="AB39" i="40" s="1"/>
  <c r="S31" i="40"/>
  <c r="B76" i="40" s="1"/>
  <c r="M37" i="9" s="1"/>
  <c r="R31" i="40"/>
  <c r="D76" i="40" s="1"/>
  <c r="C76" i="40"/>
  <c r="Z48" i="40"/>
  <c r="AD48" i="40" s="1"/>
  <c r="AA48" i="40"/>
  <c r="AE48" i="40" s="1"/>
  <c r="Y48" i="40"/>
  <c r="AC48" i="40" s="1"/>
  <c r="X48" i="40"/>
  <c r="AB48" i="40" s="1"/>
  <c r="R37" i="40"/>
  <c r="D77" i="40" s="1"/>
  <c r="C77" i="40"/>
  <c r="S37" i="40"/>
  <c r="B77" i="40" s="1"/>
  <c r="B63" i="40"/>
  <c r="M19" i="9" s="1"/>
  <c r="S32" i="40"/>
  <c r="B75" i="40" s="1"/>
  <c r="C75" i="40"/>
  <c r="R32" i="40"/>
  <c r="D75" i="40" s="1"/>
  <c r="D74" i="40"/>
  <c r="L27" i="40"/>
  <c r="B64" i="40" s="1"/>
  <c r="M22" i="9" s="1"/>
  <c r="K27" i="40"/>
  <c r="D64" i="40" s="1"/>
  <c r="C64" i="40"/>
  <c r="P24" i="40"/>
  <c r="Z24" i="40"/>
  <c r="AD24" i="40" s="1"/>
  <c r="AA24" i="40"/>
  <c r="AE24" i="40" s="1"/>
  <c r="Y24" i="40"/>
  <c r="AC24" i="40" s="1"/>
  <c r="X24" i="40"/>
  <c r="AB24" i="40" s="1"/>
  <c r="I24" i="40"/>
  <c r="D63" i="40"/>
  <c r="S18" i="40"/>
  <c r="R18" i="40"/>
  <c r="C69" i="40"/>
  <c r="K37" i="40"/>
  <c r="L37" i="40"/>
  <c r="Z46" i="40"/>
  <c r="AD46" i="40" s="1"/>
  <c r="X46" i="40"/>
  <c r="AB46" i="40" s="1"/>
  <c r="AA46" i="40"/>
  <c r="AE46" i="40" s="1"/>
  <c r="Y46" i="40"/>
  <c r="AC46" i="40" s="1"/>
  <c r="B91" i="40" l="1"/>
  <c r="M8" i="9" s="1"/>
  <c r="B70" i="40"/>
  <c r="M20" i="9" s="1"/>
  <c r="C92" i="40"/>
  <c r="B92" i="40"/>
  <c r="M10" i="9" s="1"/>
  <c r="B87" i="40"/>
  <c r="M36" i="9" s="1"/>
  <c r="M35" i="9"/>
  <c r="B93" i="40"/>
  <c r="M7" i="9" s="1"/>
  <c r="C90" i="40"/>
  <c r="B69" i="40"/>
  <c r="M16" i="9" s="1"/>
  <c r="C4" i="40"/>
  <c r="B6" i="40" s="1"/>
  <c r="M32" i="9"/>
  <c r="B90" i="40"/>
  <c r="M9" i="9" s="1"/>
  <c r="B86" i="40"/>
  <c r="M39" i="9" s="1"/>
  <c r="M38" i="9"/>
  <c r="D57" i="40"/>
  <c r="R24" i="40"/>
  <c r="D69" i="40" s="1"/>
  <c r="S24" i="40"/>
  <c r="B85" i="40"/>
  <c r="M41" i="9" s="1"/>
  <c r="M40" i="9"/>
  <c r="D54" i="40"/>
  <c r="B57" i="40"/>
  <c r="M15" i="9" s="1"/>
  <c r="K24" i="40"/>
  <c r="D53" i="40" s="1"/>
  <c r="C53" i="40"/>
  <c r="C91" i="40"/>
  <c r="B54" i="40"/>
  <c r="M12" i="9" l="1"/>
  <c r="B107" i="40"/>
  <c r="M4" i="9" s="1"/>
  <c r="B108" i="40"/>
  <c r="M5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Heather Nielsen</author>
  </authors>
  <commentList>
    <comment ref="F13" authorId="0" shapeId="0" xr:uid="{25B2B7D3-DAE9-46D4-A94E-81939DCE8C2E}">
      <text>
        <r>
          <rPr>
            <b/>
            <sz val="9"/>
            <color indexed="81"/>
            <rFont val="Tahoma"/>
            <family val="2"/>
          </rPr>
          <t>Heather Nielsen:</t>
        </r>
        <r>
          <rPr>
            <sz val="9"/>
            <color indexed="81"/>
            <rFont val="Tahoma"/>
            <family val="2"/>
          </rPr>
          <t xml:space="preserve">
OXOID</t>
        </r>
      </text>
    </comment>
    <comment ref="F14" authorId="0" shapeId="0" xr:uid="{9F30C1C5-C31A-44A8-A819-D3BB5BECA6B2}">
      <text>
        <r>
          <rPr>
            <b/>
            <sz val="9"/>
            <color indexed="81"/>
            <rFont val="Tahoma"/>
            <family val="2"/>
          </rPr>
          <t>Heather Nielsen:</t>
        </r>
        <r>
          <rPr>
            <sz val="9"/>
            <color indexed="81"/>
            <rFont val="Tahoma"/>
            <family val="2"/>
          </rPr>
          <t xml:space="preserve">
BD BBL</t>
        </r>
      </text>
    </comment>
    <comment ref="F18" authorId="0" shapeId="0" xr:uid="{9252B843-D7D0-4A54-BF06-7BEDB22D8795}">
      <text>
        <r>
          <rPr>
            <b/>
            <sz val="9"/>
            <color indexed="81"/>
            <rFont val="Tahoma"/>
            <family val="2"/>
          </rPr>
          <t>Heather Nielsen:</t>
        </r>
        <r>
          <rPr>
            <sz val="9"/>
            <color indexed="81"/>
            <rFont val="Tahoma"/>
            <family val="2"/>
          </rPr>
          <t xml:space="preserve">
recipe calls for 20mL of 50% v/v, just made into 10 mL and added 10mL of water to overall recipe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Heather Nielsen</author>
  </authors>
  <commentList>
    <comment ref="A33" authorId="0" shapeId="0" xr:uid="{D1725711-C353-4D9F-847F-81A00893F2FC}">
      <text>
        <r>
          <rPr>
            <b/>
            <sz val="9"/>
            <color indexed="81"/>
            <rFont val="Tahoma"/>
            <family val="2"/>
          </rPr>
          <t>Heather Nielsen:</t>
        </r>
        <r>
          <rPr>
            <sz val="9"/>
            <color indexed="81"/>
            <rFont val="Tahoma"/>
            <family val="2"/>
          </rPr>
          <t xml:space="preserve">
OXOID</t>
        </r>
      </text>
    </comment>
    <comment ref="A34" authorId="0" shapeId="0" xr:uid="{BF304941-024F-4691-971E-49DEFBAB0F3D}">
      <text>
        <r>
          <rPr>
            <b/>
            <sz val="9"/>
            <color indexed="81"/>
            <rFont val="Tahoma"/>
            <family val="2"/>
          </rPr>
          <t>Heather Nielsen:</t>
        </r>
        <r>
          <rPr>
            <sz val="9"/>
            <color indexed="81"/>
            <rFont val="Tahoma"/>
            <family val="2"/>
          </rPr>
          <t xml:space="preserve">
BD BBL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Heather Nielsen</author>
  </authors>
  <commentList>
    <comment ref="AZ29" authorId="0" shapeId="0" xr:uid="{8C4D9838-9D03-4694-BB4C-6F2A74FAF5E9}">
      <text>
        <r>
          <rPr>
            <b/>
            <sz val="9"/>
            <color indexed="81"/>
            <rFont val="Tahoma"/>
            <family val="2"/>
          </rPr>
          <t>Heather Nielsen:</t>
        </r>
        <r>
          <rPr>
            <sz val="9"/>
            <color indexed="81"/>
            <rFont val="Tahoma"/>
            <family val="2"/>
          </rPr>
          <t xml:space="preserve">
EDTA not in Speece, but added based on Strubing to reduce chelating effect on trace metals with increasing pH</t>
        </r>
      </text>
    </comment>
    <comment ref="V54" authorId="0" shapeId="0" xr:uid="{D7E36094-C0D4-443E-8120-E6BD5B0A895D}">
      <text>
        <r>
          <rPr>
            <b/>
            <sz val="10"/>
            <color indexed="81"/>
            <rFont val="Tahoma"/>
            <family val="2"/>
          </rPr>
          <t>Heather Nielsen:</t>
        </r>
        <r>
          <rPr>
            <sz val="10"/>
            <color indexed="81"/>
            <rFont val="Tahoma"/>
            <family val="2"/>
          </rPr>
          <t xml:space="preserve">
subtracting values for cations accrued from the variable trace metals and nutrient solutions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Heather Nielsen</author>
  </authors>
  <commentList>
    <comment ref="F13" authorId="0" shapeId="0" xr:uid="{2E924D3E-6145-43E7-9D12-B45B39952837}">
      <text>
        <r>
          <rPr>
            <b/>
            <sz val="9"/>
            <color indexed="81"/>
            <rFont val="Tahoma"/>
            <family val="2"/>
          </rPr>
          <t>Heather Nielsen:</t>
        </r>
        <r>
          <rPr>
            <sz val="9"/>
            <color indexed="81"/>
            <rFont val="Tahoma"/>
            <family val="2"/>
          </rPr>
          <t xml:space="preserve">
OXOID</t>
        </r>
      </text>
    </comment>
    <comment ref="F14" authorId="0" shapeId="0" xr:uid="{C20A7AA8-DDA5-47B3-BDAE-9A2248391EEA}">
      <text>
        <r>
          <rPr>
            <b/>
            <sz val="9"/>
            <color indexed="81"/>
            <rFont val="Tahoma"/>
            <family val="2"/>
          </rPr>
          <t>Heather Nielsen:</t>
        </r>
        <r>
          <rPr>
            <sz val="9"/>
            <color indexed="81"/>
            <rFont val="Tahoma"/>
            <family val="2"/>
          </rPr>
          <t xml:space="preserve">
BD BBL</t>
        </r>
      </text>
    </comment>
    <comment ref="F18" authorId="0" shapeId="0" xr:uid="{3462E314-5FE8-4F0F-95BE-3DC8285CB4B7}">
      <text>
        <r>
          <rPr>
            <b/>
            <sz val="9"/>
            <color indexed="81"/>
            <rFont val="Tahoma"/>
            <family val="2"/>
          </rPr>
          <t>Heather Nielsen:</t>
        </r>
        <r>
          <rPr>
            <sz val="9"/>
            <color indexed="81"/>
            <rFont val="Tahoma"/>
            <family val="2"/>
          </rPr>
          <t xml:space="preserve">
recipe calls for 20mL of 50% v/v, just made into 10 mL and added 10mL of water to overall recipe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Heather Nielsen</author>
  </authors>
  <commentList>
    <comment ref="F13" authorId="0" shapeId="0" xr:uid="{7A0602CB-39CE-4879-87B2-CD40F4EBD483}">
      <text>
        <r>
          <rPr>
            <b/>
            <sz val="9"/>
            <color indexed="81"/>
            <rFont val="Tahoma"/>
            <family val="2"/>
          </rPr>
          <t>Heather Nielsen:</t>
        </r>
        <r>
          <rPr>
            <sz val="9"/>
            <color indexed="81"/>
            <rFont val="Tahoma"/>
            <family val="2"/>
          </rPr>
          <t xml:space="preserve">
OXOID</t>
        </r>
      </text>
    </comment>
    <comment ref="F14" authorId="0" shapeId="0" xr:uid="{CF0F0D0A-8E06-4E96-B509-D8084144AA65}">
      <text>
        <r>
          <rPr>
            <b/>
            <sz val="9"/>
            <color indexed="81"/>
            <rFont val="Tahoma"/>
            <family val="2"/>
          </rPr>
          <t>Heather Nielsen:</t>
        </r>
        <r>
          <rPr>
            <sz val="9"/>
            <color indexed="81"/>
            <rFont val="Tahoma"/>
            <family val="2"/>
          </rPr>
          <t xml:space="preserve">
BD BBL</t>
        </r>
      </text>
    </comment>
    <comment ref="F18" authorId="0" shapeId="0" xr:uid="{B2E4AD14-D2C3-4E51-ACEE-7FEAFCE01AB0}">
      <text>
        <r>
          <rPr>
            <b/>
            <sz val="9"/>
            <color indexed="81"/>
            <rFont val="Tahoma"/>
            <family val="2"/>
          </rPr>
          <t>Heather Nielsen:</t>
        </r>
        <r>
          <rPr>
            <sz val="9"/>
            <color indexed="81"/>
            <rFont val="Tahoma"/>
            <family val="2"/>
          </rPr>
          <t xml:space="preserve">
recipe calls for 20mL of 50% v/v, just made into 10 mL and added 10mL of water to overall recipe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Heather Nielsen</author>
  </authors>
  <commentList>
    <comment ref="F13" authorId="0" shapeId="0" xr:uid="{70E4E0CF-4C21-4DE0-ACC8-BFFE5EB18607}">
      <text>
        <r>
          <rPr>
            <b/>
            <sz val="9"/>
            <color indexed="81"/>
            <rFont val="Tahoma"/>
            <family val="2"/>
          </rPr>
          <t>Heather Nielsen:</t>
        </r>
        <r>
          <rPr>
            <sz val="9"/>
            <color indexed="81"/>
            <rFont val="Tahoma"/>
            <family val="2"/>
          </rPr>
          <t xml:space="preserve">
OXOID</t>
        </r>
      </text>
    </comment>
    <comment ref="F14" authorId="0" shapeId="0" xr:uid="{8AA95C5C-D305-4FD5-9B66-84DE1E3283F4}">
      <text>
        <r>
          <rPr>
            <b/>
            <sz val="9"/>
            <color indexed="81"/>
            <rFont val="Tahoma"/>
            <family val="2"/>
          </rPr>
          <t>Heather Nielsen:</t>
        </r>
        <r>
          <rPr>
            <sz val="9"/>
            <color indexed="81"/>
            <rFont val="Tahoma"/>
            <family val="2"/>
          </rPr>
          <t xml:space="preserve">
BD BBL</t>
        </r>
      </text>
    </comment>
    <comment ref="F18" authorId="0" shapeId="0" xr:uid="{9A81DA88-55E1-466A-9372-46B89F1AB791}">
      <text>
        <r>
          <rPr>
            <b/>
            <sz val="9"/>
            <color indexed="81"/>
            <rFont val="Tahoma"/>
            <family val="2"/>
          </rPr>
          <t>Heather Nielsen:</t>
        </r>
        <r>
          <rPr>
            <sz val="9"/>
            <color indexed="81"/>
            <rFont val="Tahoma"/>
            <family val="2"/>
          </rPr>
          <t xml:space="preserve">
recipe calls for 20mL of 50% v/v, just made into 10 mL and added 10mL of water to overall recipe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Heather Nielsen</author>
  </authors>
  <commentList>
    <comment ref="F13" authorId="0" shapeId="0" xr:uid="{C897BAD8-F837-4A2A-B0D5-322D2BA7AEF4}">
      <text>
        <r>
          <rPr>
            <b/>
            <sz val="9"/>
            <color indexed="81"/>
            <rFont val="Tahoma"/>
            <family val="2"/>
          </rPr>
          <t>Heather Nielsen:</t>
        </r>
        <r>
          <rPr>
            <sz val="9"/>
            <color indexed="81"/>
            <rFont val="Tahoma"/>
            <family val="2"/>
          </rPr>
          <t xml:space="preserve">
OXOID</t>
        </r>
      </text>
    </comment>
    <comment ref="F14" authorId="0" shapeId="0" xr:uid="{E8A50AB3-CCB0-41CD-83FA-E65364422E0B}">
      <text>
        <r>
          <rPr>
            <b/>
            <sz val="9"/>
            <color indexed="81"/>
            <rFont val="Tahoma"/>
            <family val="2"/>
          </rPr>
          <t>Heather Nielsen:</t>
        </r>
        <r>
          <rPr>
            <sz val="9"/>
            <color indexed="81"/>
            <rFont val="Tahoma"/>
            <family val="2"/>
          </rPr>
          <t xml:space="preserve">
BD BBL</t>
        </r>
      </text>
    </comment>
    <comment ref="F18" authorId="0" shapeId="0" xr:uid="{031F22E6-62F1-4A0A-BE32-8D881A14D95C}">
      <text>
        <r>
          <rPr>
            <b/>
            <sz val="9"/>
            <color indexed="81"/>
            <rFont val="Tahoma"/>
            <family val="2"/>
          </rPr>
          <t>Heather Nielsen:</t>
        </r>
        <r>
          <rPr>
            <sz val="9"/>
            <color indexed="81"/>
            <rFont val="Tahoma"/>
            <family val="2"/>
          </rPr>
          <t xml:space="preserve">
recipe calls for 20mL of 50% v/v, just made into 10 mL and added 10mL of water to overall recipe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Heather Nielsen</author>
  </authors>
  <commentList>
    <comment ref="A33" authorId="0" shapeId="0" xr:uid="{7FFB4189-C67B-43C5-A7C4-4BAFE3C59D43}">
      <text>
        <r>
          <rPr>
            <b/>
            <sz val="9"/>
            <color indexed="81"/>
            <rFont val="Tahoma"/>
            <family val="2"/>
          </rPr>
          <t>Heather Nielsen:</t>
        </r>
        <r>
          <rPr>
            <sz val="9"/>
            <color indexed="81"/>
            <rFont val="Tahoma"/>
            <family val="2"/>
          </rPr>
          <t xml:space="preserve">
OXOID</t>
        </r>
      </text>
    </comment>
    <comment ref="A34" authorId="0" shapeId="0" xr:uid="{322385B1-9CE7-4D0A-8CA2-3E218ABE88F0}">
      <text>
        <r>
          <rPr>
            <b/>
            <sz val="9"/>
            <color indexed="81"/>
            <rFont val="Tahoma"/>
            <family val="2"/>
          </rPr>
          <t>Heather Nielsen:</t>
        </r>
        <r>
          <rPr>
            <sz val="9"/>
            <color indexed="81"/>
            <rFont val="Tahoma"/>
            <family val="2"/>
          </rPr>
          <t xml:space="preserve">
BD BBL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Heather Nielsen</author>
  </authors>
  <commentList>
    <comment ref="A33" authorId="0" shapeId="0" xr:uid="{3865A824-685C-4FC3-B97F-EC49C4EEF6F9}">
      <text>
        <r>
          <rPr>
            <b/>
            <sz val="9"/>
            <color indexed="81"/>
            <rFont val="Tahoma"/>
            <family val="2"/>
          </rPr>
          <t>Heather Nielsen:</t>
        </r>
        <r>
          <rPr>
            <sz val="9"/>
            <color indexed="81"/>
            <rFont val="Tahoma"/>
            <family val="2"/>
          </rPr>
          <t xml:space="preserve">
OXOID</t>
        </r>
      </text>
    </comment>
    <comment ref="A34" authorId="0" shapeId="0" xr:uid="{FC8486BF-05A5-472B-B8A0-7722557562DF}">
      <text>
        <r>
          <rPr>
            <b/>
            <sz val="9"/>
            <color indexed="81"/>
            <rFont val="Tahoma"/>
            <family val="2"/>
          </rPr>
          <t>Heather Nielsen:</t>
        </r>
        <r>
          <rPr>
            <sz val="9"/>
            <color indexed="81"/>
            <rFont val="Tahoma"/>
            <family val="2"/>
          </rPr>
          <t xml:space="preserve">
BD BBL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Heather Nielsen</author>
  </authors>
  <commentList>
    <comment ref="A33" authorId="0" shapeId="0" xr:uid="{10AD6D96-8695-44B6-95DC-9ED3D46F9CD0}">
      <text>
        <r>
          <rPr>
            <b/>
            <sz val="9"/>
            <color indexed="81"/>
            <rFont val="Tahoma"/>
            <family val="2"/>
          </rPr>
          <t>Heather Nielsen:</t>
        </r>
        <r>
          <rPr>
            <sz val="9"/>
            <color indexed="81"/>
            <rFont val="Tahoma"/>
            <family val="2"/>
          </rPr>
          <t xml:space="preserve">
OXOID</t>
        </r>
      </text>
    </comment>
    <comment ref="A34" authorId="0" shapeId="0" xr:uid="{2D1EB2DB-D1C3-4BE7-9307-4C26B3271616}">
      <text>
        <r>
          <rPr>
            <b/>
            <sz val="9"/>
            <color indexed="81"/>
            <rFont val="Tahoma"/>
            <family val="2"/>
          </rPr>
          <t>Heather Nielsen:</t>
        </r>
        <r>
          <rPr>
            <sz val="9"/>
            <color indexed="81"/>
            <rFont val="Tahoma"/>
            <family val="2"/>
          </rPr>
          <t xml:space="preserve">
BD BBL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Heather Nielsen</author>
  </authors>
  <commentList>
    <comment ref="A33" authorId="0" shapeId="0" xr:uid="{59C5CC05-BF4D-4B27-93CC-DCD8604D6CB2}">
      <text>
        <r>
          <rPr>
            <b/>
            <sz val="9"/>
            <color indexed="81"/>
            <rFont val="Tahoma"/>
            <family val="2"/>
          </rPr>
          <t>Heather Nielsen:</t>
        </r>
        <r>
          <rPr>
            <sz val="9"/>
            <color indexed="81"/>
            <rFont val="Tahoma"/>
            <family val="2"/>
          </rPr>
          <t xml:space="preserve">
OXOID</t>
        </r>
      </text>
    </comment>
    <comment ref="A34" authorId="0" shapeId="0" xr:uid="{8470AC68-A17F-4F4B-A815-C45711AC3124}">
      <text>
        <r>
          <rPr>
            <b/>
            <sz val="9"/>
            <color indexed="81"/>
            <rFont val="Tahoma"/>
            <family val="2"/>
          </rPr>
          <t>Heather Nielsen:</t>
        </r>
        <r>
          <rPr>
            <sz val="9"/>
            <color indexed="81"/>
            <rFont val="Tahoma"/>
            <family val="2"/>
          </rPr>
          <t xml:space="preserve">
BD BBL</t>
        </r>
      </text>
    </comment>
  </commentList>
</comments>
</file>

<file path=xl/sharedStrings.xml><?xml version="1.0" encoding="utf-8"?>
<sst xmlns="http://schemas.openxmlformats.org/spreadsheetml/2006/main" count="4376" uniqueCount="423">
  <si>
    <t>DSMZ medium 120</t>
  </si>
  <si>
    <t>Vitamin Soln.</t>
  </si>
  <si>
    <t>Trace Minerals</t>
  </si>
  <si>
    <t>Salinity (g/L)</t>
  </si>
  <si>
    <t>Ionic Strength</t>
  </si>
  <si>
    <t>Stock Solution Characteristics</t>
  </si>
  <si>
    <t>Chemical Constituent</t>
  </si>
  <si>
    <t>Conc.</t>
  </si>
  <si>
    <t>Unit</t>
  </si>
  <si>
    <t>Same ions as measured in seawater</t>
  </si>
  <si>
    <t>Stock Solution Recipe</t>
  </si>
  <si>
    <t>Vitamin</t>
  </si>
  <si>
    <t>g</t>
  </si>
  <si>
    <t>as Na+</t>
  </si>
  <si>
    <t xml:space="preserve">g </t>
  </si>
  <si>
    <t>biotin</t>
  </si>
  <si>
    <t>mg/L</t>
  </si>
  <si>
    <t>Fe(NH4)2(SO4)2</t>
  </si>
  <si>
    <t>as K+</t>
  </si>
  <si>
    <t>folic acid</t>
  </si>
  <si>
    <t>as HCO3-</t>
  </si>
  <si>
    <t>NH4Cl</t>
  </si>
  <si>
    <t>pyridoxine</t>
  </si>
  <si>
    <t>ZnSO4.7H2O</t>
  </si>
  <si>
    <t>as Cl-</t>
  </si>
  <si>
    <t>MgCl2.6H2O</t>
  </si>
  <si>
    <t>thiamine</t>
  </si>
  <si>
    <t>NaWO4.2H2O</t>
  </si>
  <si>
    <t>as other stuff</t>
  </si>
  <si>
    <t>CaCl2.2H2O</t>
  </si>
  <si>
    <t>riboflavin</t>
  </si>
  <si>
    <t>H3BO3</t>
  </si>
  <si>
    <t>Total</t>
  </si>
  <si>
    <t>NaCl</t>
  </si>
  <si>
    <t>nicotinic acid</t>
  </si>
  <si>
    <t>CoCl2.6H2O</t>
  </si>
  <si>
    <t>Na2S.9H2O Soln (0.2M)</t>
  </si>
  <si>
    <t>mL</t>
  </si>
  <si>
    <t>Ca-pantothenate</t>
  </si>
  <si>
    <t>CuSO4.5H2O</t>
  </si>
  <si>
    <t>Macronutrients (mg/L)</t>
  </si>
  <si>
    <t>Cysteine HCl (0.2M)</t>
  </si>
  <si>
    <t>Vitamin B-12</t>
  </si>
  <si>
    <t>NiCl2.6H2O</t>
  </si>
  <si>
    <t>P</t>
  </si>
  <si>
    <t>p-aminobenzoic acid</t>
  </si>
  <si>
    <t>MnSO4.H2O</t>
  </si>
  <si>
    <t>N</t>
  </si>
  <si>
    <t>Sodium Resazurin (0.1% w/v)</t>
  </si>
  <si>
    <t>alpha-lipoic acid</t>
  </si>
  <si>
    <t>Na2MoO4.2H2O</t>
  </si>
  <si>
    <t>C</t>
  </si>
  <si>
    <t>NaHCO3</t>
  </si>
  <si>
    <t>Distilled Water</t>
  </si>
  <si>
    <t>Distilled water</t>
  </si>
  <si>
    <t>Vitamin soln.</t>
  </si>
  <si>
    <t>Total Volume</t>
  </si>
  <si>
    <t xml:space="preserve">mL </t>
  </si>
  <si>
    <t>FeSO4.7H2O Soln. (0.1% w/v) from medium 119</t>
  </si>
  <si>
    <t>FeSO4.7H2O</t>
  </si>
  <si>
    <t>Ions</t>
  </si>
  <si>
    <t>mol/L</t>
  </si>
  <si>
    <t>H2SO4 (0.1N)</t>
  </si>
  <si>
    <t>Na+</t>
  </si>
  <si>
    <t>Mg+2</t>
  </si>
  <si>
    <t>Ca+2</t>
  </si>
  <si>
    <t>K+</t>
  </si>
  <si>
    <t>HCO3-</t>
  </si>
  <si>
    <t>Br-</t>
  </si>
  <si>
    <t>SO4-2</t>
  </si>
  <si>
    <t>Cl-</t>
  </si>
  <si>
    <t>Sr+2</t>
  </si>
  <si>
    <t>Ni+2</t>
  </si>
  <si>
    <t>Zn+2</t>
  </si>
  <si>
    <t>Mn+2</t>
  </si>
  <si>
    <t>Co+2</t>
  </si>
  <si>
    <t>MoO4-2</t>
  </si>
  <si>
    <t>Acetate-</t>
  </si>
  <si>
    <t>NH4+</t>
  </si>
  <si>
    <t>F-</t>
  </si>
  <si>
    <t>Fe+2</t>
  </si>
  <si>
    <t>Cu+2</t>
  </si>
  <si>
    <t>PO4-3</t>
  </si>
  <si>
    <t>1500-3000 mg/L recommended</t>
  </si>
  <si>
    <t>S-2</t>
  </si>
  <si>
    <t>EDTA</t>
  </si>
  <si>
    <t>Se</t>
  </si>
  <si>
    <t xml:space="preserve">Mo </t>
  </si>
  <si>
    <t>B</t>
  </si>
  <si>
    <t>Al</t>
  </si>
  <si>
    <t>DO NOT MODIFY THIS SHEET</t>
  </si>
  <si>
    <t>Starting Soln. Recipe</t>
  </si>
  <si>
    <t>Volume (mL)</t>
  </si>
  <si>
    <t>Fraction of Solution</t>
  </si>
  <si>
    <t>Buffer Soln.</t>
  </si>
  <si>
    <t>Metals Soln. (Strubing)</t>
  </si>
  <si>
    <t>Salinity of Starting Soln.</t>
  </si>
  <si>
    <t>g/L</t>
  </si>
  <si>
    <t>Cations</t>
  </si>
  <si>
    <t>Anions</t>
  </si>
  <si>
    <t>MW (g/mol)</t>
  </si>
  <si>
    <t>Main Soln.</t>
  </si>
  <si>
    <t xml:space="preserve">Conc. Soln. </t>
  </si>
  <si>
    <t>Mol/L</t>
  </si>
  <si>
    <t>mol/mol</t>
  </si>
  <si>
    <t>charge</t>
  </si>
  <si>
    <t>mols cation</t>
  </si>
  <si>
    <t>MW</t>
  </si>
  <si>
    <t>mass Cation</t>
  </si>
  <si>
    <t>mols anion</t>
  </si>
  <si>
    <t>mass anion</t>
  </si>
  <si>
    <t>NTA-3</t>
  </si>
  <si>
    <t>WO4-</t>
  </si>
  <si>
    <t>BO3-3</t>
  </si>
  <si>
    <t>Fe+3</t>
  </si>
  <si>
    <t>SeO3-2</t>
  </si>
  <si>
    <t>Se+4</t>
  </si>
  <si>
    <t>Cu</t>
  </si>
  <si>
    <t>Mo</t>
  </si>
  <si>
    <t>CO3-2</t>
  </si>
  <si>
    <t>pyridoxine-HCl</t>
  </si>
  <si>
    <t>thiamine-HCl</t>
  </si>
  <si>
    <t>D-Ca-pantothenate</t>
  </si>
  <si>
    <t>(DL)-apha-lipoic acid</t>
  </si>
  <si>
    <t>HCl</t>
  </si>
  <si>
    <t>NaOH</t>
  </si>
  <si>
    <t xml:space="preserve">Starting Soln. </t>
  </si>
  <si>
    <t>Charge</t>
  </si>
  <si>
    <t>EDTA-4</t>
  </si>
  <si>
    <t>INPUT PARAMETERS</t>
  </si>
  <si>
    <t>H2 influent flow rate (SCCM)</t>
  </si>
  <si>
    <t>COD from H2 (mg/min)</t>
  </si>
  <si>
    <t>Media influent flow rate (mL/min)</t>
  </si>
  <si>
    <t>COD (g/L)</t>
  </si>
  <si>
    <t>HRT (d)</t>
  </si>
  <si>
    <t>NaOH added for pH adj</t>
  </si>
  <si>
    <t>HCl added for pH adj</t>
  </si>
  <si>
    <t>Franken-Media: Speece 1996 + EDTA + L-cysteine</t>
  </si>
  <si>
    <t>Soln E: Wolin's vitamin solution (10x) from medium 120</t>
  </si>
  <si>
    <t>Soln D1: Trace Elements - COD</t>
  </si>
  <si>
    <t>Conc. Factor (These metal salts are highly soluble)</t>
  </si>
  <si>
    <t>Soln D2: Trace Elements Baseline</t>
  </si>
  <si>
    <t>Trace Elements Soln (from medium 334)</t>
  </si>
  <si>
    <t>Trace Elements Soln (from medium 120)</t>
  </si>
  <si>
    <t>Media Recipe Adjusted for Influent COD</t>
  </si>
  <si>
    <t>ratio</t>
  </si>
  <si>
    <t>Add to 300mL of 120 soln. (mg/L) to make Soln D2 - Trace Elements Baseline</t>
  </si>
  <si>
    <t>334 recipe</t>
  </si>
  <si>
    <t>Nitrilotriacetic acid (NTA)</t>
  </si>
  <si>
    <t>Conventional (Na+, Mg+2, Ca+2, K+, Cl-, SO4-2, HCO3-, Br-, F-, NO3-, PO4-3)</t>
  </si>
  <si>
    <t>Step</t>
  </si>
  <si>
    <t>Solution ID</t>
  </si>
  <si>
    <t>Quantity</t>
  </si>
  <si>
    <t>HCl (3.09%, 1M) - to make 0.05M HCl storage soln</t>
  </si>
  <si>
    <t>DSMZ Trace Metals SL-10 (10x)(mg)</t>
  </si>
  <si>
    <t>334 soln.</t>
  </si>
  <si>
    <t>ml</t>
  </si>
  <si>
    <t>Needs to be added to 334</t>
  </si>
  <si>
    <t>FeCl3.6H2O</t>
  </si>
  <si>
    <t>HCl (25%)</t>
  </si>
  <si>
    <t>mg</t>
  </si>
  <si>
    <t>Iron as FeCl2.4H2O</t>
  </si>
  <si>
    <t>mg as Fe3+</t>
  </si>
  <si>
    <t>MnCl2.4H2O</t>
  </si>
  <si>
    <t>FeCl2.4H2O</t>
  </si>
  <si>
    <t>Sodium as NaCl</t>
  </si>
  <si>
    <t>Cobalt as CoCl2.2H2O</t>
  </si>
  <si>
    <t>mg hexahydrate</t>
  </si>
  <si>
    <t>ZnCl2</t>
  </si>
  <si>
    <t>Potassium as KCl</t>
  </si>
  <si>
    <t>Nickel as NiCl2.6H2O</t>
  </si>
  <si>
    <t>Calcium as CaCl2.2H2O</t>
  </si>
  <si>
    <t>Zinc as ZnCl2</t>
  </si>
  <si>
    <t>Magnesium as MgCl2</t>
  </si>
  <si>
    <t>Copper as CuCl2.2H2O</t>
  </si>
  <si>
    <t>mg anhydrous</t>
  </si>
  <si>
    <t>CuCl2</t>
  </si>
  <si>
    <r>
      <rPr>
        <b/>
        <sz val="11"/>
        <color rgb="FF000000"/>
        <rFont val="Calibri"/>
        <family val="2"/>
        <scheme val="minor"/>
      </rPr>
      <t xml:space="preserve">Soln A: </t>
    </r>
    <r>
      <rPr>
        <sz val="11"/>
        <color rgb="FF000000"/>
        <rFont val="Calibri"/>
        <family val="2"/>
        <scheme val="minor"/>
      </rPr>
      <t>NH4Cl</t>
    </r>
  </si>
  <si>
    <t>Manganese as MnCl2.4H2O</t>
  </si>
  <si>
    <t>CuCl2.2H2O</t>
  </si>
  <si>
    <t>Cations charge</t>
  </si>
  <si>
    <r>
      <rPr>
        <b/>
        <sz val="11"/>
        <color theme="1"/>
        <rFont val="Calibri"/>
        <family val="2"/>
        <scheme val="minor"/>
      </rPr>
      <t>Soln B:</t>
    </r>
    <r>
      <rPr>
        <sz val="11"/>
        <color theme="1"/>
        <rFont val="Calibri"/>
        <family val="2"/>
        <scheme val="minor"/>
      </rPr>
      <t xml:space="preserve"> KH2PO4</t>
    </r>
  </si>
  <si>
    <t>Molybdenum as Na2MoO4.2H2O</t>
  </si>
  <si>
    <t>Anion charge</t>
  </si>
  <si>
    <r>
      <rPr>
        <b/>
        <sz val="11"/>
        <color theme="1"/>
        <rFont val="Calibri"/>
        <family val="2"/>
        <scheme val="minor"/>
      </rPr>
      <t xml:space="preserve">Soln C: </t>
    </r>
    <r>
      <rPr>
        <sz val="11"/>
        <color theme="1"/>
        <rFont val="Calibri"/>
        <family val="2"/>
        <scheme val="minor"/>
      </rPr>
      <t>MgSO4.7H2O</t>
    </r>
  </si>
  <si>
    <t>Selenium as Na2SeO3</t>
  </si>
  <si>
    <t>mg pentahydrate</t>
  </si>
  <si>
    <t>Charge balance</t>
  </si>
  <si>
    <r>
      <rPr>
        <b/>
        <sz val="11"/>
        <color theme="1"/>
        <rFont val="Calibri"/>
        <family val="2"/>
        <scheme val="minor"/>
      </rPr>
      <t>Soln D1:</t>
    </r>
    <r>
      <rPr>
        <sz val="11"/>
        <color theme="1"/>
        <rFont val="Calibri"/>
        <family val="2"/>
        <scheme val="minor"/>
      </rPr>
      <t xml:space="preserve"> Trace Elements for COD </t>
    </r>
  </si>
  <si>
    <t>Tungsten as NaWO4.2H2O</t>
  </si>
  <si>
    <r>
      <rPr>
        <b/>
        <sz val="11"/>
        <color theme="1"/>
        <rFont val="Calibri"/>
        <family val="2"/>
        <scheme val="minor"/>
      </rPr>
      <t>Soln D2:</t>
    </r>
    <r>
      <rPr>
        <sz val="11"/>
        <color theme="1"/>
        <rFont val="Calibri"/>
        <family val="2"/>
        <scheme val="minor"/>
      </rPr>
      <t xml:space="preserve"> Trace Elements Baseline</t>
    </r>
  </si>
  <si>
    <t>Boron as H3BO3</t>
  </si>
  <si>
    <t>Na2SeO3.5H2O</t>
  </si>
  <si>
    <r>
      <rPr>
        <b/>
        <sz val="11"/>
        <color theme="1"/>
        <rFont val="Calibri"/>
        <family val="2"/>
        <scheme val="minor"/>
      </rPr>
      <t>Soln E:</t>
    </r>
    <r>
      <rPr>
        <sz val="11"/>
        <color theme="1"/>
        <rFont val="Calibri"/>
        <family val="2"/>
        <scheme val="minor"/>
      </rPr>
      <t xml:space="preserve"> Vitamins</t>
    </r>
  </si>
  <si>
    <t>DI Water</t>
  </si>
  <si>
    <t>L-Cysteine HCl.H2O</t>
  </si>
  <si>
    <t>S</t>
  </si>
  <si>
    <t>Instructions for Media Prep</t>
  </si>
  <si>
    <t>Soln A: NH4Cl (soluble to 620 g/L)</t>
  </si>
  <si>
    <t>Conc.  (g/L)</t>
  </si>
  <si>
    <t>Dissolve EDTA in 750mL of DI water</t>
  </si>
  <si>
    <t>Conc Trace Metals solution Ratio with Zinc as standard</t>
  </si>
  <si>
    <t>Conc. Nitrogen as NH4Cl</t>
  </si>
  <si>
    <t>Add salts and solutions labeled with Step 2, note volume of solutions</t>
  </si>
  <si>
    <t>Fill remaining volume up to 950mL with DI water (reserve is for vitamins and pH adjustment)</t>
  </si>
  <si>
    <t>Soln B: KH2PO4 (soluble to 226 g/L)</t>
  </si>
  <si>
    <t>Adjust pH to 7 using 1M NaOH and/or 1M HCl, record volume</t>
  </si>
  <si>
    <t>Conc. Phosphorus as KH2PO4</t>
  </si>
  <si>
    <t>Sparge solution with argon gas 30-35min</t>
  </si>
  <si>
    <t>Adjust pH as needed to 7</t>
  </si>
  <si>
    <t>Soln C: MgSO4.7H2O (soluble to 360 g/L)</t>
  </si>
  <si>
    <t>Add salts and solutions labeled with Step 3</t>
  </si>
  <si>
    <t>Sulfur as MgSO4.7H2O</t>
  </si>
  <si>
    <t>Fill to 1000mL</t>
  </si>
  <si>
    <t>Check</t>
  </si>
  <si>
    <t>This Chart</t>
  </si>
  <si>
    <t>Back Calcs</t>
  </si>
  <si>
    <t>v1c1 = v2c2</t>
  </si>
  <si>
    <t>C2 = CODx1</t>
  </si>
  <si>
    <t>V2 = 999</t>
  </si>
  <si>
    <t>C1 = 500x1</t>
  </si>
  <si>
    <t>v1 = v2c2/c1</t>
  </si>
  <si>
    <t>grams of COD (g/L)</t>
  </si>
  <si>
    <t>Reactor Volume (L)</t>
  </si>
  <si>
    <t>Molecules of Composition</t>
  </si>
  <si>
    <t>mw ions</t>
  </si>
  <si>
    <t>Ionic Strength Precursor (cizi^2), ci is molar conc, zi is charge value</t>
  </si>
  <si>
    <t>Macronutrient</t>
  </si>
  <si>
    <t>Symbol</t>
  </si>
  <si>
    <t>mw (g/mol)</t>
  </si>
  <si>
    <t>Requirement (mg/g COD)</t>
  </si>
  <si>
    <t>Desired Excess Conc. (mg/L)</t>
  </si>
  <si>
    <t>Speece 1996 requirements</t>
  </si>
  <si>
    <t>Element/Ion</t>
  </si>
  <si>
    <t>Required Influent Conc. for COD (mg/L)</t>
  </si>
  <si>
    <t>Required Baseline Conc. (mg/L)</t>
  </si>
  <si>
    <t>Mol/L influent COD</t>
  </si>
  <si>
    <t>Mol/L baseline</t>
  </si>
  <si>
    <t>Cation</t>
  </si>
  <si>
    <t>MW (g/L)</t>
  </si>
  <si>
    <t>Cation mol/L</t>
  </si>
  <si>
    <t>Anion</t>
  </si>
  <si>
    <t>Anion mol/L</t>
  </si>
  <si>
    <t>Water mol/mol</t>
  </si>
  <si>
    <t>Mass Needed for Influent COD (mg/L)</t>
  </si>
  <si>
    <t>Mass Needed for Baseline (mg/L)</t>
  </si>
  <si>
    <t>Mass Needed for only 1g COD (mg/L), no excess</t>
  </si>
  <si>
    <t>Mass Needed for excess (mg/L)</t>
  </si>
  <si>
    <t>N (5-15)</t>
  </si>
  <si>
    <t>Macronutrients</t>
  </si>
  <si>
    <t>P (0.8-2.5)</t>
  </si>
  <si>
    <t>S (1-3)</t>
  </si>
  <si>
    <t>Micronutrients</t>
  </si>
  <si>
    <t>Iron</t>
  </si>
  <si>
    <t>Fe</t>
  </si>
  <si>
    <t>Cobalt</t>
  </si>
  <si>
    <t>Co</t>
  </si>
  <si>
    <t>Nickel</t>
  </si>
  <si>
    <t>Ni</t>
  </si>
  <si>
    <t>Zinc</t>
  </si>
  <si>
    <t>Zn</t>
  </si>
  <si>
    <t>Copper</t>
  </si>
  <si>
    <t>Manganese</t>
  </si>
  <si>
    <t>Mn</t>
  </si>
  <si>
    <t>Molybdenum</t>
  </si>
  <si>
    <t>Selenium</t>
  </si>
  <si>
    <t>Tungsten</t>
  </si>
  <si>
    <t>W</t>
  </si>
  <si>
    <t>Boron</t>
  </si>
  <si>
    <t>Common Cations</t>
  </si>
  <si>
    <t>Sodium (100-200)</t>
  </si>
  <si>
    <t>Na</t>
  </si>
  <si>
    <t>Potassium (200-400)</t>
  </si>
  <si>
    <t>K</t>
  </si>
  <si>
    <t>Calcium (100-200)</t>
  </si>
  <si>
    <t>Ca</t>
  </si>
  <si>
    <t>Magnesium (75-250)</t>
  </si>
  <si>
    <t>Mg</t>
  </si>
  <si>
    <t>Component Summary (g/L)</t>
  </si>
  <si>
    <t>Salinity</t>
  </si>
  <si>
    <t>d</t>
  </si>
  <si>
    <t>mL/min</t>
  </si>
  <si>
    <t>Value</t>
  </si>
  <si>
    <t>x</t>
  </si>
  <si>
    <t>pH</t>
  </si>
  <si>
    <t>Na-acetate</t>
  </si>
  <si>
    <t>Na2CO3</t>
  </si>
  <si>
    <t>Soln E - Vitamins</t>
  </si>
  <si>
    <t>lipoic acid</t>
  </si>
  <si>
    <t>Wolin's vitamin solution (10x) from medium 120</t>
  </si>
  <si>
    <t>MgSO4.7H2O</t>
  </si>
  <si>
    <t>FeSO4.7H2O Soln. (0.1% w/v)</t>
  </si>
  <si>
    <t>Trace Elements Solution SL-10</t>
  </si>
  <si>
    <t>Yeast Extract (OXOID)</t>
  </si>
  <si>
    <t>Casiton (BD BBL)</t>
  </si>
  <si>
    <t>Na-Acetate</t>
  </si>
  <si>
    <t>Methanol (50% v/v)</t>
  </si>
  <si>
    <t>Wolins vitamin soln. (10x)</t>
  </si>
  <si>
    <t>Na2S.9H2O</t>
  </si>
  <si>
    <t>EDTA-2</t>
  </si>
  <si>
    <t>Na3NTA</t>
  </si>
  <si>
    <t>ammonium heptamolybdate</t>
  </si>
  <si>
    <t>(NH4)6Mo7O24.2H2O</t>
  </si>
  <si>
    <t>sodium selenite</t>
  </si>
  <si>
    <t>Chemical</t>
  </si>
  <si>
    <t xml:space="preserve">Monopotassium phosphate </t>
  </si>
  <si>
    <t>Dipotassium phosphate</t>
  </si>
  <si>
    <t>KH2PO4</t>
  </si>
  <si>
    <t>K2HPO4</t>
  </si>
  <si>
    <t>Na2HPO4.2H20</t>
  </si>
  <si>
    <t>Disodium phosphate dihydrate</t>
  </si>
  <si>
    <t>Na2-EDTA</t>
  </si>
  <si>
    <t>NTA</t>
  </si>
  <si>
    <t>mol</t>
  </si>
  <si>
    <t>L</t>
  </si>
  <si>
    <t>Nutrients</t>
  </si>
  <si>
    <t>Wolfe Soln.</t>
  </si>
  <si>
    <t>Macro-Nutrients</t>
  </si>
  <si>
    <t>ionic, cizi^2</t>
  </si>
  <si>
    <t>mass (g/L)</t>
  </si>
  <si>
    <t>Vitamins</t>
  </si>
  <si>
    <t>ionic strength precursor</t>
  </si>
  <si>
    <t>Mass (mg/L)</t>
  </si>
  <si>
    <t>mass cation (g/L)</t>
  </si>
  <si>
    <t>anion mass (g/L)</t>
  </si>
  <si>
    <t>Mass (ug/L)</t>
  </si>
  <si>
    <t>Vitamins (ug/L)</t>
  </si>
  <si>
    <t>Trace Elements</t>
  </si>
  <si>
    <t>#C atoms</t>
  </si>
  <si>
    <t>63-72</t>
  </si>
  <si>
    <t>DI water</t>
  </si>
  <si>
    <t>L-Cysteine HCl (0.2M)</t>
  </si>
  <si>
    <t>Carbons</t>
  </si>
  <si>
    <t>Name</t>
  </si>
  <si>
    <t>conc (g/L)</t>
  </si>
  <si>
    <t>CoCl2.2H2O</t>
  </si>
  <si>
    <t>Na2SeO3</t>
  </si>
  <si>
    <t>KCl</t>
  </si>
  <si>
    <t>MgCl2</t>
  </si>
  <si>
    <t>H+</t>
  </si>
  <si>
    <t>Total Mass Needed (mg/L)</t>
  </si>
  <si>
    <t>DSMZ 120</t>
  </si>
  <si>
    <t>Main</t>
  </si>
  <si>
    <t>Trace Elements SL-10 (10x)</t>
  </si>
  <si>
    <t>C Sources</t>
  </si>
  <si>
    <t>Yeast Extract</t>
  </si>
  <si>
    <t>Reducing Agents</t>
  </si>
  <si>
    <t>Methanol</t>
  </si>
  <si>
    <t>H2SO4</t>
  </si>
  <si>
    <t>H2SO4 Soln (0.1N)</t>
  </si>
  <si>
    <t>HCl Soln (25% v/v)</t>
  </si>
  <si>
    <t>25% HCl</t>
  </si>
  <si>
    <t>Casitone</t>
  </si>
  <si>
    <t>Macro-Nutrients (mg/L)</t>
  </si>
  <si>
    <t>Common Ions (mg/L)</t>
  </si>
  <si>
    <t>Na+, Mg+2, Ca+2, K+, Sr+2, Cl-, SO4-2, HCO3-, Br-, F-</t>
  </si>
  <si>
    <t>Other Comparison Stuff</t>
  </si>
  <si>
    <t>mM</t>
  </si>
  <si>
    <t>L-Cysteine</t>
  </si>
  <si>
    <t>FeSO4.H2O</t>
  </si>
  <si>
    <t>Na2WO4</t>
  </si>
  <si>
    <t>Resazurin</t>
  </si>
  <si>
    <t>Na2S</t>
  </si>
  <si>
    <t>WO4-2</t>
  </si>
  <si>
    <t>DOI: 10.1016/B978-0-12-385112-3.00001-9</t>
  </si>
  <si>
    <t>Trace Elements (ug/L)</t>
  </si>
  <si>
    <t>Fe-S combos are good</t>
  </si>
  <si>
    <t>Absolutely essential for all/some methanogens (according to ChatGPT, lol)</t>
  </si>
  <si>
    <t>EDTA (dry powder) - Strubing used 750mg</t>
  </si>
  <si>
    <t>Mult Wolfe factor</t>
  </si>
  <si>
    <t>to Make into 4x Wolfe, add:</t>
  </si>
  <si>
    <t>(205.64/169.18)</t>
  </si>
  <si>
    <t>(337.269/265.355)</t>
  </si>
  <si>
    <t>Vitamin Soln. (10x Wolfe)</t>
  </si>
  <si>
    <t>to Make Wolin Vit into 10x Wolfe, add:</t>
  </si>
  <si>
    <t>To make 120 trace into Wolfe</t>
  </si>
  <si>
    <t>120 Trace</t>
  </si>
  <si>
    <t>Wolin Vit Soln.</t>
  </si>
  <si>
    <t>mol/L for ChemEQL entry</t>
  </si>
  <si>
    <t>edta</t>
  </si>
  <si>
    <t>acetate</t>
  </si>
  <si>
    <t>cysteinate</t>
  </si>
  <si>
    <t xml:space="preserve">End up with </t>
  </si>
  <si>
    <t>M HCl</t>
  </si>
  <si>
    <t>molar conc HCl from trace metals is:</t>
  </si>
  <si>
    <t>Na2S.9H2O Soln (50g/L)</t>
  </si>
  <si>
    <t>HCl Soln (1M)</t>
  </si>
  <si>
    <t>g/mol</t>
  </si>
  <si>
    <t>ionic strength</t>
  </si>
  <si>
    <t>Fe(NH4)2(SO4)2.6H2O</t>
  </si>
  <si>
    <t>5.4 to 2.3 vs 5.4 to 5.1</t>
  </si>
  <si>
    <t>5.4 to 2.5 vs 5.4 to 5.1</t>
  </si>
  <si>
    <t>Cysteine</t>
  </si>
  <si>
    <t>cysteine</t>
  </si>
  <si>
    <t>Inhibitory Conc.</t>
  </si>
  <si>
    <t>Media Recipe</t>
  </si>
  <si>
    <t>Order</t>
  </si>
  <si>
    <t>NaOH Soln (1M)</t>
  </si>
  <si>
    <t>NaOH soln. (1M)</t>
  </si>
  <si>
    <t>Modifications</t>
  </si>
  <si>
    <t>add</t>
  </si>
  <si>
    <t>remove</t>
  </si>
  <si>
    <t>changed conc. Of conc. Soln, otherwise the same</t>
  </si>
  <si>
    <t>Parameter</t>
  </si>
  <si>
    <t>C-Sources</t>
  </si>
  <si>
    <t>influent flow rate</t>
  </si>
  <si>
    <t>reactor liquid volume</t>
  </si>
  <si>
    <t>Hydraulic retention time</t>
  </si>
  <si>
    <t>Organic C Sources</t>
  </si>
  <si>
    <t>Casitone (BD BBL)</t>
  </si>
  <si>
    <t>Organic C Sources (mg/L)</t>
  </si>
  <si>
    <t>Reducing Agent (ug/L)</t>
  </si>
  <si>
    <t>DSMZ 120 v1: no bicarb</t>
  </si>
  <si>
    <t>DSMZ 120 v2: no Na-Ac or bicarb</t>
  </si>
  <si>
    <t>DSMZ 120 v3: no yeast, casitone, Na-Ac, or bicarb</t>
  </si>
  <si>
    <t>DSMZ 120 v4: no yeast, casitone, Na-Ac, bicarb, or methanol</t>
  </si>
  <si>
    <t>Modified Wolfe v3</t>
  </si>
  <si>
    <t>Modified Wolfe v1</t>
  </si>
  <si>
    <t>Killer Wolfe (HCl) v2</t>
  </si>
  <si>
    <t>Modified Speece</t>
  </si>
  <si>
    <t>Modified Wolfe v4</t>
  </si>
  <si>
    <t>Day</t>
  </si>
  <si>
    <t>DSMZ 120 v1.5: no modifications - bicarb back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</si>
</sst>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"/>
    <numFmt numFmtId="165" formatCode="0.0%"/>
    <numFmt numFmtId="166" formatCode="0.0000"/>
    <numFmt numFmtId="167" formatCode="0.0"/>
    <numFmt numFmtId="168" formatCode="0.000000"/>
    <numFmt numFmtId="169" formatCode="0.00000"/>
    <numFmt numFmtId="170" formatCode="0.0000000"/>
    <numFmt numFmtId="171" formatCode="0.000000000"/>
    <numFmt numFmtId="172" formatCode="0.0000E+00"/>
    <numFmt numFmtId="173" formatCode="0.000000E+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b/>
      <sz val="18"/>
      <color rgb="FF7030A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4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6">
    <xf numFmtId="0" fontId="0" fillId="0" borderId="0" xfId="0"/>
    <xf numFmtId="11" fontId="0" fillId="0" borderId="0" xfId="0" applyNumberFormat="1"/>
    <xf numFmtId="9" fontId="0" fillId="0" borderId="0" xfId="1" applyFont="1"/>
    <xf numFmtId="0" fontId="3" fillId="0" borderId="0" xfId="0" applyFont="1"/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2" fontId="0" fillId="0" borderId="0" xfId="0" applyNumberFormat="1"/>
    <xf numFmtId="165" fontId="0" fillId="0" borderId="0" xfId="0" applyNumberFormat="1"/>
    <xf numFmtId="0" fontId="8" fillId="0" borderId="0" xfId="0" applyFont="1"/>
    <xf numFmtId="2" fontId="8" fillId="0" borderId="0" xfId="0" applyNumberFormat="1" applyFont="1"/>
    <xf numFmtId="0" fontId="8" fillId="0" borderId="0" xfId="0" applyFont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0" fontId="2" fillId="2" borderId="5" xfId="0" applyFont="1" applyFill="1" applyBorder="1"/>
    <xf numFmtId="0" fontId="2" fillId="2" borderId="7" xfId="0" applyFont="1" applyFill="1" applyBorder="1"/>
    <xf numFmtId="0" fontId="2" fillId="0" borderId="9" xfId="0" applyFont="1" applyBorder="1"/>
    <xf numFmtId="0" fontId="2" fillId="0" borderId="10" xfId="0" applyFont="1" applyBorder="1"/>
    <xf numFmtId="0" fontId="0" fillId="0" borderId="11" xfId="0" applyBorder="1" applyAlignment="1">
      <alignment horizontal="center"/>
    </xf>
    <xf numFmtId="0" fontId="0" fillId="2" borderId="8" xfId="0" applyFill="1" applyBorder="1"/>
    <xf numFmtId="0" fontId="0" fillId="2" borderId="12" xfId="0" applyFill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0" borderId="13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" xfId="0" applyFill="1" applyBorder="1"/>
    <xf numFmtId="0" fontId="0" fillId="2" borderId="14" xfId="0" applyFill="1" applyBorder="1"/>
    <xf numFmtId="0" fontId="0" fillId="0" borderId="8" xfId="0" applyBorder="1"/>
    <xf numFmtId="0" fontId="3" fillId="0" borderId="10" xfId="0" applyFont="1" applyBorder="1"/>
    <xf numFmtId="0" fontId="2" fillId="2" borderId="6" xfId="0" applyFont="1" applyFill="1" applyBorder="1"/>
    <xf numFmtId="0" fontId="0" fillId="0" borderId="3" xfId="0" applyBorder="1"/>
    <xf numFmtId="0" fontId="3" fillId="0" borderId="3" xfId="0" applyFont="1" applyBorder="1"/>
    <xf numFmtId="0" fontId="2" fillId="0" borderId="11" xfId="0" applyFont="1" applyBorder="1"/>
    <xf numFmtId="0" fontId="0" fillId="0" borderId="10" xfId="0" applyBorder="1" applyAlignment="1">
      <alignment horizontal="center" vertical="center"/>
    </xf>
    <xf numFmtId="11" fontId="2" fillId="0" borderId="0" xfId="0" applyNumberFormat="1" applyFont="1"/>
    <xf numFmtId="0" fontId="6" fillId="0" borderId="25" xfId="0" applyFont="1" applyBorder="1" applyAlignment="1">
      <alignment wrapText="1"/>
    </xf>
    <xf numFmtId="0" fontId="6" fillId="0" borderId="26" xfId="0" applyFont="1" applyBorder="1" applyAlignment="1">
      <alignment wrapText="1"/>
    </xf>
    <xf numFmtId="11" fontId="6" fillId="0" borderId="27" xfId="0" applyNumberFormat="1" applyFont="1" applyBorder="1"/>
    <xf numFmtId="0" fontId="0" fillId="0" borderId="28" xfId="0" applyBorder="1" applyAlignment="1">
      <alignment wrapText="1"/>
    </xf>
    <xf numFmtId="0" fontId="9" fillId="0" borderId="0" xfId="0" applyFont="1"/>
    <xf numFmtId="11" fontId="0" fillId="0" borderId="29" xfId="0" applyNumberFormat="1" applyBorder="1"/>
    <xf numFmtId="11" fontId="0" fillId="0" borderId="32" xfId="0" applyNumberFormat="1" applyBorder="1"/>
    <xf numFmtId="1" fontId="7" fillId="0" borderId="16" xfId="0" applyNumberFormat="1" applyFont="1" applyBorder="1"/>
    <xf numFmtId="0" fontId="7" fillId="0" borderId="16" xfId="0" applyFont="1" applyBorder="1"/>
    <xf numFmtId="0" fontId="2" fillId="0" borderId="17" xfId="0" applyFont="1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6" fillId="0" borderId="17" xfId="0" applyFont="1" applyBorder="1"/>
    <xf numFmtId="0" fontId="4" fillId="0" borderId="0" xfId="0" applyFont="1"/>
    <xf numFmtId="0" fontId="3" fillId="0" borderId="0" xfId="0" applyFont="1" applyAlignment="1">
      <alignment horizontal="left"/>
    </xf>
    <xf numFmtId="166" fontId="0" fillId="0" borderId="0" xfId="0" applyNumberFormat="1"/>
    <xf numFmtId="0" fontId="6" fillId="0" borderId="33" xfId="0" applyFont="1" applyBorder="1" applyAlignment="1">
      <alignment wrapText="1"/>
    </xf>
    <xf numFmtId="0" fontId="6" fillId="0" borderId="34" xfId="0" applyFont="1" applyBorder="1" applyAlignment="1">
      <alignment wrapText="1"/>
    </xf>
    <xf numFmtId="11" fontId="6" fillId="0" borderId="35" xfId="0" applyNumberFormat="1" applyFont="1" applyBorder="1"/>
    <xf numFmtId="0" fontId="0" fillId="0" borderId="36" xfId="0" applyBorder="1" applyAlignment="1">
      <alignment wrapText="1"/>
    </xf>
    <xf numFmtId="11" fontId="0" fillId="0" borderId="37" xfId="0" applyNumberFormat="1" applyBorder="1"/>
    <xf numFmtId="0" fontId="0" fillId="0" borderId="38" xfId="0" applyBorder="1" applyAlignment="1">
      <alignment wrapText="1"/>
    </xf>
    <xf numFmtId="11" fontId="0" fillId="0" borderId="40" xfId="0" applyNumberFormat="1" applyBorder="1"/>
    <xf numFmtId="0" fontId="7" fillId="0" borderId="39" xfId="0" applyFont="1" applyBorder="1"/>
    <xf numFmtId="0" fontId="0" fillId="0" borderId="10" xfId="0" applyBorder="1" applyAlignment="1">
      <alignment wrapText="1"/>
    </xf>
    <xf numFmtId="0" fontId="0" fillId="0" borderId="41" xfId="0" applyBorder="1"/>
    <xf numFmtId="0" fontId="0" fillId="0" borderId="16" xfId="0" applyBorder="1"/>
    <xf numFmtId="0" fontId="2" fillId="0" borderId="16" xfId="0" applyFont="1" applyBorder="1"/>
    <xf numFmtId="0" fontId="0" fillId="0" borderId="37" xfId="0" applyBorder="1"/>
    <xf numFmtId="0" fontId="2" fillId="0" borderId="30" xfId="0" applyFont="1" applyBorder="1" applyAlignment="1">
      <alignment wrapText="1"/>
    </xf>
    <xf numFmtId="0" fontId="2" fillId="0" borderId="36" xfId="0" applyFont="1" applyBorder="1" applyAlignment="1">
      <alignment wrapText="1"/>
    </xf>
    <xf numFmtId="2" fontId="0" fillId="0" borderId="10" xfId="0" applyNumberFormat="1" applyBorder="1" applyAlignment="1">
      <alignment horizontal="center"/>
    </xf>
    <xf numFmtId="0" fontId="0" fillId="0" borderId="42" xfId="0" applyBorder="1" applyAlignment="1">
      <alignment wrapText="1"/>
    </xf>
    <xf numFmtId="1" fontId="7" fillId="0" borderId="43" xfId="0" applyNumberFormat="1" applyFont="1" applyBorder="1"/>
    <xf numFmtId="11" fontId="0" fillId="0" borderId="44" xfId="0" applyNumberFormat="1" applyBorder="1"/>
    <xf numFmtId="2" fontId="0" fillId="0" borderId="16" xfId="0" applyNumberFormat="1" applyBorder="1"/>
    <xf numFmtId="1" fontId="11" fillId="0" borderId="39" xfId="0" applyNumberFormat="1" applyFont="1" applyBorder="1"/>
    <xf numFmtId="0" fontId="11" fillId="0" borderId="31" xfId="0" applyFont="1" applyBorder="1"/>
    <xf numFmtId="0" fontId="11" fillId="0" borderId="16" xfId="0" applyFont="1" applyBorder="1"/>
    <xf numFmtId="0" fontId="0" fillId="0" borderId="0" xfId="0" applyAlignment="1">
      <alignment wrapText="1"/>
    </xf>
    <xf numFmtId="1" fontId="7" fillId="0" borderId="0" xfId="0" applyNumberFormat="1" applyFont="1"/>
    <xf numFmtId="0" fontId="2" fillId="2" borderId="12" xfId="0" applyFont="1" applyFill="1" applyBorder="1"/>
    <xf numFmtId="0" fontId="0" fillId="0" borderId="45" xfId="0" applyBorder="1"/>
    <xf numFmtId="2" fontId="0" fillId="0" borderId="29" xfId="0" applyNumberFormat="1" applyBorder="1"/>
    <xf numFmtId="0" fontId="0" fillId="0" borderId="28" xfId="0" applyBorder="1"/>
    <xf numFmtId="0" fontId="0" fillId="0" borderId="30" xfId="0" applyBorder="1"/>
    <xf numFmtId="2" fontId="0" fillId="0" borderId="32" xfId="0" applyNumberFormat="1" applyBorder="1"/>
    <xf numFmtId="2" fontId="0" fillId="0" borderId="46" xfId="0" applyNumberFormat="1" applyBorder="1"/>
    <xf numFmtId="0" fontId="0" fillId="0" borderId="48" xfId="0" applyBorder="1"/>
    <xf numFmtId="2" fontId="0" fillId="0" borderId="27" xfId="0" applyNumberFormat="1" applyBorder="1"/>
    <xf numFmtId="0" fontId="2" fillId="0" borderId="1" xfId="0" applyFont="1" applyBorder="1"/>
    <xf numFmtId="0" fontId="0" fillId="0" borderId="25" xfId="0" applyBorder="1" applyAlignment="1">
      <alignment wrapText="1"/>
    </xf>
    <xf numFmtId="0" fontId="6" fillId="0" borderId="47" xfId="0" applyFont="1" applyBorder="1"/>
    <xf numFmtId="0" fontId="2" fillId="0" borderId="0" xfId="0" applyFont="1" applyAlignment="1">
      <alignment wrapText="1"/>
    </xf>
    <xf numFmtId="0" fontId="0" fillId="0" borderId="49" xfId="0" applyBorder="1"/>
    <xf numFmtId="0" fontId="0" fillId="0" borderId="50" xfId="0" applyBorder="1"/>
    <xf numFmtId="0" fontId="0" fillId="0" borderId="52" xfId="0" applyBorder="1"/>
    <xf numFmtId="0" fontId="7" fillId="0" borderId="43" xfId="0" applyFont="1" applyBorder="1"/>
    <xf numFmtId="0" fontId="7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wrapText="1"/>
    </xf>
    <xf numFmtId="0" fontId="2" fillId="0" borderId="3" xfId="0" applyFont="1" applyBorder="1"/>
    <xf numFmtId="0" fontId="0" fillId="0" borderId="2" xfId="0" applyBorder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5" xfId="0" applyFont="1" applyFill="1" applyBorder="1" applyAlignment="1">
      <alignment wrapText="1"/>
    </xf>
    <xf numFmtId="0" fontId="4" fillId="0" borderId="10" xfId="0" applyFont="1" applyBorder="1" applyAlignment="1">
      <alignment wrapText="1"/>
    </xf>
    <xf numFmtId="0" fontId="2" fillId="0" borderId="55" xfId="0" applyFont="1" applyBorder="1" applyAlignment="1">
      <alignment wrapText="1"/>
    </xf>
    <xf numFmtId="0" fontId="2" fillId="0" borderId="5" xfId="0" applyFont="1" applyBorder="1" applyAlignment="1">
      <alignment wrapText="1"/>
    </xf>
    <xf numFmtId="2" fontId="3" fillId="0" borderId="10" xfId="0" applyNumberFormat="1" applyFont="1" applyBorder="1" applyAlignment="1">
      <alignment horizontal="center"/>
    </xf>
    <xf numFmtId="0" fontId="0" fillId="3" borderId="10" xfId="0" applyFill="1" applyBorder="1"/>
    <xf numFmtId="0" fontId="0" fillId="3" borderId="0" xfId="0" applyFill="1"/>
    <xf numFmtId="2" fontId="0" fillId="0" borderId="0" xfId="0" applyNumberFormat="1" applyAlignment="1">
      <alignment horizontal="center"/>
    </xf>
    <xf numFmtId="167" fontId="0" fillId="0" borderId="0" xfId="0" applyNumberFormat="1"/>
    <xf numFmtId="2" fontId="0" fillId="0" borderId="11" xfId="0" applyNumberFormat="1" applyBorder="1"/>
    <xf numFmtId="2" fontId="0" fillId="0" borderId="14" xfId="0" applyNumberFormat="1" applyBorder="1"/>
    <xf numFmtId="2" fontId="0" fillId="0" borderId="56" xfId="0" applyNumberFormat="1" applyBorder="1"/>
    <xf numFmtId="0" fontId="3" fillId="0" borderId="9" xfId="0" applyFont="1" applyBorder="1"/>
    <xf numFmtId="2" fontId="3" fillId="0" borderId="0" xfId="0" applyNumberFormat="1" applyFont="1" applyAlignment="1">
      <alignment horizontal="center"/>
    </xf>
    <xf numFmtId="2" fontId="7" fillId="0" borderId="16" xfId="0" applyNumberFormat="1" applyFont="1" applyBorder="1"/>
    <xf numFmtId="0" fontId="6" fillId="0" borderId="0" xfId="0" applyFont="1" applyAlignment="1">
      <alignment wrapText="1"/>
    </xf>
    <xf numFmtId="11" fontId="6" fillId="0" borderId="0" xfId="0" applyNumberFormat="1" applyFont="1"/>
    <xf numFmtId="11" fontId="0" fillId="0" borderId="57" xfId="0" applyNumberFormat="1" applyBorder="1"/>
    <xf numFmtId="0" fontId="2" fillId="0" borderId="25" xfId="0" applyFont="1" applyBorder="1" applyAlignment="1">
      <alignment wrapText="1"/>
    </xf>
    <xf numFmtId="0" fontId="2" fillId="0" borderId="26" xfId="0" applyFont="1" applyBorder="1" applyAlignment="1">
      <alignment wrapText="1"/>
    </xf>
    <xf numFmtId="0" fontId="2" fillId="0" borderId="27" xfId="0" applyFont="1" applyBorder="1" applyAlignment="1">
      <alignment wrapText="1"/>
    </xf>
    <xf numFmtId="0" fontId="3" fillId="0" borderId="28" xfId="0" applyFont="1" applyBorder="1"/>
    <xf numFmtId="0" fontId="2" fillId="0" borderId="30" xfId="0" applyFont="1" applyBorder="1"/>
    <xf numFmtId="0" fontId="7" fillId="0" borderId="31" xfId="0" applyFont="1" applyBorder="1"/>
    <xf numFmtId="0" fontId="2" fillId="0" borderId="6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2" fillId="2" borderId="15" xfId="0" applyFont="1" applyFill="1" applyBorder="1"/>
    <xf numFmtId="0" fontId="2" fillId="2" borderId="23" xfId="0" applyFont="1" applyFill="1" applyBorder="1"/>
    <xf numFmtId="0" fontId="2" fillId="2" borderId="24" xfId="0" applyFont="1" applyFill="1" applyBorder="1"/>
    <xf numFmtId="164" fontId="7" fillId="0" borderId="16" xfId="0" applyNumberFormat="1" applyFont="1" applyBorder="1" applyAlignment="1">
      <alignment horizontal="center"/>
    </xf>
    <xf numFmtId="0" fontId="2" fillId="2" borderId="7" xfId="0" applyFont="1" applyFill="1" applyBorder="1" applyAlignment="1">
      <alignment wrapText="1"/>
    </xf>
    <xf numFmtId="0" fontId="2" fillId="4" borderId="23" xfId="0" applyFont="1" applyFill="1" applyBorder="1"/>
    <xf numFmtId="168" fontId="3" fillId="0" borderId="0" xfId="0" applyNumberFormat="1" applyFont="1" applyAlignment="1">
      <alignment horizontal="center"/>
    </xf>
    <xf numFmtId="169" fontId="0" fillId="0" borderId="0" xfId="0" applyNumberFormat="1"/>
    <xf numFmtId="170" fontId="0" fillId="0" borderId="0" xfId="0" applyNumberFormat="1"/>
    <xf numFmtId="0" fontId="16" fillId="0" borderId="0" xfId="0" applyFont="1"/>
    <xf numFmtId="0" fontId="17" fillId="0" borderId="0" xfId="0" applyFont="1" applyAlignment="1">
      <alignment wrapText="1"/>
    </xf>
    <xf numFmtId="2" fontId="11" fillId="0" borderId="43" xfId="0" applyNumberFormat="1" applyFont="1" applyBorder="1"/>
    <xf numFmtId="2" fontId="7" fillId="0" borderId="16" xfId="0" applyNumberFormat="1" applyFont="1" applyBorder="1" applyAlignment="1">
      <alignment horizontal="center"/>
    </xf>
    <xf numFmtId="0" fontId="0" fillId="0" borderId="58" xfId="0" applyBorder="1"/>
    <xf numFmtId="2" fontId="0" fillId="0" borderId="57" xfId="0" applyNumberFormat="1" applyBorder="1"/>
    <xf numFmtId="0" fontId="18" fillId="0" borderId="53" xfId="0" applyFont="1" applyBorder="1"/>
    <xf numFmtId="2" fontId="6" fillId="0" borderId="59" xfId="0" applyNumberFormat="1" applyFont="1" applyBorder="1"/>
    <xf numFmtId="0" fontId="19" fillId="0" borderId="0" xfId="0" applyFont="1"/>
    <xf numFmtId="2" fontId="6" fillId="0" borderId="48" xfId="0" applyNumberFormat="1" applyFont="1" applyBorder="1"/>
    <xf numFmtId="0" fontId="3" fillId="0" borderId="1" xfId="0" applyFont="1" applyBorder="1"/>
    <xf numFmtId="0" fontId="5" fillId="0" borderId="0" xfId="0" applyFont="1"/>
    <xf numFmtId="2" fontId="5" fillId="0" borderId="0" xfId="0" applyNumberFormat="1" applyFont="1"/>
    <xf numFmtId="0" fontId="5" fillId="0" borderId="0" xfId="0" applyFont="1" applyAlignment="1">
      <alignment horizontal="center"/>
    </xf>
    <xf numFmtId="11" fontId="6" fillId="0" borderId="62" xfId="0" applyNumberFormat="1" applyFont="1" applyBorder="1"/>
    <xf numFmtId="11" fontId="0" fillId="0" borderId="56" xfId="0" applyNumberFormat="1" applyBorder="1"/>
    <xf numFmtId="11" fontId="0" fillId="0" borderId="60" xfId="0" applyNumberFormat="1" applyBorder="1"/>
    <xf numFmtId="11" fontId="0" fillId="0" borderId="63" xfId="0" applyNumberFormat="1" applyBorder="1"/>
    <xf numFmtId="11" fontId="6" fillId="0" borderId="64" xfId="0" applyNumberFormat="1" applyFont="1" applyBorder="1"/>
    <xf numFmtId="0" fontId="6" fillId="0" borderId="65" xfId="0" applyFont="1" applyBorder="1" applyAlignment="1">
      <alignment wrapText="1"/>
    </xf>
    <xf numFmtId="0" fontId="0" fillId="0" borderId="45" xfId="0" applyBorder="1" applyAlignment="1">
      <alignment wrapText="1"/>
    </xf>
    <xf numFmtId="0" fontId="0" fillId="0" borderId="29" xfId="0" applyBorder="1"/>
    <xf numFmtId="2" fontId="11" fillId="0" borderId="31" xfId="0" applyNumberFormat="1" applyFont="1" applyBorder="1" applyAlignment="1">
      <alignment horizontal="center"/>
    </xf>
    <xf numFmtId="0" fontId="0" fillId="0" borderId="66" xfId="0" applyBorder="1"/>
    <xf numFmtId="0" fontId="2" fillId="0" borderId="67" xfId="0" applyFont="1" applyBorder="1" applyAlignment="1">
      <alignment wrapText="1"/>
    </xf>
    <xf numFmtId="0" fontId="11" fillId="0" borderId="31" xfId="0" applyFont="1" applyBorder="1" applyAlignment="1">
      <alignment horizontal="center"/>
    </xf>
    <xf numFmtId="0" fontId="0" fillId="0" borderId="32" xfId="0" applyBorder="1"/>
    <xf numFmtId="0" fontId="3" fillId="0" borderId="68" xfId="0" applyFont="1" applyBorder="1"/>
    <xf numFmtId="0" fontId="0" fillId="0" borderId="68" xfId="0" applyBorder="1"/>
    <xf numFmtId="0" fontId="4" fillId="0" borderId="68" xfId="0" applyFont="1" applyBorder="1"/>
    <xf numFmtId="0" fontId="6" fillId="0" borderId="0" xfId="0" applyFont="1" applyAlignment="1">
      <alignment horizontal="center"/>
    </xf>
    <xf numFmtId="1" fontId="0" fillId="0" borderId="0" xfId="0" applyNumberFormat="1"/>
    <xf numFmtId="166" fontId="0" fillId="0" borderId="10" xfId="0" applyNumberFormat="1" applyBorder="1" applyAlignment="1">
      <alignment horizontal="center"/>
    </xf>
    <xf numFmtId="167" fontId="0" fillId="2" borderId="10" xfId="0" applyNumberForma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69" xfId="0" applyBorder="1"/>
    <xf numFmtId="0" fontId="0" fillId="0" borderId="11" xfId="0" applyBorder="1"/>
    <xf numFmtId="0" fontId="0" fillId="0" borderId="61" xfId="0" applyBorder="1"/>
    <xf numFmtId="166" fontId="0" fillId="2" borderId="10" xfId="0" applyNumberFormat="1" applyFill="1" applyBorder="1" applyAlignment="1">
      <alignment horizontal="center"/>
    </xf>
    <xf numFmtId="0" fontId="2" fillId="2" borderId="16" xfId="0" applyFont="1" applyFill="1" applyBorder="1"/>
    <xf numFmtId="0" fontId="0" fillId="2" borderId="16" xfId="0" applyFill="1" applyBorder="1" applyAlignment="1">
      <alignment horizontal="center"/>
    </xf>
    <xf numFmtId="0" fontId="2" fillId="2" borderId="25" xfId="0" applyFont="1" applyFill="1" applyBorder="1"/>
    <xf numFmtId="0" fontId="2" fillId="2" borderId="26" xfId="0" applyFont="1" applyFill="1" applyBorder="1"/>
    <xf numFmtId="0" fontId="0" fillId="0" borderId="26" xfId="0" applyBorder="1"/>
    <xf numFmtId="0" fontId="0" fillId="0" borderId="27" xfId="0" applyBorder="1"/>
    <xf numFmtId="0" fontId="2" fillId="0" borderId="28" xfId="0" applyFont="1" applyBorder="1"/>
    <xf numFmtId="0" fontId="2" fillId="0" borderId="29" xfId="0" applyFont="1" applyBorder="1"/>
    <xf numFmtId="0" fontId="0" fillId="2" borderId="31" xfId="0" applyFill="1" applyBorder="1" applyAlignment="1">
      <alignment horizontal="center"/>
    </xf>
    <xf numFmtId="0" fontId="0" fillId="0" borderId="31" xfId="0" applyBorder="1"/>
    <xf numFmtId="0" fontId="2" fillId="2" borderId="71" xfId="0" applyFont="1" applyFill="1" applyBorder="1"/>
    <xf numFmtId="0" fontId="2" fillId="2" borderId="72" xfId="0" applyFont="1" applyFill="1" applyBorder="1" applyAlignment="1">
      <alignment horizontal="center"/>
    </xf>
    <xf numFmtId="0" fontId="2" fillId="2" borderId="72" xfId="0" applyFont="1" applyFill="1" applyBorder="1"/>
    <xf numFmtId="0" fontId="2" fillId="2" borderId="19" xfId="0" applyFont="1" applyFill="1" applyBorder="1"/>
    <xf numFmtId="0" fontId="2" fillId="2" borderId="73" xfId="0" applyFont="1" applyFill="1" applyBorder="1"/>
    <xf numFmtId="0" fontId="2" fillId="0" borderId="74" xfId="0" applyFont="1" applyBorder="1"/>
    <xf numFmtId="0" fontId="0" fillId="0" borderId="74" xfId="0" applyBorder="1"/>
    <xf numFmtId="0" fontId="0" fillId="0" borderId="75" xfId="0" applyBorder="1"/>
    <xf numFmtId="0" fontId="0" fillId="2" borderId="76" xfId="0" applyFill="1" applyBorder="1"/>
    <xf numFmtId="0" fontId="0" fillId="0" borderId="76" xfId="0" applyBorder="1"/>
    <xf numFmtId="0" fontId="0" fillId="0" borderId="77" xfId="0" applyBorder="1"/>
    <xf numFmtId="167" fontId="0" fillId="0" borderId="0" xfId="0" applyNumberFormat="1" applyAlignment="1">
      <alignment horizontal="center"/>
    </xf>
    <xf numFmtId="0" fontId="2" fillId="0" borderId="56" xfId="0" applyFont="1" applyBorder="1"/>
    <xf numFmtId="0" fontId="0" fillId="0" borderId="56" xfId="0" applyBorder="1"/>
    <xf numFmtId="0" fontId="0" fillId="0" borderId="12" xfId="0" applyBorder="1"/>
    <xf numFmtId="0" fontId="2" fillId="0" borderId="50" xfId="0" applyFont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2" fillId="0" borderId="28" xfId="0" applyFont="1" applyBorder="1" applyAlignment="1">
      <alignment wrapText="1"/>
    </xf>
    <xf numFmtId="0" fontId="0" fillId="0" borderId="30" xfId="0" applyBorder="1" applyAlignment="1">
      <alignment wrapText="1"/>
    </xf>
    <xf numFmtId="0" fontId="0" fillId="2" borderId="43" xfId="0" applyFill="1" applyBorder="1" applyAlignment="1">
      <alignment horizontal="center"/>
    </xf>
    <xf numFmtId="0" fontId="2" fillId="2" borderId="28" xfId="0" applyFont="1" applyFill="1" applyBorder="1"/>
    <xf numFmtId="0" fontId="2" fillId="2" borderId="29" xfId="0" applyFont="1" applyFill="1" applyBorder="1"/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2" fillId="0" borderId="18" xfId="0" applyFont="1" applyBorder="1"/>
    <xf numFmtId="0" fontId="2" fillId="0" borderId="19" xfId="0" applyFont="1" applyBorder="1"/>
    <xf numFmtId="2" fontId="3" fillId="5" borderId="0" xfId="0" applyNumberFormat="1" applyFont="1" applyFill="1" applyAlignment="1">
      <alignment horizontal="center"/>
    </xf>
    <xf numFmtId="0" fontId="0" fillId="0" borderId="14" xfId="0" applyBorder="1"/>
    <xf numFmtId="0" fontId="2" fillId="0" borderId="13" xfId="0" applyFont="1" applyBorder="1"/>
    <xf numFmtId="0" fontId="0" fillId="6" borderId="11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0" fillId="0" borderId="78" xfId="0" applyBorder="1"/>
    <xf numFmtId="0" fontId="0" fillId="0" borderId="70" xfId="0" applyBorder="1"/>
    <xf numFmtId="0" fontId="0" fillId="0" borderId="41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10" xfId="0" applyFill="1" applyBorder="1"/>
    <xf numFmtId="0" fontId="0" fillId="6" borderId="10" xfId="0" applyFill="1" applyBorder="1" applyAlignment="1">
      <alignment horizontal="center"/>
    </xf>
    <xf numFmtId="167" fontId="0" fillId="6" borderId="10" xfId="0" applyNumberFormat="1" applyFill="1" applyBorder="1" applyAlignment="1">
      <alignment horizontal="center"/>
    </xf>
    <xf numFmtId="166" fontId="0" fillId="6" borderId="10" xfId="0" applyNumberFormat="1" applyFill="1" applyBorder="1" applyAlignment="1">
      <alignment horizontal="center"/>
    </xf>
    <xf numFmtId="0" fontId="0" fillId="6" borderId="11" xfId="0" applyFill="1" applyBorder="1"/>
    <xf numFmtId="0" fontId="0" fillId="6" borderId="45" xfId="0" applyFill="1" applyBorder="1"/>
    <xf numFmtId="0" fontId="0" fillId="6" borderId="74" xfId="0" applyFill="1" applyBorder="1"/>
    <xf numFmtId="0" fontId="0" fillId="6" borderId="28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1" xfId="0" applyFill="1" applyBorder="1"/>
    <xf numFmtId="166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7" fontId="0" fillId="6" borderId="1" xfId="0" applyNumberFormat="1" applyFill="1" applyBorder="1" applyAlignment="1">
      <alignment horizontal="center"/>
    </xf>
    <xf numFmtId="0" fontId="0" fillId="6" borderId="41" xfId="0" applyFill="1" applyBorder="1"/>
    <xf numFmtId="0" fontId="2" fillId="2" borderId="79" xfId="0" applyFont="1" applyFill="1" applyBorder="1"/>
    <xf numFmtId="0" fontId="4" fillId="0" borderId="16" xfId="0" applyFont="1" applyBorder="1" applyAlignment="1">
      <alignment wrapText="1"/>
    </xf>
    <xf numFmtId="2" fontId="3" fillId="0" borderId="16" xfId="0" applyNumberFormat="1" applyFont="1" applyBorder="1" applyAlignment="1">
      <alignment horizontal="center"/>
    </xf>
    <xf numFmtId="0" fontId="6" fillId="0" borderId="80" xfId="0" applyFont="1" applyBorder="1" applyAlignment="1">
      <alignment wrapText="1"/>
    </xf>
    <xf numFmtId="0" fontId="0" fillId="7" borderId="10" xfId="0" applyFill="1" applyBorder="1"/>
    <xf numFmtId="0" fontId="0" fillId="7" borderId="1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1" xfId="0" applyFill="1" applyBorder="1"/>
    <xf numFmtId="0" fontId="0" fillId="7" borderId="3" xfId="0" applyFill="1" applyBorder="1"/>
    <xf numFmtId="0" fontId="0" fillId="7" borderId="2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167" fontId="0" fillId="7" borderId="10" xfId="0" applyNumberFormat="1" applyFill="1" applyBorder="1" applyAlignment="1">
      <alignment horizontal="center"/>
    </xf>
    <xf numFmtId="166" fontId="0" fillId="7" borderId="10" xfId="0" applyNumberFormat="1" applyFill="1" applyBorder="1" applyAlignment="1">
      <alignment horizontal="center"/>
    </xf>
    <xf numFmtId="0" fontId="0" fillId="7" borderId="74" xfId="0" applyFill="1" applyBorder="1"/>
    <xf numFmtId="0" fontId="0" fillId="7" borderId="8" xfId="0" applyFill="1" applyBorder="1"/>
    <xf numFmtId="0" fontId="0" fillId="7" borderId="10" xfId="0" applyFill="1" applyBorder="1" applyAlignment="1">
      <alignment horizontal="center" vertical="center"/>
    </xf>
    <xf numFmtId="0" fontId="2" fillId="0" borderId="51" xfId="0" applyFont="1" applyBorder="1"/>
    <xf numFmtId="2" fontId="0" fillId="0" borderId="50" xfId="0" applyNumberFormat="1" applyBorder="1"/>
    <xf numFmtId="0" fontId="2" fillId="7" borderId="3" xfId="0" applyFont="1" applyFill="1" applyBorder="1"/>
    <xf numFmtId="0" fontId="0" fillId="7" borderId="12" xfId="0" applyFill="1" applyBorder="1" applyAlignment="1">
      <alignment horizontal="center"/>
    </xf>
    <xf numFmtId="0" fontId="0" fillId="7" borderId="12" xfId="0" applyFill="1" applyBorder="1"/>
    <xf numFmtId="0" fontId="3" fillId="7" borderId="10" xfId="0" applyFont="1" applyFill="1" applyBorder="1"/>
    <xf numFmtId="0" fontId="3" fillId="7" borderId="10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2" fontId="3" fillId="7" borderId="0" xfId="0" applyNumberFormat="1" applyFont="1" applyFill="1" applyAlignment="1">
      <alignment horizontal="center"/>
    </xf>
    <xf numFmtId="2" fontId="3" fillId="7" borderId="10" xfId="0" applyNumberFormat="1" applyFont="1" applyFill="1" applyBorder="1" applyAlignment="1">
      <alignment horizontal="center"/>
    </xf>
    <xf numFmtId="2" fontId="3" fillId="7" borderId="16" xfId="0" applyNumberFormat="1" applyFont="1" applyFill="1" applyBorder="1" applyAlignment="1">
      <alignment horizontal="center"/>
    </xf>
    <xf numFmtId="0" fontId="0" fillId="7" borderId="2" xfId="0" applyFill="1" applyBorder="1"/>
    <xf numFmtId="0" fontId="0" fillId="7" borderId="1" xfId="0" applyFill="1" applyBorder="1"/>
    <xf numFmtId="0" fontId="0" fillId="7" borderId="14" xfId="0" applyFill="1" applyBorder="1"/>
    <xf numFmtId="0" fontId="0" fillId="7" borderId="61" xfId="0" applyFill="1" applyBorder="1"/>
    <xf numFmtId="0" fontId="3" fillId="7" borderId="1" xfId="0" applyFont="1" applyFill="1" applyBorder="1"/>
    <xf numFmtId="168" fontId="3" fillId="7" borderId="0" xfId="0" applyNumberFormat="1" applyFont="1" applyFill="1" applyAlignment="1">
      <alignment horizontal="center"/>
    </xf>
    <xf numFmtId="0" fontId="0" fillId="0" borderId="16" xfId="0" applyBorder="1" applyAlignment="1">
      <alignment wrapText="1"/>
    </xf>
    <xf numFmtId="0" fontId="0" fillId="0" borderId="43" xfId="0" applyBorder="1"/>
    <xf numFmtId="0" fontId="0" fillId="0" borderId="57" xfId="0" applyBorder="1"/>
    <xf numFmtId="2" fontId="0" fillId="0" borderId="50" xfId="0" applyNumberFormat="1" applyBorder="1" applyAlignment="1">
      <alignment horizontal="center"/>
    </xf>
    <xf numFmtId="0" fontId="2" fillId="9" borderId="81" xfId="0" applyFont="1" applyFill="1" applyBorder="1" applyAlignment="1">
      <alignment wrapText="1"/>
    </xf>
    <xf numFmtId="0" fontId="0" fillId="9" borderId="82" xfId="0" applyFill="1" applyBorder="1"/>
    <xf numFmtId="2" fontId="0" fillId="9" borderId="82" xfId="0" applyNumberFormat="1" applyFill="1" applyBorder="1" applyAlignment="1">
      <alignment horizontal="center"/>
    </xf>
    <xf numFmtId="0" fontId="0" fillId="10" borderId="0" xfId="0" applyFill="1" applyAlignment="1">
      <alignment wrapText="1"/>
    </xf>
    <xf numFmtId="9" fontId="0" fillId="0" borderId="0" xfId="0" applyNumberFormat="1"/>
    <xf numFmtId="0" fontId="0" fillId="0" borderId="3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71" fontId="0" fillId="0" borderId="0" xfId="0" applyNumberFormat="1"/>
    <xf numFmtId="172" fontId="0" fillId="0" borderId="0" xfId="0" applyNumberFormat="1"/>
    <xf numFmtId="11" fontId="0" fillId="0" borderId="51" xfId="0" applyNumberFormat="1" applyBorder="1"/>
    <xf numFmtId="173" fontId="0" fillId="0" borderId="0" xfId="0" applyNumberFormat="1"/>
    <xf numFmtId="11" fontId="0" fillId="0" borderId="16" xfId="0" applyNumberFormat="1" applyBorder="1"/>
    <xf numFmtId="1" fontId="0" fillId="0" borderId="16" xfId="0" applyNumberFormat="1" applyBorder="1"/>
    <xf numFmtId="0" fontId="0" fillId="0" borderId="84" xfId="0" applyBorder="1" applyAlignment="1">
      <alignment wrapText="1"/>
    </xf>
    <xf numFmtId="0" fontId="0" fillId="0" borderId="85" xfId="0" applyBorder="1" applyAlignment="1">
      <alignment wrapText="1"/>
    </xf>
    <xf numFmtId="0" fontId="2" fillId="0" borderId="83" xfId="0" applyFont="1" applyBorder="1"/>
    <xf numFmtId="0" fontId="0" fillId="0" borderId="83" xfId="0" applyBorder="1"/>
    <xf numFmtId="0" fontId="0" fillId="10" borderId="83" xfId="0" applyFill="1" applyBorder="1"/>
    <xf numFmtId="0" fontId="6" fillId="0" borderId="86" xfId="0" applyFont="1" applyBorder="1" applyAlignment="1">
      <alignment wrapText="1"/>
    </xf>
    <xf numFmtId="11" fontId="17" fillId="0" borderId="16" xfId="0" applyNumberFormat="1" applyFont="1" applyBorder="1" applyAlignment="1">
      <alignment horizontal="center"/>
    </xf>
    <xf numFmtId="0" fontId="17" fillId="0" borderId="16" xfId="0" applyFont="1" applyBorder="1" applyAlignment="1">
      <alignment horizontal="center" wrapText="1"/>
    </xf>
    <xf numFmtId="11" fontId="0" fillId="0" borderId="16" xfId="0" applyNumberFormat="1" applyBorder="1" applyAlignment="1">
      <alignment horizontal="center"/>
    </xf>
    <xf numFmtId="0" fontId="7" fillId="0" borderId="16" xfId="0" applyFont="1" applyBorder="1" applyAlignment="1">
      <alignment horizontal="right"/>
    </xf>
    <xf numFmtId="0" fontId="17" fillId="0" borderId="28" xfId="0" applyFont="1" applyBorder="1" applyAlignment="1">
      <alignment wrapText="1"/>
    </xf>
    <xf numFmtId="11" fontId="17" fillId="0" borderId="29" xfId="0" applyNumberFormat="1" applyFont="1" applyBorder="1" applyAlignment="1">
      <alignment horizontal="center"/>
    </xf>
    <xf numFmtId="0" fontId="0" fillId="0" borderId="29" xfId="0" applyBorder="1" applyAlignment="1">
      <alignment horizontal="center"/>
    </xf>
    <xf numFmtId="11" fontId="0" fillId="0" borderId="31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87" xfId="0" applyBorder="1" applyAlignment="1">
      <alignment wrapText="1"/>
    </xf>
    <xf numFmtId="0" fontId="7" fillId="0" borderId="88" xfId="0" applyFont="1" applyBorder="1"/>
    <xf numFmtId="11" fontId="0" fillId="0" borderId="89" xfId="0" applyNumberFormat="1" applyBorder="1"/>
    <xf numFmtId="0" fontId="0" fillId="0" borderId="90" xfId="0" applyBorder="1" applyAlignment="1">
      <alignment wrapText="1"/>
    </xf>
    <xf numFmtId="0" fontId="7" fillId="0" borderId="91" xfId="0" applyFont="1" applyBorder="1"/>
    <xf numFmtId="11" fontId="0" fillId="0" borderId="92" xfId="0" applyNumberFormat="1" applyBorder="1"/>
    <xf numFmtId="0" fontId="6" fillId="0" borderId="95" xfId="0" applyFont="1" applyBorder="1" applyAlignment="1">
      <alignment wrapText="1"/>
    </xf>
    <xf numFmtId="11" fontId="6" fillId="0" borderId="96" xfId="0" applyNumberFormat="1" applyFont="1" applyBorder="1"/>
    <xf numFmtId="0" fontId="20" fillId="0" borderId="10" xfId="0" applyFont="1" applyBorder="1"/>
    <xf numFmtId="0" fontId="20" fillId="0" borderId="45" xfId="0" applyFont="1" applyBorder="1"/>
    <xf numFmtId="0" fontId="2" fillId="0" borderId="68" xfId="0" applyFont="1" applyBorder="1"/>
    <xf numFmtId="0" fontId="2" fillId="0" borderId="47" xfId="0" applyFont="1" applyBorder="1"/>
    <xf numFmtId="0" fontId="0" fillId="0" borderId="54" xfId="0" applyBorder="1"/>
    <xf numFmtId="167" fontId="0" fillId="8" borderId="82" xfId="0" applyNumberFormat="1" applyFill="1" applyBorder="1" applyAlignment="1">
      <alignment horizontal="center"/>
    </xf>
    <xf numFmtId="167" fontId="0" fillId="0" borderId="97" xfId="0" applyNumberFormat="1" applyBorder="1" applyAlignment="1">
      <alignment horizontal="center"/>
    </xf>
    <xf numFmtId="0" fontId="2" fillId="0" borderId="98" xfId="0" applyFont="1" applyBorder="1"/>
    <xf numFmtId="0" fontId="2" fillId="0" borderId="97" xfId="0" applyFont="1" applyBorder="1"/>
    <xf numFmtId="0" fontId="0" fillId="0" borderId="97" xfId="0" applyBorder="1"/>
    <xf numFmtId="0" fontId="0" fillId="10" borderId="97" xfId="0" applyFill="1" applyBorder="1"/>
    <xf numFmtId="11" fontId="2" fillId="0" borderId="0" xfId="0" applyNumberFormat="1" applyFont="1" applyAlignment="1">
      <alignment horizontal="center"/>
    </xf>
    <xf numFmtId="11" fontId="2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20" xfId="0" applyFont="1" applyBorder="1"/>
    <xf numFmtId="0" fontId="2" fillId="9" borderId="17" xfId="0" applyFont="1" applyFill="1" applyBorder="1" applyAlignment="1">
      <alignment wrapText="1"/>
    </xf>
    <xf numFmtId="0" fontId="0" fillId="9" borderId="97" xfId="0" applyFill="1" applyBorder="1"/>
    <xf numFmtId="0" fontId="21" fillId="0" borderId="41" xfId="0" applyFont="1" applyBorder="1"/>
    <xf numFmtId="0" fontId="22" fillId="0" borderId="16" xfId="0" applyFont="1" applyBorder="1"/>
    <xf numFmtId="11" fontId="21" fillId="0" borderId="29" xfId="0" applyNumberFormat="1" applyFont="1" applyBorder="1"/>
    <xf numFmtId="0" fontId="21" fillId="0" borderId="16" xfId="0" applyFont="1" applyBorder="1"/>
    <xf numFmtId="0" fontId="0" fillId="0" borderId="100" xfId="0" applyBorder="1"/>
    <xf numFmtId="0" fontId="0" fillId="0" borderId="101" xfId="0" applyBorder="1"/>
    <xf numFmtId="2" fontId="0" fillId="9" borderId="99" xfId="0" applyNumberFormat="1" applyFill="1" applyBorder="1" applyAlignment="1">
      <alignment horizontal="center"/>
    </xf>
    <xf numFmtId="0" fontId="2" fillId="0" borderId="17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47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71" xfId="0" applyFont="1" applyBorder="1" applyAlignment="1">
      <alignment horizontal="center"/>
    </xf>
    <xf numFmtId="0" fontId="2" fillId="0" borderId="93" xfId="0" applyFont="1" applyBorder="1" applyAlignment="1">
      <alignment horizontal="center"/>
    </xf>
    <xf numFmtId="0" fontId="2" fillId="0" borderId="94" xfId="0" applyFont="1" applyBorder="1" applyAlignment="1">
      <alignment horizontal="center"/>
    </xf>
    <xf numFmtId="0" fontId="2" fillId="0" borderId="25" xfId="0" applyFont="1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0" borderId="41" xfId="0" applyFont="1" applyBorder="1"/>
    <xf numFmtId="11" fontId="0" fillId="0" borderId="29" xfId="0" applyNumberFormat="1" applyFont="1" applyBorder="1"/>
  </cellXfs>
  <cellStyles count="2">
    <cellStyle name="Normal" xfId="0" builtinId="0"/>
    <cellStyle name="Percent" xfId="1" builtinId="5"/>
  </cellStyles>
  <dxfs count="20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2D5F7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0</xdr:colOff>
      <xdr:row>13</xdr:row>
      <xdr:rowOff>0</xdr:rowOff>
    </xdr:from>
    <xdr:to>
      <xdr:col>67</xdr:col>
      <xdr:colOff>304802</xdr:colOff>
      <xdr:row>19</xdr:row>
      <xdr:rowOff>53340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310F25-14EB-6AA4-1DF4-58D730E9D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07325" y="2943225"/>
          <a:ext cx="4572000" cy="2457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F9C70-A97E-4BFF-BAAD-D84DFF09536A}">
  <dimension ref="B30:D32"/>
  <sheetViews>
    <sheetView topLeftCell="A28" zoomScale="107" workbookViewId="0">
      <selection activeCell="I34" sqref="I34"/>
    </sheetView>
  </sheetViews>
  <sheetFormatPr defaultRowHeight="14.4" x14ac:dyDescent="0.3"/>
  <cols>
    <col min="2" max="2" width="22.5546875" customWidth="1"/>
  </cols>
  <sheetData>
    <row r="30" spans="2:4" x14ac:dyDescent="0.3">
      <c r="B30" t="s">
        <v>407</v>
      </c>
      <c r="C30">
        <v>4</v>
      </c>
      <c r="D30" t="s">
        <v>280</v>
      </c>
    </row>
    <row r="31" spans="2:4" x14ac:dyDescent="0.3">
      <c r="B31" t="s">
        <v>406</v>
      </c>
      <c r="C31">
        <v>450</v>
      </c>
      <c r="D31" t="s">
        <v>37</v>
      </c>
    </row>
    <row r="32" spans="2:4" x14ac:dyDescent="0.3">
      <c r="B32" t="s">
        <v>405</v>
      </c>
      <c r="C32">
        <f>C31/(C30*1440)</f>
        <v>7.8125E-2</v>
      </c>
      <c r="D32" t="s">
        <v>281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4F07E-D075-47AB-BD53-1EF8FC287855}">
  <sheetPr>
    <tabColor theme="9" tint="0.39997558519241921"/>
    <pageSetUpPr fitToPage="1"/>
  </sheetPr>
  <dimension ref="A1:T63"/>
  <sheetViews>
    <sheetView topLeftCell="D1" workbookViewId="0">
      <selection activeCell="G19" sqref="G19"/>
    </sheetView>
  </sheetViews>
  <sheetFormatPr defaultRowHeight="14.4" x14ac:dyDescent="0.3"/>
  <cols>
    <col min="2" max="2" width="18.44140625" customWidth="1"/>
    <col min="3" max="4" width="16.44140625" customWidth="1"/>
    <col min="6" max="6" width="33.88671875" customWidth="1"/>
    <col min="7" max="7" width="24" customWidth="1"/>
    <col min="8" max="8" width="14.109375" customWidth="1"/>
    <col min="9" max="9" width="29.88671875" customWidth="1"/>
    <col min="10" max="10" width="22.88671875" customWidth="1"/>
    <col min="11" max="11" width="11.88671875" bestFit="1" customWidth="1"/>
    <col min="12" max="12" width="26.6640625" customWidth="1"/>
    <col min="13" max="13" width="11.109375" customWidth="1"/>
    <col min="14" max="14" width="12.109375" customWidth="1"/>
    <col min="19" max="19" width="10.33203125" customWidth="1"/>
  </cols>
  <sheetData>
    <row r="1" spans="2:20" ht="15" thickBot="1" x14ac:dyDescent="0.35">
      <c r="F1" t="s">
        <v>364</v>
      </c>
      <c r="I1" s="1"/>
      <c r="J1" s="1"/>
      <c r="K1" s="2"/>
    </row>
    <row r="2" spans="2:20" ht="15" thickBot="1" x14ac:dyDescent="0.35">
      <c r="F2" s="7" t="s">
        <v>316</v>
      </c>
      <c r="I2" s="42" t="s">
        <v>1</v>
      </c>
      <c r="J2" s="1"/>
      <c r="K2" s="2"/>
      <c r="L2" s="357" t="s">
        <v>2</v>
      </c>
      <c r="M2" s="358"/>
      <c r="N2" s="359"/>
    </row>
    <row r="3" spans="2:20" ht="18.600000000000001" thickBot="1" x14ac:dyDescent="0.4">
      <c r="B3" s="56" t="s">
        <v>3</v>
      </c>
      <c r="C3" s="53"/>
      <c r="D3" t="s">
        <v>4</v>
      </c>
      <c r="F3" s="351" t="s">
        <v>5</v>
      </c>
      <c r="G3" s="352"/>
      <c r="H3" s="353"/>
      <c r="I3" s="351" t="s">
        <v>5</v>
      </c>
      <c r="J3" s="352"/>
      <c r="K3" s="352"/>
      <c r="L3" s="325" t="s">
        <v>6</v>
      </c>
      <c r="M3" s="61" t="s">
        <v>282</v>
      </c>
      <c r="N3" s="326" t="s">
        <v>8</v>
      </c>
    </row>
    <row r="4" spans="2:20" ht="43.8" x14ac:dyDescent="0.35">
      <c r="B4" s="95" t="s">
        <v>9</v>
      </c>
      <c r="C4" s="93">
        <f>SUM(H23:H32,H40)/1000</f>
        <v>0</v>
      </c>
      <c r="D4" s="8"/>
      <c r="F4" s="43" t="s">
        <v>6</v>
      </c>
      <c r="G4" s="44" t="s">
        <v>10</v>
      </c>
      <c r="H4" s="45" t="s">
        <v>8</v>
      </c>
      <c r="I4" s="60" t="s">
        <v>11</v>
      </c>
      <c r="J4" s="61" t="s">
        <v>10</v>
      </c>
      <c r="K4" s="159" t="s">
        <v>8</v>
      </c>
      <c r="L4" s="328" t="s">
        <v>312</v>
      </c>
      <c r="M4" s="51">
        <v>1.115</v>
      </c>
      <c r="N4" s="166" t="s">
        <v>12</v>
      </c>
      <c r="R4" s="83" t="s">
        <v>369</v>
      </c>
      <c r="S4">
        <v>4</v>
      </c>
      <c r="T4" t="s">
        <v>370</v>
      </c>
    </row>
    <row r="5" spans="2:20" ht="18" x14ac:dyDescent="0.35">
      <c r="B5" s="88" t="s">
        <v>13</v>
      </c>
      <c r="C5" s="87">
        <f>H23/1000</f>
        <v>0</v>
      </c>
      <c r="D5" s="8"/>
      <c r="F5" s="327" t="s">
        <v>85</v>
      </c>
      <c r="G5" s="51">
        <v>0.2</v>
      </c>
      <c r="H5" s="48" t="s">
        <v>12</v>
      </c>
      <c r="I5" s="25" t="s">
        <v>15</v>
      </c>
      <c r="J5" s="50">
        <v>5</v>
      </c>
      <c r="K5" s="160" t="s">
        <v>16</v>
      </c>
      <c r="L5" s="86" t="s">
        <v>17</v>
      </c>
      <c r="M5" s="51">
        <v>0.8</v>
      </c>
      <c r="N5" s="166" t="s">
        <v>12</v>
      </c>
      <c r="P5" t="s">
        <v>15</v>
      </c>
      <c r="Q5">
        <v>20</v>
      </c>
      <c r="R5" s="64" t="s">
        <v>16</v>
      </c>
      <c r="S5" s="176">
        <f t="shared" ref="S5:S14" si="0">J5*$S$4</f>
        <v>20</v>
      </c>
      <c r="T5" s="176">
        <f>S5-Q5</f>
        <v>0</v>
      </c>
    </row>
    <row r="6" spans="2:20" ht="18" x14ac:dyDescent="0.35">
      <c r="B6" s="88" t="s">
        <v>18</v>
      </c>
      <c r="C6" s="87">
        <f>H26/1000</f>
        <v>0</v>
      </c>
      <c r="D6" s="8"/>
      <c r="E6">
        <v>0.3</v>
      </c>
      <c r="F6" s="25" t="s">
        <v>307</v>
      </c>
      <c r="G6" s="51">
        <v>0.3</v>
      </c>
      <c r="H6" s="48" t="s">
        <v>14</v>
      </c>
      <c r="I6" s="25" t="s">
        <v>19</v>
      </c>
      <c r="J6" s="50">
        <v>5</v>
      </c>
      <c r="K6" s="160" t="s">
        <v>16</v>
      </c>
      <c r="L6" s="86" t="s">
        <v>336</v>
      </c>
      <c r="M6" s="51">
        <v>0.2</v>
      </c>
      <c r="N6" s="166" t="s">
        <v>12</v>
      </c>
      <c r="P6" t="s">
        <v>19</v>
      </c>
      <c r="Q6">
        <v>20</v>
      </c>
      <c r="R6" s="64" t="s">
        <v>16</v>
      </c>
      <c r="S6" s="176">
        <f t="shared" si="0"/>
        <v>20</v>
      </c>
      <c r="T6" s="176">
        <f t="shared" ref="T6:T14" si="1">S6-Q6</f>
        <v>0</v>
      </c>
    </row>
    <row r="7" spans="2:20" ht="18" x14ac:dyDescent="0.35">
      <c r="B7" s="88" t="s">
        <v>20</v>
      </c>
      <c r="C7" s="87">
        <f>H27/1000</f>
        <v>0</v>
      </c>
      <c r="D7" s="8"/>
      <c r="E7">
        <v>0.3</v>
      </c>
      <c r="F7" s="25" t="s">
        <v>308</v>
      </c>
      <c r="G7" s="51">
        <v>0.3</v>
      </c>
      <c r="H7" s="48" t="s">
        <v>12</v>
      </c>
      <c r="I7" s="25" t="s">
        <v>22</v>
      </c>
      <c r="J7" s="50">
        <v>10</v>
      </c>
      <c r="K7" s="160" t="s">
        <v>16</v>
      </c>
      <c r="L7" s="86" t="s">
        <v>23</v>
      </c>
      <c r="M7" s="51">
        <v>0.1</v>
      </c>
      <c r="N7" s="166" t="s">
        <v>12</v>
      </c>
      <c r="P7" t="s">
        <v>120</v>
      </c>
      <c r="Q7">
        <v>100</v>
      </c>
      <c r="R7" s="64" t="s">
        <v>16</v>
      </c>
      <c r="S7" s="176">
        <f t="shared" si="0"/>
        <v>40</v>
      </c>
      <c r="T7" s="176">
        <f t="shared" si="1"/>
        <v>-60</v>
      </c>
    </row>
    <row r="8" spans="2:20" ht="18" x14ac:dyDescent="0.35">
      <c r="B8" s="88" t="s">
        <v>24</v>
      </c>
      <c r="C8" s="87">
        <f>H31/1000</f>
        <v>0</v>
      </c>
      <c r="D8" s="8"/>
      <c r="E8">
        <v>1</v>
      </c>
      <c r="F8" s="25" t="s">
        <v>21</v>
      </c>
      <c r="G8" s="51">
        <v>1</v>
      </c>
      <c r="H8" s="48" t="s">
        <v>12</v>
      </c>
      <c r="I8" s="25" t="s">
        <v>26</v>
      </c>
      <c r="J8" s="50">
        <v>10</v>
      </c>
      <c r="K8" s="160" t="s">
        <v>16</v>
      </c>
      <c r="L8" s="86" t="s">
        <v>27</v>
      </c>
      <c r="M8" s="51">
        <v>0.1</v>
      </c>
      <c r="N8" s="166" t="s">
        <v>12</v>
      </c>
      <c r="P8" t="s">
        <v>121</v>
      </c>
      <c r="Q8">
        <v>50</v>
      </c>
      <c r="R8" s="64" t="s">
        <v>16</v>
      </c>
      <c r="S8" s="176">
        <f t="shared" si="0"/>
        <v>40</v>
      </c>
      <c r="T8" s="176">
        <f t="shared" si="1"/>
        <v>-10</v>
      </c>
    </row>
    <row r="9" spans="2:20" ht="18" x14ac:dyDescent="0.35">
      <c r="B9" s="88" t="s">
        <v>28</v>
      </c>
      <c r="C9" s="87">
        <f>C10-SUM(C5:C8)</f>
        <v>2.3895996239535462</v>
      </c>
      <c r="D9" s="8"/>
      <c r="E9">
        <v>0.16</v>
      </c>
      <c r="F9" s="25" t="s">
        <v>25</v>
      </c>
      <c r="G9" s="51">
        <v>0.16</v>
      </c>
      <c r="H9" s="48" t="s">
        <v>12</v>
      </c>
      <c r="I9" s="25" t="s">
        <v>30</v>
      </c>
      <c r="J9" s="50">
        <v>10</v>
      </c>
      <c r="K9" s="160" t="s">
        <v>16</v>
      </c>
      <c r="L9" s="86" t="s">
        <v>31</v>
      </c>
      <c r="M9" s="51">
        <v>0.01</v>
      </c>
      <c r="N9" s="166" t="s">
        <v>12</v>
      </c>
      <c r="P9" t="s">
        <v>30</v>
      </c>
      <c r="Q9">
        <v>50</v>
      </c>
      <c r="R9" s="64" t="s">
        <v>16</v>
      </c>
      <c r="S9" s="176">
        <f t="shared" si="0"/>
        <v>40</v>
      </c>
      <c r="T9" s="176">
        <f t="shared" si="1"/>
        <v>-10</v>
      </c>
    </row>
    <row r="10" spans="2:20" ht="18.600000000000001" thickBot="1" x14ac:dyDescent="0.4">
      <c r="B10" s="89" t="s">
        <v>32</v>
      </c>
      <c r="C10" s="90">
        <f>SUM('Mod Wolfe v1 calcs'!B54:B66,'Mod Wolfe v1 calcs'!B69:B81)/1000</f>
        <v>2.3895996239535462</v>
      </c>
      <c r="D10" s="8"/>
      <c r="E10">
        <v>8.9999999999999993E-3</v>
      </c>
      <c r="F10" s="25" t="s">
        <v>29</v>
      </c>
      <c r="G10" s="51">
        <v>8.9999999999999993E-3</v>
      </c>
      <c r="H10" s="48" t="s">
        <v>12</v>
      </c>
      <c r="I10" s="25" t="s">
        <v>34</v>
      </c>
      <c r="J10" s="50">
        <v>10</v>
      </c>
      <c r="K10" s="160" t="s">
        <v>16</v>
      </c>
      <c r="L10" s="86" t="s">
        <v>35</v>
      </c>
      <c r="M10" s="51">
        <v>0.1</v>
      </c>
      <c r="N10" s="166" t="s">
        <v>12</v>
      </c>
      <c r="P10" t="s">
        <v>34</v>
      </c>
      <c r="Q10">
        <v>50</v>
      </c>
      <c r="R10" s="64" t="s">
        <v>16</v>
      </c>
      <c r="S10" s="176">
        <f t="shared" si="0"/>
        <v>40</v>
      </c>
      <c r="T10" s="176">
        <f t="shared" si="1"/>
        <v>-10</v>
      </c>
    </row>
    <row r="11" spans="2:20" ht="18.600000000000001" thickBot="1" x14ac:dyDescent="0.4">
      <c r="E11">
        <v>0.6</v>
      </c>
      <c r="F11" s="25" t="s">
        <v>33</v>
      </c>
      <c r="G11" s="51">
        <v>0.6</v>
      </c>
      <c r="H11" s="48" t="s">
        <v>12</v>
      </c>
      <c r="I11" s="25" t="s">
        <v>38</v>
      </c>
      <c r="J11" s="50">
        <v>10</v>
      </c>
      <c r="K11" s="160" t="s">
        <v>16</v>
      </c>
      <c r="L11" s="86" t="s">
        <v>179</v>
      </c>
      <c r="M11" s="51">
        <v>6.7999999999999996E-3</v>
      </c>
      <c r="N11" s="166" t="s">
        <v>12</v>
      </c>
      <c r="P11" t="s">
        <v>122</v>
      </c>
      <c r="Q11">
        <v>50</v>
      </c>
      <c r="R11" s="64" t="s">
        <v>16</v>
      </c>
      <c r="S11" s="176">
        <f t="shared" si="0"/>
        <v>40</v>
      </c>
      <c r="T11" s="176">
        <f t="shared" si="1"/>
        <v>-10</v>
      </c>
    </row>
    <row r="12" spans="2:20" ht="18.600000000000001" thickBot="1" x14ac:dyDescent="0.4">
      <c r="B12" s="96" t="s">
        <v>40</v>
      </c>
      <c r="C12" s="92"/>
      <c r="E12">
        <v>4</v>
      </c>
      <c r="F12" s="190" t="s">
        <v>385</v>
      </c>
      <c r="G12" s="51">
        <v>1.6</v>
      </c>
      <c r="H12" s="48" t="s">
        <v>37</v>
      </c>
      <c r="I12" s="25" t="s">
        <v>42</v>
      </c>
      <c r="J12" s="50">
        <v>5</v>
      </c>
      <c r="K12" s="160" t="s">
        <v>16</v>
      </c>
      <c r="L12" s="86" t="s">
        <v>43</v>
      </c>
      <c r="M12" s="51">
        <v>0.1</v>
      </c>
      <c r="N12" s="166" t="s">
        <v>12</v>
      </c>
      <c r="P12" t="s">
        <v>42</v>
      </c>
      <c r="Q12">
        <v>1</v>
      </c>
      <c r="R12" s="64" t="s">
        <v>16</v>
      </c>
      <c r="S12" s="176">
        <f t="shared" si="0"/>
        <v>20</v>
      </c>
      <c r="T12" s="176">
        <f t="shared" si="1"/>
        <v>19</v>
      </c>
    </row>
    <row r="13" spans="2:20" ht="18" x14ac:dyDescent="0.35">
      <c r="B13" s="98" t="s">
        <v>44</v>
      </c>
      <c r="C13" s="91">
        <f>H48</f>
        <v>0</v>
      </c>
      <c r="D13" s="8"/>
      <c r="E13">
        <v>15</v>
      </c>
      <c r="F13" s="94" t="s">
        <v>331</v>
      </c>
      <c r="G13" s="51">
        <v>15</v>
      </c>
      <c r="H13" s="48" t="s">
        <v>37</v>
      </c>
      <c r="I13" s="25" t="s">
        <v>45</v>
      </c>
      <c r="J13" s="50">
        <v>10</v>
      </c>
      <c r="K13" s="160" t="s">
        <v>16</v>
      </c>
      <c r="L13" s="86" t="s">
        <v>46</v>
      </c>
      <c r="M13" s="51">
        <v>0.1</v>
      </c>
      <c r="N13" s="166" t="s">
        <v>12</v>
      </c>
      <c r="P13" t="s">
        <v>45</v>
      </c>
      <c r="Q13">
        <v>50</v>
      </c>
      <c r="R13" s="64" t="s">
        <v>16</v>
      </c>
      <c r="S13" s="176">
        <f t="shared" si="0"/>
        <v>40</v>
      </c>
      <c r="T13" s="176">
        <f t="shared" si="1"/>
        <v>-10</v>
      </c>
    </row>
    <row r="14" spans="2:20" ht="18" x14ac:dyDescent="0.35">
      <c r="B14" s="88" t="s">
        <v>47</v>
      </c>
      <c r="C14" s="87">
        <f>H51</f>
        <v>0</v>
      </c>
      <c r="D14" s="8"/>
      <c r="E14">
        <v>10</v>
      </c>
      <c r="F14" s="94" t="s">
        <v>2</v>
      </c>
      <c r="G14" s="51">
        <v>10</v>
      </c>
      <c r="H14" s="48" t="s">
        <v>37</v>
      </c>
      <c r="I14" s="25" t="s">
        <v>288</v>
      </c>
      <c r="J14" s="77">
        <v>5</v>
      </c>
      <c r="K14" s="161" t="s">
        <v>16</v>
      </c>
      <c r="L14" s="86" t="s">
        <v>50</v>
      </c>
      <c r="M14" s="51">
        <v>0.1</v>
      </c>
      <c r="N14" s="166" t="s">
        <v>12</v>
      </c>
      <c r="P14" t="s">
        <v>288</v>
      </c>
      <c r="Q14">
        <v>50</v>
      </c>
      <c r="R14" s="78" t="s">
        <v>16</v>
      </c>
      <c r="S14" s="176">
        <f t="shared" si="0"/>
        <v>20</v>
      </c>
      <c r="T14" s="176">
        <f t="shared" si="1"/>
        <v>-30</v>
      </c>
    </row>
    <row r="15" spans="2:20" ht="18.600000000000001" thickBot="1" x14ac:dyDescent="0.4">
      <c r="B15" s="89" t="s">
        <v>51</v>
      </c>
      <c r="C15" s="90"/>
      <c r="D15" s="8"/>
      <c r="E15">
        <v>1</v>
      </c>
      <c r="F15" s="70" t="s">
        <v>48</v>
      </c>
      <c r="G15" s="51">
        <v>0</v>
      </c>
      <c r="H15" s="48" t="s">
        <v>37</v>
      </c>
      <c r="I15" s="76" t="s">
        <v>53</v>
      </c>
      <c r="J15" s="77">
        <v>1000</v>
      </c>
      <c r="K15" s="161" t="s">
        <v>37</v>
      </c>
      <c r="L15" s="86" t="s">
        <v>54</v>
      </c>
      <c r="M15" s="51">
        <v>1000</v>
      </c>
      <c r="N15" s="166" t="s">
        <v>37</v>
      </c>
      <c r="P15" t="s">
        <v>53</v>
      </c>
      <c r="Q15">
        <v>1000</v>
      </c>
      <c r="R15" s="78" t="s">
        <v>37</v>
      </c>
    </row>
    <row r="16" spans="2:20" ht="18.600000000000001" thickBot="1" x14ac:dyDescent="0.4">
      <c r="E16">
        <v>5</v>
      </c>
      <c r="F16" s="69" t="s">
        <v>52</v>
      </c>
      <c r="G16" s="51">
        <v>0</v>
      </c>
      <c r="H16" s="48" t="s">
        <v>12</v>
      </c>
      <c r="I16" s="65" t="s">
        <v>56</v>
      </c>
      <c r="J16" s="80">
        <f>SUMIFS(J5:J15,K5:K15,"mL")</f>
        <v>1000</v>
      </c>
      <c r="K16" s="162" t="s">
        <v>37</v>
      </c>
      <c r="L16" s="73" t="s">
        <v>56</v>
      </c>
      <c r="M16" s="81">
        <f>SUMIFS(M4:M15,N4:N15,"mL")</f>
        <v>1000</v>
      </c>
      <c r="N16" s="171" t="s">
        <v>57</v>
      </c>
    </row>
    <row r="17" spans="2:16" ht="18.600000000000001" thickBot="1" x14ac:dyDescent="0.4">
      <c r="E17">
        <v>10</v>
      </c>
      <c r="F17" s="71" t="s">
        <v>55</v>
      </c>
      <c r="G17" s="51">
        <v>10</v>
      </c>
      <c r="H17" s="48" t="s">
        <v>37</v>
      </c>
      <c r="L17" s="322"/>
      <c r="M17" s="323"/>
      <c r="N17" s="324"/>
    </row>
    <row r="18" spans="2:16" ht="18.600000000000001" thickBot="1" x14ac:dyDescent="0.4">
      <c r="B18" t="s">
        <v>399</v>
      </c>
      <c r="C18" t="s">
        <v>85</v>
      </c>
      <c r="D18" t="s">
        <v>400</v>
      </c>
      <c r="E18">
        <v>1000</v>
      </c>
      <c r="F18" s="46" t="s">
        <v>53</v>
      </c>
      <c r="G18" s="51">
        <f>G19-(G17+G14+G13+G12)</f>
        <v>963.4</v>
      </c>
      <c r="H18" s="48" t="s">
        <v>37</v>
      </c>
      <c r="I18" s="354" t="s">
        <v>36</v>
      </c>
      <c r="J18" s="355"/>
      <c r="K18" s="356"/>
      <c r="L18" s="3"/>
      <c r="M18" s="3"/>
    </row>
    <row r="19" spans="2:16" ht="18.600000000000001" thickBot="1" x14ac:dyDescent="0.4">
      <c r="C19" t="s">
        <v>52</v>
      </c>
      <c r="D19" t="s">
        <v>401</v>
      </c>
      <c r="F19" s="73" t="s">
        <v>56</v>
      </c>
      <c r="G19" s="81">
        <v>1000</v>
      </c>
      <c r="H19" s="49"/>
      <c r="I19" s="43" t="s">
        <v>6</v>
      </c>
      <c r="J19" s="44" t="s">
        <v>282</v>
      </c>
      <c r="K19" s="45" t="s">
        <v>8</v>
      </c>
      <c r="L19" s="3"/>
      <c r="M19" s="3"/>
      <c r="N19">
        <f>J20*(100/1000)</f>
        <v>5</v>
      </c>
    </row>
    <row r="20" spans="2:16" ht="18" x14ac:dyDescent="0.35">
      <c r="C20" t="s">
        <v>361</v>
      </c>
      <c r="D20" t="s">
        <v>401</v>
      </c>
      <c r="I20" s="86" t="s">
        <v>298</v>
      </c>
      <c r="J20" s="51">
        <v>50</v>
      </c>
      <c r="K20" s="166" t="s">
        <v>12</v>
      </c>
      <c r="L20" s="3"/>
      <c r="M20" s="3"/>
    </row>
    <row r="21" spans="2:16" ht="18" x14ac:dyDescent="0.35">
      <c r="C21" t="s">
        <v>39</v>
      </c>
      <c r="D21" t="s">
        <v>401</v>
      </c>
      <c r="F21" s="7"/>
      <c r="G21" s="97"/>
      <c r="I21" s="86" t="s">
        <v>330</v>
      </c>
      <c r="J21" s="51">
        <v>1000</v>
      </c>
      <c r="K21" s="166" t="s">
        <v>37</v>
      </c>
      <c r="L21" s="3"/>
      <c r="M21" s="3"/>
    </row>
    <row r="22" spans="2:16" ht="18.600000000000001" thickBot="1" x14ac:dyDescent="0.4">
      <c r="C22" t="s">
        <v>179</v>
      </c>
      <c r="D22" t="s">
        <v>400</v>
      </c>
      <c r="F22" s="7"/>
      <c r="G22" s="7"/>
      <c r="H22" s="7"/>
      <c r="I22" s="73" t="s">
        <v>56</v>
      </c>
      <c r="J22" s="81">
        <f>SUMIFS(J20:J21,K20:K21,"mL")</f>
        <v>1000</v>
      </c>
      <c r="K22" s="171" t="s">
        <v>57</v>
      </c>
      <c r="L22" s="3"/>
      <c r="M22" s="3"/>
    </row>
    <row r="23" spans="2:16" ht="18.600000000000001" thickBot="1" x14ac:dyDescent="0.4">
      <c r="C23" t="s">
        <v>298</v>
      </c>
      <c r="D23" t="s">
        <v>402</v>
      </c>
      <c r="G23" s="1"/>
      <c r="H23" s="8"/>
      <c r="I23" s="319"/>
      <c r="J23" s="320"/>
      <c r="K23" s="321"/>
    </row>
    <row r="24" spans="2:16" ht="15" thickBot="1" x14ac:dyDescent="0.35">
      <c r="G24" s="1"/>
      <c r="H24" s="8"/>
      <c r="I24" s="354" t="s">
        <v>331</v>
      </c>
      <c r="J24" s="355"/>
      <c r="K24" s="356"/>
    </row>
    <row r="25" spans="2:16" ht="18" x14ac:dyDescent="0.35">
      <c r="G25" s="1"/>
      <c r="H25" s="8"/>
      <c r="I25" s="43" t="s">
        <v>6</v>
      </c>
      <c r="J25" s="44" t="s">
        <v>7</v>
      </c>
      <c r="K25" s="45" t="s">
        <v>8</v>
      </c>
      <c r="O25" s="7"/>
      <c r="P25" s="7"/>
    </row>
    <row r="26" spans="2:16" ht="18" x14ac:dyDescent="0.35">
      <c r="G26" s="1"/>
      <c r="H26" s="8"/>
      <c r="I26" s="86" t="s">
        <v>195</v>
      </c>
      <c r="J26" s="51">
        <v>35.130000000000003</v>
      </c>
      <c r="K26" s="166" t="s">
        <v>12</v>
      </c>
      <c r="O26" s="7"/>
      <c r="P26" s="7"/>
    </row>
    <row r="27" spans="2:16" ht="18" x14ac:dyDescent="0.35">
      <c r="G27" s="1"/>
      <c r="H27" s="8"/>
      <c r="I27" s="86" t="s">
        <v>330</v>
      </c>
      <c r="J27" s="51">
        <v>1000</v>
      </c>
      <c r="K27" s="166" t="s">
        <v>37</v>
      </c>
      <c r="L27" s="42"/>
      <c r="M27" s="42"/>
      <c r="N27" s="7"/>
    </row>
    <row r="28" spans="2:16" ht="18.600000000000001" thickBot="1" x14ac:dyDescent="0.4">
      <c r="G28" s="1"/>
      <c r="H28" s="8"/>
      <c r="I28" s="73" t="s">
        <v>56</v>
      </c>
      <c r="J28" s="81">
        <f>SUMIFS(J26:J27,K26:K27,"mL")</f>
        <v>1000</v>
      </c>
      <c r="K28" s="171" t="s">
        <v>57</v>
      </c>
      <c r="L28" s="7"/>
      <c r="M28" s="7"/>
      <c r="N28" s="7"/>
    </row>
    <row r="29" spans="2:16" ht="18.600000000000001" thickBot="1" x14ac:dyDescent="0.4">
      <c r="G29" s="1"/>
      <c r="H29" s="8"/>
      <c r="I29" s="319"/>
      <c r="J29" s="320"/>
      <c r="K29" s="321"/>
    </row>
    <row r="30" spans="2:16" x14ac:dyDescent="0.3">
      <c r="G30" s="1"/>
      <c r="H30" s="8"/>
      <c r="I30" s="8"/>
      <c r="J30" s="83"/>
    </row>
    <row r="31" spans="2:16" x14ac:dyDescent="0.3">
      <c r="G31" s="1"/>
      <c r="H31" s="8"/>
      <c r="I31" s="8"/>
    </row>
    <row r="32" spans="2:16" x14ac:dyDescent="0.3">
      <c r="G32" s="1"/>
      <c r="H32" s="8"/>
      <c r="I32" s="8"/>
    </row>
    <row r="33" spans="3:9" x14ac:dyDescent="0.3">
      <c r="G33" s="1"/>
      <c r="H33" s="8"/>
      <c r="I33" s="8"/>
    </row>
    <row r="34" spans="3:9" x14ac:dyDescent="0.3">
      <c r="G34" s="1"/>
      <c r="H34" s="8"/>
      <c r="I34" s="8"/>
    </row>
    <row r="35" spans="3:9" x14ac:dyDescent="0.3">
      <c r="G35" s="1"/>
      <c r="H35" s="8"/>
      <c r="I35" s="8"/>
    </row>
    <row r="36" spans="3:9" x14ac:dyDescent="0.3">
      <c r="G36" s="1"/>
      <c r="H36" s="8"/>
      <c r="I36" s="8"/>
    </row>
    <row r="37" spans="3:9" x14ac:dyDescent="0.3">
      <c r="G37" s="1"/>
      <c r="H37" s="8"/>
      <c r="I37" s="8"/>
    </row>
    <row r="38" spans="3:9" x14ac:dyDescent="0.3">
      <c r="G38" s="1"/>
      <c r="H38" s="8"/>
      <c r="I38" s="8"/>
    </row>
    <row r="39" spans="3:9" x14ac:dyDescent="0.3">
      <c r="G39" s="1"/>
      <c r="H39" s="8"/>
      <c r="I39" s="8"/>
    </row>
    <row r="40" spans="3:9" x14ac:dyDescent="0.3">
      <c r="G40" s="1"/>
      <c r="H40" s="8"/>
      <c r="I40" s="8"/>
    </row>
    <row r="41" spans="3:9" x14ac:dyDescent="0.3">
      <c r="G41" s="1"/>
      <c r="H41" s="8"/>
      <c r="I41" s="8"/>
    </row>
    <row r="42" spans="3:9" x14ac:dyDescent="0.3">
      <c r="G42" s="1"/>
      <c r="H42" s="8"/>
      <c r="I42" s="8"/>
    </row>
    <row r="43" spans="3:9" x14ac:dyDescent="0.3">
      <c r="C43" t="s">
        <v>83</v>
      </c>
      <c r="G43" s="1"/>
      <c r="H43" s="8"/>
      <c r="I43" s="8"/>
    </row>
    <row r="44" spans="3:9" x14ac:dyDescent="0.3">
      <c r="G44" s="1"/>
      <c r="H44" s="8"/>
      <c r="I44" s="8"/>
    </row>
    <row r="45" spans="3:9" x14ac:dyDescent="0.3">
      <c r="G45" s="1"/>
      <c r="H45" s="8"/>
      <c r="I45" s="8"/>
    </row>
    <row r="46" spans="3:9" x14ac:dyDescent="0.3">
      <c r="G46" s="1"/>
      <c r="H46" s="8"/>
      <c r="I46" s="8"/>
    </row>
    <row r="47" spans="3:9" x14ac:dyDescent="0.3">
      <c r="G47" s="1"/>
      <c r="H47" s="8"/>
      <c r="I47" s="8"/>
    </row>
    <row r="48" spans="3:9" x14ac:dyDescent="0.3">
      <c r="G48" s="1"/>
      <c r="H48" s="8"/>
      <c r="I48" s="8"/>
    </row>
    <row r="49" spans="1:9" x14ac:dyDescent="0.3">
      <c r="G49" s="1"/>
      <c r="H49" s="8"/>
      <c r="I49" s="8"/>
    </row>
    <row r="50" spans="1:9" x14ac:dyDescent="0.3">
      <c r="G50" s="1"/>
      <c r="H50" s="8"/>
      <c r="I50" s="8"/>
    </row>
    <row r="51" spans="1:9" x14ac:dyDescent="0.3">
      <c r="G51" s="1"/>
      <c r="H51" s="8"/>
      <c r="I51" s="8"/>
    </row>
    <row r="52" spans="1:9" x14ac:dyDescent="0.3">
      <c r="I52" s="8"/>
    </row>
    <row r="53" spans="1:9" x14ac:dyDescent="0.3">
      <c r="I53" s="8"/>
    </row>
    <row r="54" spans="1:9" x14ac:dyDescent="0.3">
      <c r="I54" s="8"/>
    </row>
    <row r="55" spans="1:9" x14ac:dyDescent="0.3">
      <c r="G55" s="83"/>
      <c r="H55" s="83"/>
      <c r="I55" s="8"/>
    </row>
    <row r="59" spans="1:9" x14ac:dyDescent="0.3">
      <c r="A59">
        <v>61</v>
      </c>
      <c r="B59">
        <v>-0.13</v>
      </c>
      <c r="C59">
        <v>-0.13</v>
      </c>
      <c r="E59">
        <f>SUM(B59:C59)/A59*30</f>
        <v>-0.12786885245901641</v>
      </c>
    </row>
    <row r="60" spans="1:9" x14ac:dyDescent="0.3">
      <c r="A60">
        <v>33</v>
      </c>
      <c r="B60">
        <v>-6.95</v>
      </c>
      <c r="C60">
        <v>0.2</v>
      </c>
    </row>
    <row r="61" spans="1:9" x14ac:dyDescent="0.3">
      <c r="A61">
        <v>23</v>
      </c>
      <c r="B61">
        <v>-7.67</v>
      </c>
      <c r="C61">
        <v>0.57999999999999996</v>
      </c>
    </row>
    <row r="62" spans="1:9" x14ac:dyDescent="0.3">
      <c r="A62">
        <v>18</v>
      </c>
      <c r="B62">
        <v>-18.02</v>
      </c>
      <c r="C62">
        <v>-0.51</v>
      </c>
    </row>
    <row r="63" spans="1:9" x14ac:dyDescent="0.3">
      <c r="A63">
        <v>25</v>
      </c>
      <c r="B63">
        <v>-49.15</v>
      </c>
      <c r="C63">
        <v>-1.18</v>
      </c>
    </row>
  </sheetData>
  <mergeCells count="5">
    <mergeCell ref="L2:N2"/>
    <mergeCell ref="F3:H3"/>
    <mergeCell ref="I3:K3"/>
    <mergeCell ref="I18:K18"/>
    <mergeCell ref="I24:K24"/>
  </mergeCells>
  <conditionalFormatting sqref="J30:K30 O30:P30 L32:N32">
    <cfRule type="cellIs" dxfId="87" priority="15" operator="greaterThan">
      <formula>$H$26</formula>
    </cfRule>
  </conditionalFormatting>
  <conditionalFormatting sqref="J37:K37 O37:P37 L39:N39">
    <cfRule type="cellIs" dxfId="86" priority="14" operator="greaterThan">
      <formula>$H$33</formula>
    </cfRule>
  </conditionalFormatting>
  <conditionalFormatting sqref="J38:K38 O38:P38 L40:N40">
    <cfRule type="cellIs" dxfId="85" priority="13" operator="greaterThan">
      <formula>$H$34</formula>
    </cfRule>
  </conditionalFormatting>
  <conditionalFormatting sqref="J39:K39 O39:P39 L41:N41">
    <cfRule type="cellIs" dxfId="84" priority="12" operator="greaterThan">
      <formula>$H$35</formula>
    </cfRule>
  </conditionalFormatting>
  <conditionalFormatting sqref="J40:K40 O40:P40 L42:N42">
    <cfRule type="cellIs" dxfId="83" priority="11" operator="greaterThan">
      <formula>$H$36</formula>
    </cfRule>
  </conditionalFormatting>
  <conditionalFormatting sqref="J45:K45 O45:P45 L47:N47">
    <cfRule type="cellIs" dxfId="82" priority="10" operator="greaterThan">
      <formula>$H$41</formula>
    </cfRule>
  </conditionalFormatting>
  <conditionalFormatting sqref="J46:K46 O46:P46 L48:N48">
    <cfRule type="cellIs" dxfId="81" priority="9" operator="greaterThan">
      <formula>$H$42</formula>
    </cfRule>
  </conditionalFormatting>
  <conditionalFormatting sqref="J48:K48 O48:P48 L50:N50">
    <cfRule type="cellIs" dxfId="80" priority="8" operator="greaterThan">
      <formula>$H$44</formula>
    </cfRule>
  </conditionalFormatting>
  <conditionalFormatting sqref="J49:K49 O49:P49 L51:N51">
    <cfRule type="cellIs" dxfId="79" priority="7" operator="greaterThan">
      <formula>$H$45</formula>
    </cfRule>
  </conditionalFormatting>
  <conditionalFormatting sqref="J50:K50 O50:P50 L52:N52">
    <cfRule type="cellIs" dxfId="78" priority="6" operator="greaterThan">
      <formula>$H$46</formula>
    </cfRule>
  </conditionalFormatting>
  <conditionalFormatting sqref="J51:K51 O51:P51 L53:N53">
    <cfRule type="cellIs" dxfId="77" priority="5" operator="greaterThan">
      <formula>$H$47</formula>
    </cfRule>
  </conditionalFormatting>
  <conditionalFormatting sqref="J52:K52 O52:P52 L54:N54">
    <cfRule type="cellIs" dxfId="76" priority="4" operator="greaterThan">
      <formula>$H$48</formula>
    </cfRule>
  </conditionalFormatting>
  <conditionalFormatting sqref="J53:K53 O53:P53 L55:N55">
    <cfRule type="cellIs" dxfId="75" priority="3" operator="greaterThan">
      <formula>$H$49</formula>
    </cfRule>
  </conditionalFormatting>
  <conditionalFormatting sqref="J54:K54 O54:P54 L56:N56">
    <cfRule type="cellIs" dxfId="74" priority="2" operator="greaterThan">
      <formula>$H$50</formula>
    </cfRule>
  </conditionalFormatting>
  <conditionalFormatting sqref="J55:K55 O55:P55 L57:N57">
    <cfRule type="cellIs" dxfId="73" priority="1" operator="greaterThan">
      <formula>$H$51</formula>
    </cfRule>
  </conditionalFormatting>
  <conditionalFormatting sqref="O27:P27 L29:N29">
    <cfRule type="cellIs" dxfId="72" priority="18" operator="greaterThan">
      <formula>$H$23</formula>
    </cfRule>
  </conditionalFormatting>
  <conditionalFormatting sqref="O28:P28 L30:N30">
    <cfRule type="cellIs" dxfId="71" priority="17" operator="greaterThan">
      <formula>$H$24</formula>
    </cfRule>
  </conditionalFormatting>
  <conditionalFormatting sqref="O29:P29 L31:N31">
    <cfRule type="cellIs" dxfId="70" priority="16" operator="greaterThan">
      <formula>$H$25</formula>
    </cfRule>
  </conditionalFormatting>
  <pageMargins left="0.7" right="0.7" top="0.75" bottom="0.75" header="0.3" footer="0.3"/>
  <pageSetup scale="37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BF307-47D3-4B3B-9552-A6A5D9931369}">
  <sheetPr>
    <tabColor theme="9" tint="0.39997558519241921"/>
    <pageSetUpPr fitToPage="1"/>
  </sheetPr>
  <dimension ref="A1:T63"/>
  <sheetViews>
    <sheetView tabSelected="1" topLeftCell="D1" workbookViewId="0">
      <selection activeCell="G26" sqref="G26"/>
    </sheetView>
  </sheetViews>
  <sheetFormatPr defaultRowHeight="14.4" x14ac:dyDescent="0.3"/>
  <cols>
    <col min="2" max="2" width="18.44140625" customWidth="1"/>
    <col min="3" max="4" width="16.44140625" customWidth="1"/>
    <col min="6" max="6" width="33.88671875" customWidth="1"/>
    <col min="7" max="7" width="24" customWidth="1"/>
    <col min="8" max="8" width="14.109375" customWidth="1"/>
    <col min="9" max="9" width="29.88671875" customWidth="1"/>
    <col min="10" max="10" width="22.88671875" customWidth="1"/>
    <col min="11" max="11" width="11.88671875" bestFit="1" customWidth="1"/>
    <col min="12" max="12" width="26.6640625" customWidth="1"/>
    <col min="13" max="13" width="11.109375" customWidth="1"/>
    <col min="14" max="14" width="12.109375" customWidth="1"/>
    <col min="19" max="19" width="10.33203125" customWidth="1"/>
  </cols>
  <sheetData>
    <row r="1" spans="2:20" ht="15" thickBot="1" x14ac:dyDescent="0.35">
      <c r="F1" t="s">
        <v>364</v>
      </c>
      <c r="I1" s="1"/>
      <c r="J1" s="1"/>
      <c r="K1" s="2"/>
    </row>
    <row r="2" spans="2:20" ht="15" thickBot="1" x14ac:dyDescent="0.35">
      <c r="F2" s="7" t="s">
        <v>316</v>
      </c>
      <c r="I2" s="42" t="s">
        <v>1</v>
      </c>
      <c r="J2" s="1"/>
      <c r="K2" s="2"/>
      <c r="L2" s="357" t="s">
        <v>2</v>
      </c>
      <c r="M2" s="358"/>
      <c r="N2" s="359"/>
    </row>
    <row r="3" spans="2:20" ht="18.600000000000001" thickBot="1" x14ac:dyDescent="0.4">
      <c r="B3" s="56" t="s">
        <v>3</v>
      </c>
      <c r="C3" s="53"/>
      <c r="D3" t="s">
        <v>4</v>
      </c>
      <c r="F3" s="351" t="s">
        <v>5</v>
      </c>
      <c r="G3" s="352"/>
      <c r="H3" s="353"/>
      <c r="I3" s="351" t="s">
        <v>5</v>
      </c>
      <c r="J3" s="352"/>
      <c r="K3" s="352"/>
      <c r="L3" s="325" t="s">
        <v>6</v>
      </c>
      <c r="M3" s="61" t="s">
        <v>282</v>
      </c>
      <c r="N3" s="326" t="s">
        <v>8</v>
      </c>
    </row>
    <row r="4" spans="2:20" ht="43.8" x14ac:dyDescent="0.35">
      <c r="B4" s="95" t="s">
        <v>9</v>
      </c>
      <c r="C4" s="93">
        <f>SUM(H23:H32,H40)/1000</f>
        <v>0</v>
      </c>
      <c r="D4" s="8"/>
      <c r="F4" s="43" t="s">
        <v>6</v>
      </c>
      <c r="G4" s="44" t="s">
        <v>10</v>
      </c>
      <c r="H4" s="45" t="s">
        <v>8</v>
      </c>
      <c r="I4" s="60" t="s">
        <v>11</v>
      </c>
      <c r="J4" s="61" t="s">
        <v>10</v>
      </c>
      <c r="K4" s="159" t="s">
        <v>8</v>
      </c>
      <c r="L4" s="328" t="s">
        <v>312</v>
      </c>
      <c r="M4" s="51">
        <v>1.115</v>
      </c>
      <c r="N4" s="166" t="s">
        <v>12</v>
      </c>
      <c r="R4" s="83" t="s">
        <v>369</v>
      </c>
      <c r="S4">
        <v>4</v>
      </c>
      <c r="T4" t="s">
        <v>370</v>
      </c>
    </row>
    <row r="5" spans="2:20" ht="18" x14ac:dyDescent="0.35">
      <c r="B5" s="88" t="s">
        <v>13</v>
      </c>
      <c r="C5" s="87">
        <f>H23/1000</f>
        <v>0</v>
      </c>
      <c r="D5" s="8"/>
      <c r="F5" s="327" t="s">
        <v>85</v>
      </c>
      <c r="G5" s="51">
        <v>0.3</v>
      </c>
      <c r="H5" s="48" t="s">
        <v>12</v>
      </c>
      <c r="I5" s="25" t="s">
        <v>15</v>
      </c>
      <c r="J5" s="50">
        <v>5</v>
      </c>
      <c r="K5" s="160" t="s">
        <v>16</v>
      </c>
      <c r="L5" s="86" t="s">
        <v>17</v>
      </c>
      <c r="M5" s="51">
        <v>0.8</v>
      </c>
      <c r="N5" s="166" t="s">
        <v>12</v>
      </c>
      <c r="P5" t="s">
        <v>15</v>
      </c>
      <c r="Q5">
        <v>20</v>
      </c>
      <c r="R5" s="64" t="s">
        <v>16</v>
      </c>
      <c r="S5" s="176">
        <f t="shared" ref="S5:S14" si="0">J5*$S$4</f>
        <v>20</v>
      </c>
      <c r="T5" s="176">
        <f>S5-Q5</f>
        <v>0</v>
      </c>
    </row>
    <row r="6" spans="2:20" ht="18" x14ac:dyDescent="0.35">
      <c r="B6" s="88" t="s">
        <v>18</v>
      </c>
      <c r="C6" s="87">
        <f>H26/1000</f>
        <v>0</v>
      </c>
      <c r="D6" s="8"/>
      <c r="E6">
        <v>0.3</v>
      </c>
      <c r="F6" s="25" t="s">
        <v>307</v>
      </c>
      <c r="G6" s="51">
        <v>0.3</v>
      </c>
      <c r="H6" s="48" t="s">
        <v>14</v>
      </c>
      <c r="I6" s="25" t="s">
        <v>19</v>
      </c>
      <c r="J6" s="50">
        <v>5</v>
      </c>
      <c r="K6" s="160" t="s">
        <v>16</v>
      </c>
      <c r="L6" s="86" t="s">
        <v>336</v>
      </c>
      <c r="M6" s="51">
        <v>0.2</v>
      </c>
      <c r="N6" s="166" t="s">
        <v>12</v>
      </c>
      <c r="P6" t="s">
        <v>19</v>
      </c>
      <c r="Q6">
        <v>20</v>
      </c>
      <c r="R6" s="64" t="s">
        <v>16</v>
      </c>
      <c r="S6" s="176">
        <f t="shared" si="0"/>
        <v>20</v>
      </c>
      <c r="T6" s="176">
        <f t="shared" ref="T6:T14" si="1">S6-Q6</f>
        <v>0</v>
      </c>
    </row>
    <row r="7" spans="2:20" ht="18" x14ac:dyDescent="0.35">
      <c r="B7" s="88" t="s">
        <v>20</v>
      </c>
      <c r="C7" s="87">
        <f>H27/1000</f>
        <v>0</v>
      </c>
      <c r="D7" s="8"/>
      <c r="E7">
        <v>0.3</v>
      </c>
      <c r="F7" s="25" t="s">
        <v>308</v>
      </c>
      <c r="G7" s="51">
        <v>0.3</v>
      </c>
      <c r="H7" s="48" t="s">
        <v>12</v>
      </c>
      <c r="I7" s="25" t="s">
        <v>22</v>
      </c>
      <c r="J7" s="50">
        <v>10</v>
      </c>
      <c r="K7" s="160" t="s">
        <v>16</v>
      </c>
      <c r="L7" s="86" t="s">
        <v>23</v>
      </c>
      <c r="M7" s="51">
        <v>0.1</v>
      </c>
      <c r="N7" s="166" t="s">
        <v>12</v>
      </c>
      <c r="P7" t="s">
        <v>120</v>
      </c>
      <c r="Q7">
        <v>100</v>
      </c>
      <c r="R7" s="64" t="s">
        <v>16</v>
      </c>
      <c r="S7" s="176">
        <f t="shared" si="0"/>
        <v>40</v>
      </c>
      <c r="T7" s="176">
        <f t="shared" si="1"/>
        <v>-60</v>
      </c>
    </row>
    <row r="8" spans="2:20" ht="18" x14ac:dyDescent="0.35">
      <c r="B8" s="88" t="s">
        <v>24</v>
      </c>
      <c r="C8" s="87">
        <f>H31/1000</f>
        <v>0</v>
      </c>
      <c r="D8" s="8"/>
      <c r="E8">
        <v>1</v>
      </c>
      <c r="F8" s="25" t="s">
        <v>21</v>
      </c>
      <c r="G8" s="51">
        <v>1</v>
      </c>
      <c r="H8" s="48" t="s">
        <v>12</v>
      </c>
      <c r="I8" s="25" t="s">
        <v>26</v>
      </c>
      <c r="J8" s="50">
        <v>10</v>
      </c>
      <c r="K8" s="160" t="s">
        <v>16</v>
      </c>
      <c r="L8" s="86" t="s">
        <v>27</v>
      </c>
      <c r="M8" s="51">
        <v>0.1</v>
      </c>
      <c r="N8" s="166" t="s">
        <v>12</v>
      </c>
      <c r="P8" t="s">
        <v>121</v>
      </c>
      <c r="Q8">
        <v>50</v>
      </c>
      <c r="R8" s="64" t="s">
        <v>16</v>
      </c>
      <c r="S8" s="176">
        <f t="shared" si="0"/>
        <v>40</v>
      </c>
      <c r="T8" s="176">
        <f t="shared" si="1"/>
        <v>-10</v>
      </c>
    </row>
    <row r="9" spans="2:20" ht="18" x14ac:dyDescent="0.35">
      <c r="B9" s="88" t="s">
        <v>28</v>
      </c>
      <c r="C9" s="87">
        <f>C10-SUM(C5:C8)</f>
        <v>2.3895996239535462</v>
      </c>
      <c r="D9" s="8"/>
      <c r="E9">
        <v>0.16</v>
      </c>
      <c r="F9" s="25" t="s">
        <v>25</v>
      </c>
      <c r="G9" s="51">
        <v>0.16</v>
      </c>
      <c r="H9" s="48" t="s">
        <v>12</v>
      </c>
      <c r="I9" s="25" t="s">
        <v>30</v>
      </c>
      <c r="J9" s="50">
        <v>10</v>
      </c>
      <c r="K9" s="160" t="s">
        <v>16</v>
      </c>
      <c r="L9" s="86" t="s">
        <v>31</v>
      </c>
      <c r="M9" s="51">
        <v>0.01</v>
      </c>
      <c r="N9" s="166" t="s">
        <v>12</v>
      </c>
      <c r="P9" t="s">
        <v>30</v>
      </c>
      <c r="Q9">
        <v>50</v>
      </c>
      <c r="R9" s="64" t="s">
        <v>16</v>
      </c>
      <c r="S9" s="176">
        <f t="shared" si="0"/>
        <v>40</v>
      </c>
      <c r="T9" s="176">
        <f t="shared" si="1"/>
        <v>-10</v>
      </c>
    </row>
    <row r="10" spans="2:20" ht="18.600000000000001" thickBot="1" x14ac:dyDescent="0.4">
      <c r="B10" s="89" t="s">
        <v>32</v>
      </c>
      <c r="C10" s="90">
        <f>SUM('Mod Wolfe v1 calcs'!B54:B66,'Mod Wolfe v1 calcs'!B69:B81)/1000</f>
        <v>2.3895996239535462</v>
      </c>
      <c r="D10" s="8"/>
      <c r="E10">
        <v>8.9999999999999993E-3</v>
      </c>
      <c r="F10" s="25" t="s">
        <v>29</v>
      </c>
      <c r="G10" s="51">
        <v>8.9999999999999993E-3</v>
      </c>
      <c r="H10" s="48" t="s">
        <v>12</v>
      </c>
      <c r="I10" s="25" t="s">
        <v>34</v>
      </c>
      <c r="J10" s="50">
        <v>10</v>
      </c>
      <c r="K10" s="160" t="s">
        <v>16</v>
      </c>
      <c r="L10" s="86" t="s">
        <v>35</v>
      </c>
      <c r="M10" s="51">
        <v>0.1</v>
      </c>
      <c r="N10" s="166" t="s">
        <v>12</v>
      </c>
      <c r="P10" t="s">
        <v>34</v>
      </c>
      <c r="Q10">
        <v>50</v>
      </c>
      <c r="R10" s="64" t="s">
        <v>16</v>
      </c>
      <c r="S10" s="176">
        <f t="shared" si="0"/>
        <v>40</v>
      </c>
      <c r="T10" s="176">
        <f t="shared" si="1"/>
        <v>-10</v>
      </c>
    </row>
    <row r="11" spans="2:20" ht="18.600000000000001" thickBot="1" x14ac:dyDescent="0.4">
      <c r="E11">
        <v>0.6</v>
      </c>
      <c r="F11" s="25" t="s">
        <v>33</v>
      </c>
      <c r="G11" s="51">
        <v>0.6</v>
      </c>
      <c r="H11" s="48" t="s">
        <v>12</v>
      </c>
      <c r="I11" s="25" t="s">
        <v>38</v>
      </c>
      <c r="J11" s="50">
        <v>10</v>
      </c>
      <c r="K11" s="160" t="s">
        <v>16</v>
      </c>
      <c r="L11" s="86" t="s">
        <v>179</v>
      </c>
      <c r="M11" s="51">
        <v>6.7999999999999996E-3</v>
      </c>
      <c r="N11" s="166" t="s">
        <v>12</v>
      </c>
      <c r="P11" t="s">
        <v>122</v>
      </c>
      <c r="Q11">
        <v>50</v>
      </c>
      <c r="R11" s="64" t="s">
        <v>16</v>
      </c>
      <c r="S11" s="176">
        <f t="shared" si="0"/>
        <v>40</v>
      </c>
      <c r="T11" s="176">
        <f t="shared" si="1"/>
        <v>-10</v>
      </c>
    </row>
    <row r="12" spans="2:20" ht="18.600000000000001" thickBot="1" x14ac:dyDescent="0.4">
      <c r="B12" s="96" t="s">
        <v>40</v>
      </c>
      <c r="C12" s="92"/>
      <c r="E12">
        <v>4</v>
      </c>
      <c r="F12" s="190" t="s">
        <v>385</v>
      </c>
      <c r="G12" s="51">
        <v>1.6</v>
      </c>
      <c r="H12" s="48" t="s">
        <v>37</v>
      </c>
      <c r="I12" s="25" t="s">
        <v>42</v>
      </c>
      <c r="J12" s="50">
        <v>5</v>
      </c>
      <c r="K12" s="160" t="s">
        <v>16</v>
      </c>
      <c r="L12" s="86" t="s">
        <v>43</v>
      </c>
      <c r="M12" s="51">
        <v>0.1</v>
      </c>
      <c r="N12" s="166" t="s">
        <v>12</v>
      </c>
      <c r="P12" t="s">
        <v>42</v>
      </c>
      <c r="Q12">
        <v>1</v>
      </c>
      <c r="R12" s="64" t="s">
        <v>16</v>
      </c>
      <c r="S12" s="176">
        <f t="shared" si="0"/>
        <v>20</v>
      </c>
      <c r="T12" s="176">
        <f t="shared" si="1"/>
        <v>19</v>
      </c>
    </row>
    <row r="13" spans="2:20" ht="18" x14ac:dyDescent="0.35">
      <c r="B13" s="98" t="s">
        <v>44</v>
      </c>
      <c r="C13" s="91">
        <f>H48</f>
        <v>0</v>
      </c>
      <c r="D13" s="8"/>
      <c r="E13">
        <v>15</v>
      </c>
      <c r="F13" s="94" t="s">
        <v>331</v>
      </c>
      <c r="G13" s="51">
        <v>15</v>
      </c>
      <c r="H13" s="48" t="s">
        <v>37</v>
      </c>
      <c r="I13" s="25" t="s">
        <v>45</v>
      </c>
      <c r="J13" s="50">
        <v>10</v>
      </c>
      <c r="K13" s="160" t="s">
        <v>16</v>
      </c>
      <c r="L13" s="86" t="s">
        <v>46</v>
      </c>
      <c r="M13" s="51">
        <v>0.1</v>
      </c>
      <c r="N13" s="166" t="s">
        <v>12</v>
      </c>
      <c r="P13" t="s">
        <v>45</v>
      </c>
      <c r="Q13">
        <v>50</v>
      </c>
      <c r="R13" s="64" t="s">
        <v>16</v>
      </c>
      <c r="S13" s="176">
        <f t="shared" si="0"/>
        <v>40</v>
      </c>
      <c r="T13" s="176">
        <f t="shared" si="1"/>
        <v>-10</v>
      </c>
    </row>
    <row r="14" spans="2:20" ht="18" x14ac:dyDescent="0.35">
      <c r="B14" s="88" t="s">
        <v>47</v>
      </c>
      <c r="C14" s="87">
        <f>H51</f>
        <v>0</v>
      </c>
      <c r="D14" s="8"/>
      <c r="E14">
        <v>10</v>
      </c>
      <c r="F14" s="94" t="s">
        <v>2</v>
      </c>
      <c r="G14" s="51">
        <v>10</v>
      </c>
      <c r="H14" s="48" t="s">
        <v>37</v>
      </c>
      <c r="I14" s="25" t="s">
        <v>288</v>
      </c>
      <c r="J14" s="77">
        <v>5</v>
      </c>
      <c r="K14" s="161" t="s">
        <v>16</v>
      </c>
      <c r="L14" s="86" t="s">
        <v>50</v>
      </c>
      <c r="M14" s="51">
        <v>0.1</v>
      </c>
      <c r="N14" s="166" t="s">
        <v>12</v>
      </c>
      <c r="P14" t="s">
        <v>288</v>
      </c>
      <c r="Q14">
        <v>50</v>
      </c>
      <c r="R14" s="78" t="s">
        <v>16</v>
      </c>
      <c r="S14" s="176">
        <f t="shared" si="0"/>
        <v>20</v>
      </c>
      <c r="T14" s="176">
        <f t="shared" si="1"/>
        <v>-30</v>
      </c>
    </row>
    <row r="15" spans="2:20" ht="18.600000000000001" thickBot="1" x14ac:dyDescent="0.4">
      <c r="B15" s="89" t="s">
        <v>51</v>
      </c>
      <c r="C15" s="90"/>
      <c r="D15" s="8"/>
      <c r="E15">
        <v>1</v>
      </c>
      <c r="F15" s="70" t="s">
        <v>48</v>
      </c>
      <c r="G15" s="51">
        <v>0</v>
      </c>
      <c r="H15" s="48" t="s">
        <v>37</v>
      </c>
      <c r="I15" s="76" t="s">
        <v>53</v>
      </c>
      <c r="J15" s="77">
        <v>1000</v>
      </c>
      <c r="K15" s="161" t="s">
        <v>37</v>
      </c>
      <c r="L15" s="86" t="s">
        <v>54</v>
      </c>
      <c r="M15" s="51">
        <v>1000</v>
      </c>
      <c r="N15" s="166" t="s">
        <v>37</v>
      </c>
      <c r="P15" t="s">
        <v>53</v>
      </c>
      <c r="Q15">
        <v>1000</v>
      </c>
      <c r="R15" s="78" t="s">
        <v>37</v>
      </c>
    </row>
    <row r="16" spans="2:20" ht="18.600000000000001" thickBot="1" x14ac:dyDescent="0.4">
      <c r="E16">
        <v>5</v>
      </c>
      <c r="F16" s="69" t="s">
        <v>52</v>
      </c>
      <c r="G16" s="51">
        <v>0</v>
      </c>
      <c r="H16" s="48" t="s">
        <v>12</v>
      </c>
      <c r="I16" s="65" t="s">
        <v>56</v>
      </c>
      <c r="J16" s="80">
        <f>SUMIFS(J5:J15,K5:K15,"mL")</f>
        <v>1000</v>
      </c>
      <c r="K16" s="162" t="s">
        <v>37</v>
      </c>
      <c r="L16" s="73" t="s">
        <v>56</v>
      </c>
      <c r="M16" s="81">
        <f>SUMIFS(M4:M15,N4:N15,"mL")</f>
        <v>1000</v>
      </c>
      <c r="N16" s="171" t="s">
        <v>57</v>
      </c>
    </row>
    <row r="17" spans="2:16" ht="18.600000000000001" thickBot="1" x14ac:dyDescent="0.4">
      <c r="E17">
        <v>10</v>
      </c>
      <c r="F17" s="71" t="s">
        <v>55</v>
      </c>
      <c r="G17" s="51">
        <v>10</v>
      </c>
      <c r="H17" s="48" t="s">
        <v>37</v>
      </c>
      <c r="L17" s="322"/>
      <c r="M17" s="323"/>
      <c r="N17" s="324"/>
    </row>
    <row r="18" spans="2:16" ht="18.600000000000001" thickBot="1" x14ac:dyDescent="0.4">
      <c r="B18" t="s">
        <v>399</v>
      </c>
      <c r="C18" t="s">
        <v>85</v>
      </c>
      <c r="D18" t="s">
        <v>400</v>
      </c>
      <c r="E18">
        <v>1000</v>
      </c>
      <c r="F18" s="46" t="s">
        <v>53</v>
      </c>
      <c r="G18" s="51">
        <f>G19-(G17+G14+G13+G12)</f>
        <v>963.4</v>
      </c>
      <c r="H18" s="48" t="s">
        <v>37</v>
      </c>
      <c r="I18" s="354" t="s">
        <v>36</v>
      </c>
      <c r="J18" s="355"/>
      <c r="K18" s="356"/>
      <c r="L18" s="3"/>
      <c r="M18" s="3"/>
    </row>
    <row r="19" spans="2:16" ht="18.600000000000001" thickBot="1" x14ac:dyDescent="0.4">
      <c r="C19" t="s">
        <v>52</v>
      </c>
      <c r="D19" t="s">
        <v>401</v>
      </c>
      <c r="F19" s="73" t="s">
        <v>56</v>
      </c>
      <c r="G19" s="81">
        <v>1000</v>
      </c>
      <c r="H19" s="49"/>
      <c r="I19" s="43" t="s">
        <v>6</v>
      </c>
      <c r="J19" s="44" t="s">
        <v>282</v>
      </c>
      <c r="K19" s="45" t="s">
        <v>8</v>
      </c>
      <c r="L19" s="3"/>
      <c r="M19" s="3"/>
      <c r="N19">
        <f>J20*(100/1000)</f>
        <v>5</v>
      </c>
    </row>
    <row r="20" spans="2:16" ht="18" x14ac:dyDescent="0.35">
      <c r="C20" t="s">
        <v>361</v>
      </c>
      <c r="D20" t="s">
        <v>401</v>
      </c>
      <c r="I20" s="86" t="s">
        <v>298</v>
      </c>
      <c r="J20" s="51">
        <v>50</v>
      </c>
      <c r="K20" s="166" t="s">
        <v>12</v>
      </c>
      <c r="L20" s="3"/>
      <c r="M20" s="3"/>
    </row>
    <row r="21" spans="2:16" ht="18" x14ac:dyDescent="0.35">
      <c r="C21" t="s">
        <v>39</v>
      </c>
      <c r="D21" t="s">
        <v>401</v>
      </c>
      <c r="F21" s="7"/>
      <c r="G21" s="97"/>
      <c r="I21" s="86" t="s">
        <v>330</v>
      </c>
      <c r="J21" s="51">
        <v>1000</v>
      </c>
      <c r="K21" s="166" t="s">
        <v>37</v>
      </c>
      <c r="L21" s="3"/>
      <c r="M21" s="3"/>
    </row>
    <row r="22" spans="2:16" ht="18.600000000000001" thickBot="1" x14ac:dyDescent="0.4">
      <c r="C22" t="s">
        <v>179</v>
      </c>
      <c r="D22" t="s">
        <v>400</v>
      </c>
      <c r="F22" s="7"/>
      <c r="G22" s="7"/>
      <c r="H22" s="7"/>
      <c r="I22" s="73" t="s">
        <v>56</v>
      </c>
      <c r="J22" s="81">
        <f>SUMIFS(J20:J21,K20:K21,"mL")</f>
        <v>1000</v>
      </c>
      <c r="K22" s="171" t="s">
        <v>57</v>
      </c>
      <c r="L22" s="3"/>
      <c r="M22" s="3"/>
    </row>
    <row r="23" spans="2:16" ht="18.600000000000001" thickBot="1" x14ac:dyDescent="0.4">
      <c r="C23" t="s">
        <v>298</v>
      </c>
      <c r="D23" t="s">
        <v>402</v>
      </c>
      <c r="G23" s="1"/>
      <c r="H23" s="8"/>
      <c r="I23" s="319"/>
      <c r="J23" s="320"/>
      <c r="K23" s="321"/>
    </row>
    <row r="24" spans="2:16" ht="15" thickBot="1" x14ac:dyDescent="0.35">
      <c r="G24" s="1"/>
      <c r="H24" s="8"/>
      <c r="I24" s="354" t="s">
        <v>331</v>
      </c>
      <c r="J24" s="355"/>
      <c r="K24" s="356"/>
    </row>
    <row r="25" spans="2:16" ht="18" x14ac:dyDescent="0.35">
      <c r="G25" s="1"/>
      <c r="H25" s="8"/>
      <c r="I25" s="43" t="s">
        <v>6</v>
      </c>
      <c r="J25" s="44" t="s">
        <v>7</v>
      </c>
      <c r="K25" s="45" t="s">
        <v>8</v>
      </c>
      <c r="O25" s="7"/>
      <c r="P25" s="7"/>
    </row>
    <row r="26" spans="2:16" ht="18" x14ac:dyDescent="0.35">
      <c r="G26" s="1"/>
      <c r="H26" s="8"/>
      <c r="I26" s="86" t="s">
        <v>195</v>
      </c>
      <c r="J26" s="51">
        <v>35.130000000000003</v>
      </c>
      <c r="K26" s="166" t="s">
        <v>12</v>
      </c>
      <c r="O26" s="7"/>
      <c r="P26" s="7"/>
    </row>
    <row r="27" spans="2:16" ht="18" x14ac:dyDescent="0.35">
      <c r="G27" s="1"/>
      <c r="H27" s="8"/>
      <c r="I27" s="86" t="s">
        <v>330</v>
      </c>
      <c r="J27" s="51">
        <v>1000</v>
      </c>
      <c r="K27" s="166" t="s">
        <v>37</v>
      </c>
      <c r="L27" s="42"/>
      <c r="M27" s="42"/>
      <c r="N27" s="7"/>
    </row>
    <row r="28" spans="2:16" ht="18.600000000000001" thickBot="1" x14ac:dyDescent="0.4">
      <c r="G28" s="1"/>
      <c r="H28" s="8"/>
      <c r="I28" s="73" t="s">
        <v>56</v>
      </c>
      <c r="J28" s="81">
        <f>SUMIFS(J26:J27,K26:K27,"mL")</f>
        <v>1000</v>
      </c>
      <c r="K28" s="171" t="s">
        <v>57</v>
      </c>
      <c r="L28" s="7"/>
      <c r="M28" s="7"/>
      <c r="N28" s="7"/>
    </row>
    <row r="29" spans="2:16" ht="18.600000000000001" thickBot="1" x14ac:dyDescent="0.4">
      <c r="G29" s="1"/>
      <c r="H29" s="8"/>
      <c r="I29" s="319"/>
      <c r="J29" s="320"/>
      <c r="K29" s="321"/>
    </row>
    <row r="30" spans="2:16" x14ac:dyDescent="0.3">
      <c r="G30" s="1"/>
      <c r="H30" s="8"/>
      <c r="I30" s="8"/>
      <c r="J30" s="83"/>
    </row>
    <row r="31" spans="2:16" x14ac:dyDescent="0.3">
      <c r="G31" s="1"/>
      <c r="H31" s="8"/>
      <c r="I31" s="8"/>
    </row>
    <row r="32" spans="2:16" x14ac:dyDescent="0.3">
      <c r="G32" s="1"/>
      <c r="H32" s="8"/>
      <c r="I32" s="8"/>
    </row>
    <row r="33" spans="3:9" x14ac:dyDescent="0.3">
      <c r="G33" s="1"/>
      <c r="H33" s="8"/>
      <c r="I33" s="8"/>
    </row>
    <row r="34" spans="3:9" x14ac:dyDescent="0.3">
      <c r="G34" s="1"/>
      <c r="H34" s="8"/>
      <c r="I34" s="8"/>
    </row>
    <row r="35" spans="3:9" x14ac:dyDescent="0.3">
      <c r="G35" s="1"/>
      <c r="H35" s="8"/>
      <c r="I35" s="8"/>
    </row>
    <row r="36" spans="3:9" x14ac:dyDescent="0.3">
      <c r="G36" s="1"/>
      <c r="H36" s="8"/>
      <c r="I36" s="8"/>
    </row>
    <row r="37" spans="3:9" x14ac:dyDescent="0.3">
      <c r="G37" s="1"/>
      <c r="H37" s="8"/>
      <c r="I37" s="8"/>
    </row>
    <row r="38" spans="3:9" x14ac:dyDescent="0.3">
      <c r="G38" s="1"/>
      <c r="H38" s="8"/>
      <c r="I38" s="8"/>
    </row>
    <row r="39" spans="3:9" x14ac:dyDescent="0.3">
      <c r="G39" s="1"/>
      <c r="H39" s="8"/>
      <c r="I39" s="8"/>
    </row>
    <row r="40" spans="3:9" x14ac:dyDescent="0.3">
      <c r="G40" s="1"/>
      <c r="H40" s="8"/>
      <c r="I40" s="8"/>
    </row>
    <row r="41" spans="3:9" x14ac:dyDescent="0.3">
      <c r="G41" s="1"/>
      <c r="H41" s="8"/>
      <c r="I41" s="8"/>
    </row>
    <row r="42" spans="3:9" x14ac:dyDescent="0.3">
      <c r="G42" s="1"/>
      <c r="H42" s="8"/>
      <c r="I42" s="8"/>
    </row>
    <row r="43" spans="3:9" x14ac:dyDescent="0.3">
      <c r="C43" t="s">
        <v>83</v>
      </c>
      <c r="G43" s="1"/>
      <c r="H43" s="8"/>
      <c r="I43" s="8"/>
    </row>
    <row r="44" spans="3:9" x14ac:dyDescent="0.3">
      <c r="G44" s="1"/>
      <c r="H44" s="8"/>
      <c r="I44" s="8"/>
    </row>
    <row r="45" spans="3:9" x14ac:dyDescent="0.3">
      <c r="G45" s="1"/>
      <c r="H45" s="8"/>
      <c r="I45" s="8"/>
    </row>
    <row r="46" spans="3:9" x14ac:dyDescent="0.3">
      <c r="G46" s="1"/>
      <c r="H46" s="8"/>
      <c r="I46" s="8"/>
    </row>
    <row r="47" spans="3:9" x14ac:dyDescent="0.3">
      <c r="G47" s="1"/>
      <c r="H47" s="8"/>
      <c r="I47" s="8"/>
    </row>
    <row r="48" spans="3:9" x14ac:dyDescent="0.3">
      <c r="G48" s="1"/>
      <c r="H48" s="8"/>
      <c r="I48" s="8"/>
    </row>
    <row r="49" spans="1:9" x14ac:dyDescent="0.3">
      <c r="G49" s="1"/>
      <c r="H49" s="8"/>
      <c r="I49" s="8"/>
    </row>
    <row r="50" spans="1:9" x14ac:dyDescent="0.3">
      <c r="G50" s="1"/>
      <c r="H50" s="8"/>
      <c r="I50" s="8"/>
    </row>
    <row r="51" spans="1:9" x14ac:dyDescent="0.3">
      <c r="G51" s="1"/>
      <c r="H51" s="8"/>
      <c r="I51" s="8"/>
    </row>
    <row r="52" spans="1:9" x14ac:dyDescent="0.3">
      <c r="I52" s="8"/>
    </row>
    <row r="53" spans="1:9" x14ac:dyDescent="0.3">
      <c r="I53" s="8"/>
    </row>
    <row r="54" spans="1:9" x14ac:dyDescent="0.3">
      <c r="I54" s="8"/>
    </row>
    <row r="55" spans="1:9" x14ac:dyDescent="0.3">
      <c r="G55" s="83"/>
      <c r="H55" s="83"/>
      <c r="I55" s="8"/>
    </row>
    <row r="59" spans="1:9" x14ac:dyDescent="0.3">
      <c r="A59">
        <v>61</v>
      </c>
      <c r="B59">
        <v>-0.13</v>
      </c>
      <c r="C59">
        <v>-0.13</v>
      </c>
      <c r="E59">
        <f>SUM(B59:C59)/A59*30</f>
        <v>-0.12786885245901641</v>
      </c>
    </row>
    <row r="60" spans="1:9" x14ac:dyDescent="0.3">
      <c r="A60">
        <v>33</v>
      </c>
      <c r="B60">
        <v>-6.95</v>
      </c>
      <c r="C60">
        <v>0.2</v>
      </c>
    </row>
    <row r="61" spans="1:9" x14ac:dyDescent="0.3">
      <c r="A61">
        <v>23</v>
      </c>
      <c r="B61">
        <v>-7.67</v>
      </c>
      <c r="C61">
        <v>0.57999999999999996</v>
      </c>
    </row>
    <row r="62" spans="1:9" x14ac:dyDescent="0.3">
      <c r="A62">
        <v>18</v>
      </c>
      <c r="B62">
        <v>-18.02</v>
      </c>
      <c r="C62">
        <v>-0.51</v>
      </c>
    </row>
    <row r="63" spans="1:9" x14ac:dyDescent="0.3">
      <c r="A63">
        <v>25</v>
      </c>
      <c r="B63">
        <v>-49.15</v>
      </c>
      <c r="C63">
        <v>-1.18</v>
      </c>
    </row>
  </sheetData>
  <mergeCells count="5">
    <mergeCell ref="L2:N2"/>
    <mergeCell ref="F3:H3"/>
    <mergeCell ref="I3:K3"/>
    <mergeCell ref="I18:K18"/>
    <mergeCell ref="I24:K24"/>
  </mergeCells>
  <conditionalFormatting sqref="J30:K30 O30:P30 L32:N32">
    <cfRule type="cellIs" dxfId="69" priority="15" operator="greaterThan">
      <formula>$H$26</formula>
    </cfRule>
  </conditionalFormatting>
  <conditionalFormatting sqref="J37:K37 O37:P37 L39:N39">
    <cfRule type="cellIs" dxfId="68" priority="14" operator="greaterThan">
      <formula>$H$33</formula>
    </cfRule>
  </conditionalFormatting>
  <conditionalFormatting sqref="J38:K38 O38:P38 L40:N40">
    <cfRule type="cellIs" dxfId="67" priority="13" operator="greaterThan">
      <formula>$H$34</formula>
    </cfRule>
  </conditionalFormatting>
  <conditionalFormatting sqref="J39:K39 O39:P39 L41:N41">
    <cfRule type="cellIs" dxfId="66" priority="12" operator="greaterThan">
      <formula>$H$35</formula>
    </cfRule>
  </conditionalFormatting>
  <conditionalFormatting sqref="J40:K40 O40:P40 L42:N42">
    <cfRule type="cellIs" dxfId="65" priority="11" operator="greaterThan">
      <formula>$H$36</formula>
    </cfRule>
  </conditionalFormatting>
  <conditionalFormatting sqref="J45:K45 O45:P45 L47:N47">
    <cfRule type="cellIs" dxfId="64" priority="10" operator="greaterThan">
      <formula>$H$41</formula>
    </cfRule>
  </conditionalFormatting>
  <conditionalFormatting sqref="J46:K46 O46:P46 L48:N48">
    <cfRule type="cellIs" dxfId="63" priority="9" operator="greaterThan">
      <formula>$H$42</formula>
    </cfRule>
  </conditionalFormatting>
  <conditionalFormatting sqref="J48:K48 O48:P48 L50:N50">
    <cfRule type="cellIs" dxfId="62" priority="8" operator="greaterThan">
      <formula>$H$44</formula>
    </cfRule>
  </conditionalFormatting>
  <conditionalFormatting sqref="J49:K49 O49:P49 L51:N51">
    <cfRule type="cellIs" dxfId="61" priority="7" operator="greaterThan">
      <formula>$H$45</formula>
    </cfRule>
  </conditionalFormatting>
  <conditionalFormatting sqref="J50:K50 O50:P50 L52:N52">
    <cfRule type="cellIs" dxfId="60" priority="6" operator="greaterThan">
      <formula>$H$46</formula>
    </cfRule>
  </conditionalFormatting>
  <conditionalFormatting sqref="J51:K51 O51:P51 L53:N53">
    <cfRule type="cellIs" dxfId="59" priority="5" operator="greaterThan">
      <formula>$H$47</formula>
    </cfRule>
  </conditionalFormatting>
  <conditionalFormatting sqref="J52:K52 O52:P52 L54:N54">
    <cfRule type="cellIs" dxfId="58" priority="4" operator="greaterThan">
      <formula>$H$48</formula>
    </cfRule>
  </conditionalFormatting>
  <conditionalFormatting sqref="J53:K53 O53:P53 L55:N55">
    <cfRule type="cellIs" dxfId="57" priority="3" operator="greaterThan">
      <formula>$H$49</formula>
    </cfRule>
  </conditionalFormatting>
  <conditionalFormatting sqref="J54:K54 O54:P54 L56:N56">
    <cfRule type="cellIs" dxfId="56" priority="2" operator="greaterThan">
      <formula>$H$50</formula>
    </cfRule>
  </conditionalFormatting>
  <conditionalFormatting sqref="J55:K55 O55:P55 L57:N57">
    <cfRule type="cellIs" dxfId="55" priority="1" operator="greaterThan">
      <formula>$H$51</formula>
    </cfRule>
  </conditionalFormatting>
  <conditionalFormatting sqref="O27:P27 L29:N29">
    <cfRule type="cellIs" dxfId="54" priority="18" operator="greaterThan">
      <formula>$H$23</formula>
    </cfRule>
  </conditionalFormatting>
  <conditionalFormatting sqref="O28:P28 L30:N30">
    <cfRule type="cellIs" dxfId="53" priority="17" operator="greaterThan">
      <formula>$H$24</formula>
    </cfRule>
  </conditionalFormatting>
  <conditionalFormatting sqref="O29:P29 L31:N31">
    <cfRule type="cellIs" dxfId="52" priority="16" operator="greaterThan">
      <formula>$H$25</formula>
    </cfRule>
  </conditionalFormatting>
  <pageMargins left="0.7" right="0.7" top="0.75" bottom="0.75" header="0.3" footer="0.3"/>
  <pageSetup scale="37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A7E7C-1165-47C8-A822-1C325126BF20}">
  <sheetPr>
    <tabColor theme="4" tint="0.39997558519241921"/>
    <pageSetUpPr fitToPage="1"/>
  </sheetPr>
  <dimension ref="A1:AL62"/>
  <sheetViews>
    <sheetView zoomScale="79" zoomScaleNormal="70" workbookViewId="0">
      <selection activeCell="E3" sqref="E3"/>
    </sheetView>
  </sheetViews>
  <sheetFormatPr defaultRowHeight="14.4" x14ac:dyDescent="0.3"/>
  <cols>
    <col min="1" max="1" width="21.109375" customWidth="1"/>
    <col min="2" max="3" width="21.33203125" customWidth="1"/>
    <col min="4" max="4" width="11.44140625" customWidth="1"/>
    <col min="5" max="5" width="13.5546875" customWidth="1"/>
    <col min="6" max="6" width="11.44140625" customWidth="1"/>
    <col min="7" max="7" width="16.44140625" customWidth="1"/>
    <col min="8" max="8" width="17.5546875" customWidth="1"/>
    <col min="9" max="13" width="15.21875" customWidth="1"/>
    <col min="19" max="19" width="20.88671875" customWidth="1"/>
    <col min="20" max="20" width="24" customWidth="1"/>
    <col min="21" max="21" width="14.109375" customWidth="1"/>
    <col min="22" max="22" width="15.88671875" customWidth="1"/>
    <col min="23" max="24" width="11.88671875" customWidth="1"/>
    <col min="25" max="25" width="11.5546875" customWidth="1"/>
    <col min="26" max="26" width="11.109375" customWidth="1"/>
    <col min="27" max="27" width="9.6640625" bestFit="1" customWidth="1"/>
    <col min="28" max="28" width="12.33203125" customWidth="1"/>
    <col min="29" max="29" width="15.44140625" customWidth="1"/>
    <col min="30" max="30" width="19.109375" customWidth="1"/>
    <col min="31" max="31" width="10.44140625" customWidth="1"/>
    <col min="37" max="37" width="26.109375" customWidth="1"/>
  </cols>
  <sheetData>
    <row r="1" spans="1:30" ht="15" thickBot="1" x14ac:dyDescent="0.35">
      <c r="C1" t="s">
        <v>421</v>
      </c>
      <c r="D1">
        <v>0</v>
      </c>
      <c r="E1">
        <v>13</v>
      </c>
      <c r="F1">
        <v>38</v>
      </c>
      <c r="G1">
        <v>94</v>
      </c>
      <c r="H1">
        <v>108</v>
      </c>
      <c r="I1">
        <v>125</v>
      </c>
      <c r="J1">
        <v>135</v>
      </c>
      <c r="K1">
        <v>146</v>
      </c>
      <c r="L1">
        <v>150</v>
      </c>
      <c r="M1">
        <v>161</v>
      </c>
    </row>
    <row r="2" spans="1:30" ht="60.6" customHeight="1" thickBot="1" x14ac:dyDescent="0.35">
      <c r="A2" s="293" t="s">
        <v>367</v>
      </c>
      <c r="C2" s="293"/>
      <c r="D2" s="290" t="s">
        <v>412</v>
      </c>
      <c r="E2" s="290" t="s">
        <v>422</v>
      </c>
      <c r="F2" s="342" t="s">
        <v>413</v>
      </c>
      <c r="G2" s="342" t="s">
        <v>414</v>
      </c>
      <c r="H2" s="342" t="s">
        <v>415</v>
      </c>
      <c r="I2" s="290" t="s">
        <v>419</v>
      </c>
      <c r="J2" s="342" t="s">
        <v>417</v>
      </c>
      <c r="K2" s="342" t="s">
        <v>418</v>
      </c>
      <c r="L2" s="290" t="s">
        <v>416</v>
      </c>
      <c r="M2" s="290" t="s">
        <v>420</v>
      </c>
      <c r="N2" s="103"/>
      <c r="O2" s="103"/>
      <c r="S2" s="7"/>
      <c r="T2" s="97"/>
      <c r="U2" s="97"/>
      <c r="V2" s="103"/>
      <c r="W2" s="103"/>
      <c r="X2" s="103"/>
      <c r="Y2" s="103"/>
      <c r="Z2" s="338"/>
      <c r="AA2" s="339"/>
      <c r="AB2" s="104"/>
      <c r="AC2" s="103"/>
      <c r="AD2" s="97"/>
    </row>
    <row r="3" spans="1:30" ht="48" customHeight="1" thickBot="1" x14ac:dyDescent="0.35">
      <c r="B3" s="330" t="s">
        <v>403</v>
      </c>
      <c r="C3" s="331" t="s">
        <v>394</v>
      </c>
      <c r="D3" s="291"/>
      <c r="E3" s="343"/>
      <c r="F3" s="343"/>
      <c r="G3" s="343"/>
      <c r="H3" s="343"/>
      <c r="I3" s="343"/>
      <c r="J3" s="343"/>
      <c r="K3" s="343"/>
      <c r="L3" s="292"/>
      <c r="M3" s="292"/>
      <c r="S3" s="7"/>
      <c r="T3" s="7"/>
      <c r="U3" s="7"/>
      <c r="V3" s="104"/>
      <c r="W3" s="103"/>
      <c r="X3" s="104"/>
      <c r="Y3" s="104"/>
      <c r="Z3" s="104"/>
      <c r="AA3" s="104"/>
      <c r="AB3" s="104"/>
      <c r="AC3" s="104"/>
    </row>
    <row r="4" spans="1:30" ht="15.6" customHeight="1" x14ac:dyDescent="0.3">
      <c r="A4" s="83" t="s">
        <v>355</v>
      </c>
      <c r="B4" s="334" t="s">
        <v>279</v>
      </c>
      <c r="C4" s="329">
        <v>10</v>
      </c>
      <c r="D4" s="292">
        <f>IFERROR(IF(VLOOKUP(B4,'DSMZ 120 v1 calcs'!$A$53:$D$120,2,FALSE)&gt;0,VLOOKUP(B4,'DSMZ 120 v1 calcs'!$A$53:$D$120,2,FALSE),""),"")</f>
        <v>4.4697308924002375</v>
      </c>
      <c r="E4" s="292">
        <f>IFERROR(IF(VLOOKUP(B4,'DSMZ 120 v1.5 calcs'!$A$53:$D$120,2,FALSE)&gt;0,VLOOKUP(B4,'DSMZ 120 v1.5 calcs'!$A$53:$D$120,2,FALSE),""),"")</f>
        <v>6.6124893497267436</v>
      </c>
      <c r="F4" s="292">
        <f>IFERROR(IF(VLOOKUP(B4,'DSMZ 120 v2 calcs'!$A$53:$D$120,2,FALSE)&gt;0,VLOOKUP(B4,'DSMZ 120 v2 calcs'!$A$53:$D$120,2,FALSE),""),"")</f>
        <v>3.5862197074678948</v>
      </c>
      <c r="G4" s="292">
        <f>IFERROR(IF(VLOOKUP(B4,'DSMZ 120 v3 calcs'!$A$53:$D$120,2,FALSE)&gt;0,VLOOKUP(B4,'DSMZ 120 v3 calcs'!$A$53:$D$120,2,FALSE),""),"")</f>
        <v>3.5862197074678948</v>
      </c>
      <c r="H4" s="292">
        <f>IFERROR(IF(VLOOKUP(B4,'DSMZ 120 v4 calcs'!$A$53:$D$120,2,FALSE)&gt;0,VLOOKUP(B4,'DSMZ 120 v4 calcs'!$A$53:$D$120,2,FALSE),""),"")</f>
        <v>3.5862197074678948</v>
      </c>
      <c r="I4" s="292">
        <f>IFERROR(IF(VLOOKUP(B4,'RM 10.6 Speece 1996'!$A$57:$D$120,2,FALSE)&gt;0,VLOOKUP(B4,'RM 10.6 Speece 1996'!$A$57:$D$120,2,FALSE),""),"")</f>
        <v>2.1125761303258854</v>
      </c>
      <c r="J4" s="292">
        <f>IFERROR(IF(VLOOKUP(B4,'Mod Wolfe v1 calcs'!$A$53:$D$108,2,FALSE)&gt;0,VLOOKUP(B4,'Mod Wolfe v1 calcs'!$A$53:$D$108,2,FALSE),""),"")</f>
        <v>1.6613419470655408</v>
      </c>
      <c r="K4" s="292">
        <f>IFERROR(IF(VLOOKUP(B4,'Mod Wolfe v2 calcs'!$A$56:$D$112,2,FALSE)&gt;0,VLOOKUP(B4,'Mod Wolfe v2 calcs'!$A$56:$D$112,2,FALSE),""),"")</f>
        <v>1.9784927078129202</v>
      </c>
      <c r="L4" s="292">
        <f>IFERROR(IF(VLOOKUP(B4,'Mod Wolfe v3 calcs'!$A$53:$D$108,2,FALSE)&gt;0,VLOOKUP(B4,'Mod Wolfe v3 calcs'!$A$53:$D$108,2,FALSE),""),"")</f>
        <v>1.6613176150914897</v>
      </c>
      <c r="M4" s="292">
        <f>IFERROR(IF(VLOOKUP(B4,'Mod Wolfe v4 calcs'!$A$53:$D$108,2,FALSE)&gt;0,VLOOKUP(B4,'Mod Wolfe v4 calcs'!$A$53:$D$108,2,FALSE),""),"")</f>
        <v>1.6613176150914897</v>
      </c>
      <c r="S4" s="7"/>
      <c r="T4" s="83"/>
      <c r="U4" s="7"/>
      <c r="V4" s="104"/>
      <c r="W4" s="103"/>
      <c r="X4" s="104"/>
      <c r="Y4" s="104"/>
      <c r="Z4" s="104"/>
      <c r="AA4" s="104"/>
      <c r="AB4" s="104"/>
      <c r="AC4" s="104"/>
    </row>
    <row r="5" spans="1:30" x14ac:dyDescent="0.3">
      <c r="B5" s="335" t="s">
        <v>4</v>
      </c>
      <c r="C5" s="306">
        <v>0.3</v>
      </c>
      <c r="D5" s="292">
        <f>IFERROR(IF(VLOOKUP(B5,'DSMZ 120 v1 calcs'!$A$53:$D$120,2,FALSE)&gt;0,VLOOKUP(B5,'DSMZ 120 v1 calcs'!$A$53:$D$120,2,FALSE),""),"")</f>
        <v>0.10131564476301702</v>
      </c>
      <c r="E5" s="292">
        <f>IFERROR(IF(VLOOKUP(B5,'DSMZ 120 v1.5 calcs'!$A$53:$D$120,2,FALSE)&gt;0,VLOOKUP(B5,'DSMZ 120 v1.5 calcs'!$A$53:$D$120,2,FALSE),""),"")</f>
        <v>0.12512233444281703</v>
      </c>
      <c r="F5" s="292">
        <f>IFERROR(IF(VLOOKUP(B5,'DSMZ 120 v2 calcs'!$A$53:$D$120,2,FALSE)&gt;0,VLOOKUP(B5,'DSMZ 120 v2 calcs'!$A$53:$D$120,2,FALSE),""),"")</f>
        <v>8.6077317321836946E-2</v>
      </c>
      <c r="G5" s="292">
        <f>IFERROR(IF(VLOOKUP(B5,'DSMZ 120 v3 calcs'!$A$53:$D$120,2,FALSE)&gt;0,VLOOKUP(B5,'DSMZ 120 v3 calcs'!$A$53:$D$120,2,FALSE),""),"")</f>
        <v>8.6077317321836946E-2</v>
      </c>
      <c r="H5" s="292">
        <f>IFERROR(IF(VLOOKUP(B5,'DSMZ 120 v4 calcs'!$A$53:$D$120,2,FALSE)&gt;0,VLOOKUP(B5,'DSMZ 120 v4 calcs'!$A$53:$D$120,2,FALSE),""),"")</f>
        <v>8.6077317321836946E-2</v>
      </c>
      <c r="I5" s="292">
        <f>IFERROR(IF(VLOOKUP(B5,'RM 10.6 Speece 1996'!$A$57:$D$120,2,FALSE)&gt;0,VLOOKUP(B5,'RM 10.6 Speece 1996'!$A$57:$D$120,2,FALSE),""),"")</f>
        <v>3.1252361771877027E-2</v>
      </c>
      <c r="J5" s="292">
        <f>IFERROR(IF(VLOOKUP(B5,'Mod Wolfe v1 calcs'!$A$53:$D$108,2,FALSE)&gt;0,VLOOKUP(B5,'Mod Wolfe v1 calcs'!$A$53:$D$108,2,FALSE),""),"")</f>
        <v>5.5130036400175816E-2</v>
      </c>
      <c r="K5" s="292">
        <f>IFERROR(IF(VLOOKUP(B5,'Mod Wolfe v2 calcs'!$A$56:$D$112,2,FALSE)&gt;0,VLOOKUP(B5,'Mod Wolfe v2 calcs'!$A$56:$D$112,2,FALSE),""),"")</f>
        <v>6.1969826715584486E-2</v>
      </c>
      <c r="L5" s="292">
        <f>IFERROR(IF(VLOOKUP(B5,'Mod Wolfe v3 calcs'!$A$53:$D$108,2,FALSE)&gt;0,VLOOKUP(B5,'Mod Wolfe v3 calcs'!$A$53:$D$108,2,FALSE),""),"")</f>
        <v>5.5129431533971471E-2</v>
      </c>
      <c r="M5" s="292">
        <f>IFERROR(IF(VLOOKUP(B5,'Mod Wolfe v4 calcs'!$A$53:$D$108,2,FALSE)&gt;0,VLOOKUP(B5,'Mod Wolfe v4 calcs'!$A$53:$D$108,2,FALSE),""),"")</f>
        <v>5.5813800545742615E-2</v>
      </c>
      <c r="S5" s="7"/>
      <c r="T5" s="7"/>
      <c r="U5" s="7"/>
      <c r="V5" s="104"/>
      <c r="W5" s="103"/>
      <c r="X5" s="104"/>
      <c r="Y5" s="104"/>
      <c r="Z5" s="104"/>
      <c r="AA5" s="104"/>
      <c r="AB5" s="104"/>
      <c r="AC5" s="104"/>
    </row>
    <row r="6" spans="1:30" x14ac:dyDescent="0.3">
      <c r="B6" s="335" t="s">
        <v>353</v>
      </c>
      <c r="C6" s="306"/>
      <c r="D6" s="332"/>
      <c r="E6" s="332"/>
      <c r="F6" s="332"/>
      <c r="G6" s="332"/>
      <c r="H6" s="332"/>
      <c r="I6" s="332"/>
      <c r="J6" s="332"/>
      <c r="K6" s="332"/>
      <c r="L6" s="332"/>
      <c r="M6" s="332"/>
      <c r="T6" s="1"/>
      <c r="U6" s="8"/>
      <c r="V6" s="117"/>
      <c r="W6" s="340"/>
      <c r="X6" s="6"/>
      <c r="Y6" s="6"/>
      <c r="Z6" s="6"/>
      <c r="AA6" s="6"/>
      <c r="AB6" s="6"/>
      <c r="AC6" s="6"/>
    </row>
    <row r="7" spans="1:30" x14ac:dyDescent="0.3">
      <c r="B7" s="336" t="s">
        <v>51</v>
      </c>
      <c r="C7" s="307"/>
      <c r="D7" s="292">
        <f>IFERROR(IF(VLOOKUP(B7,'DSMZ 120 v1 calcs'!$A$53:$D$120,2,FALSE)&gt;0,VLOOKUP(B7,'DSMZ 120 v1 calcs'!$A$53:$D$120,2,FALSE),""),"")</f>
        <v>4127.8429330079107</v>
      </c>
      <c r="E7" s="292">
        <f>IFERROR(IF(VLOOKUP(B7,'DSMZ 120 v1.5 calcs'!$A$53:$D$120,2,FALSE)&gt;0,VLOOKUP(B7,'DSMZ 120 v1.5 calcs'!$A$53:$D$120,2,FALSE),""),"")</f>
        <v>4413.7612760623078</v>
      </c>
      <c r="F7" s="292">
        <f>IFERROR(IF(VLOOKUP(B7,'DSMZ 120 v2 calcs'!$A$53:$D$120,2,FALSE)&gt;0,VLOOKUP(B7,'DSMZ 120 v2 calcs'!$A$53:$D$120,2,FALSE),""),"")</f>
        <v>3029.7690575964771</v>
      </c>
      <c r="G7" s="292">
        <f>IFERROR(IF(VLOOKUP(B7,'DSMZ 120 v3 calcs'!$A$53:$D$120,2,FALSE)&gt;0,VLOOKUP(B7,'DSMZ 120 v3 calcs'!$A$53:$D$120,2,FALSE),""),"")</f>
        <v>3029.7690575964771</v>
      </c>
      <c r="H7" s="292">
        <f>IFERROR(IF(VLOOKUP(B7,'DSMZ 120 v4 calcs'!$A$53:$D$120,2,FALSE)&gt;0,VLOOKUP(B7,'DSMZ 120 v4 calcs'!$A$53:$D$120,2,FALSE),""),"")</f>
        <v>61.754700542793707</v>
      </c>
      <c r="I7" s="292">
        <f>IFERROR(IF(VLOOKUP(B7,'RM 10.6 Speece 1996'!$A$57:$D$120,2,FALSE)&gt;0,VLOOKUP(B7,'RM 10.6 Speece 1996'!$A$57:$D$120,2,FALSE),""),"")</f>
        <v>40.002844805481367</v>
      </c>
      <c r="J7" s="292">
        <f>IFERROR(IF(VLOOKUP(B7,'Mod Wolfe v1 calcs'!$A$53:$D$108,2,FALSE)&gt;0,VLOOKUP(B7,'Mod Wolfe v1 calcs'!$A$53:$D$108,2,FALSE),""),"")</f>
        <v>90.606507805897238</v>
      </c>
      <c r="K7" s="292">
        <f>IFERROR(IF(VLOOKUP(B7,'Mod Wolfe v2 calcs'!$A$56:$D$112,2,FALSE)&gt;0,VLOOKUP(B7,'Mod Wolfe v2 calcs'!$A$56:$D$112,2,FALSE),""),"")</f>
        <v>86.402945834704724</v>
      </c>
      <c r="L7" s="292">
        <f>IFERROR(IF(VLOOKUP(B7,'Mod Wolfe v3 calcs'!$A$53:$D$108,2,FALSE)&gt;0,VLOOKUP(B7,'Mod Wolfe v3 calcs'!$A$53:$D$108,2,FALSE),""),"")</f>
        <v>90.606507805897238</v>
      </c>
      <c r="M7" s="292">
        <f>IFERROR(IF(VLOOKUP(B7,'Mod Wolfe v4 calcs'!$A$53:$D$108,2,FALSE)&gt;0,VLOOKUP(B7,'Mod Wolfe v4 calcs'!$A$53:$D$108,2,FALSE),""),"")</f>
        <v>131.70286696275457</v>
      </c>
      <c r="T7" s="1"/>
      <c r="U7" s="8"/>
      <c r="V7" s="117"/>
      <c r="W7" s="340"/>
      <c r="X7" s="6"/>
      <c r="Y7" s="6"/>
      <c r="Z7" s="6"/>
      <c r="AA7" s="6"/>
      <c r="AB7" s="6"/>
      <c r="AC7" s="6"/>
    </row>
    <row r="8" spans="1:30" x14ac:dyDescent="0.3">
      <c r="B8" s="336" t="s">
        <v>47</v>
      </c>
      <c r="C8" s="307"/>
      <c r="D8" s="292">
        <f>IFERROR(IF(VLOOKUP(B8,'DSMZ 120 v1 calcs'!$A$53:$D$120,2,FALSE)&gt;0,VLOOKUP(B8,'DSMZ 120 v1 calcs'!$A$53:$D$120,2,FALSE),""),"")</f>
        <v>154.92761073977618</v>
      </c>
      <c r="E8" s="292">
        <f>IFERROR(IF(VLOOKUP(B8,'DSMZ 120 v1.5 calcs'!$A$53:$D$120,2,FALSE)&gt;0,VLOOKUP(B8,'DSMZ 120 v1.5 calcs'!$A$53:$D$120,2,FALSE),""),"")</f>
        <v>154.92761073977618</v>
      </c>
      <c r="F8" s="292">
        <f>IFERROR(IF(VLOOKUP(B8,'DSMZ 120 v2 calcs'!$A$53:$D$120,2,FALSE)&gt;0,VLOOKUP(B8,'DSMZ 120 v2 calcs'!$A$53:$D$120,2,FALSE),""),"")</f>
        <v>154.92761073977618</v>
      </c>
      <c r="G8" s="292">
        <f>IFERROR(IF(VLOOKUP(B8,'DSMZ 120 v3 calcs'!$A$53:$D$120,2,FALSE)&gt;0,VLOOKUP(B8,'DSMZ 120 v3 calcs'!$A$53:$D$120,2,FALSE),""),"")</f>
        <v>154.92761073977618</v>
      </c>
      <c r="H8" s="292">
        <f>IFERROR(IF(VLOOKUP(B8,'DSMZ 120 v4 calcs'!$A$53:$D$120,2,FALSE)&gt;0,VLOOKUP(B8,'DSMZ 120 v4 calcs'!$A$53:$D$120,2,FALSE),""),"")</f>
        <v>154.92761073977618</v>
      </c>
      <c r="I8" s="292">
        <f>IFERROR(IF(VLOOKUP(B8,'RM 10.6 Speece 1996'!$A$57:$D$120,2,FALSE)&gt;0,VLOOKUP(B8,'RM 10.6 Speece 1996'!$A$57:$D$120,2,FALSE),""),"")</f>
        <v>127.15418168351883</v>
      </c>
      <c r="J8" s="292">
        <f>IFERROR(IF(VLOOKUP(B8,'Mod Wolfe v1 calcs'!$A$53:$D$108,2,FALSE)&gt;0,VLOOKUP(B8,'Mod Wolfe v1 calcs'!$A$53:$D$108,2,FALSE),""),"")</f>
        <v>284.04205710513355</v>
      </c>
      <c r="K8" s="292">
        <f>IFERROR(IF(VLOOKUP(B8,'Mod Wolfe v2 calcs'!$A$56:$D$112,2,FALSE)&gt;0,VLOOKUP(B8,'Mod Wolfe v2 calcs'!$A$56:$D$112,2,FALSE),""),"")</f>
        <v>283.22479505661272</v>
      </c>
      <c r="L8" s="292">
        <f>IFERROR(IF(VLOOKUP(B8,'Mod Wolfe v3 calcs'!$A$53:$D$108,2,FALSE)&gt;0,VLOOKUP(B8,'Mod Wolfe v3 calcs'!$A$53:$D$108,2,FALSE),""),"")</f>
        <v>284.04205710513355</v>
      </c>
      <c r="M8" s="292">
        <f>IFERROR(IF(VLOOKUP(B8,'Mod Wolfe v4 calcs'!$A$53:$D$108,2,FALSE)&gt;0,VLOOKUP(B8,'Mod Wolfe v4 calcs'!$A$53:$D$108,2,FALSE),""),"")</f>
        <v>293.63006696004726</v>
      </c>
      <c r="T8" s="1"/>
      <c r="U8" s="8"/>
      <c r="V8" s="117"/>
      <c r="W8" s="340"/>
      <c r="X8" s="6"/>
      <c r="Y8" s="6"/>
      <c r="Z8" s="6"/>
      <c r="AA8" s="6"/>
      <c r="AB8" s="6"/>
      <c r="AC8" s="6"/>
    </row>
    <row r="9" spans="1:30" x14ac:dyDescent="0.3">
      <c r="B9" s="336" t="s">
        <v>44</v>
      </c>
      <c r="C9" s="307"/>
      <c r="D9" s="292">
        <f>IFERROR(IF(VLOOKUP(B9,'DSMZ 120 v1 calcs'!$A$53:$D$120,2,FALSE)&gt;0,VLOOKUP(B9,'DSMZ 120 v1 calcs'!$A$53:$D$120,2,FALSE),""),"")</f>
        <v>120.54454775319105</v>
      </c>
      <c r="E9" s="292">
        <f>IFERROR(IF(VLOOKUP(B9,'DSMZ 120 v1.5 calcs'!$A$53:$D$120,2,FALSE)&gt;0,VLOOKUP(B9,'DSMZ 120 v1.5 calcs'!$A$53:$D$120,2,FALSE),""),"")</f>
        <v>120.54454775319105</v>
      </c>
      <c r="F9" s="292">
        <f>IFERROR(IF(VLOOKUP(B9,'DSMZ 120 v2 calcs'!$A$53:$D$120,2,FALSE)&gt;0,VLOOKUP(B9,'DSMZ 120 v2 calcs'!$A$53:$D$120,2,FALSE),""),"")</f>
        <v>120.54454775319105</v>
      </c>
      <c r="G9" s="292">
        <f>IFERROR(IF(VLOOKUP(B9,'DSMZ 120 v3 calcs'!$A$53:$D$120,2,FALSE)&gt;0,VLOOKUP(B9,'DSMZ 120 v3 calcs'!$A$53:$D$120,2,FALSE),""),"")</f>
        <v>120.54454775319105</v>
      </c>
      <c r="H9" s="292">
        <f>IFERROR(IF(VLOOKUP(B9,'DSMZ 120 v4 calcs'!$A$53:$D$120,2,FALSE)&gt;0,VLOOKUP(B9,'DSMZ 120 v4 calcs'!$A$53:$D$120,2,FALSE),""),"")</f>
        <v>120.54454775319105</v>
      </c>
      <c r="I9" s="292">
        <f>IFERROR(IF(VLOOKUP(B9,'RM 10.6 Speece 1996'!$A$57:$D$120,2,FALSE)&gt;0,VLOOKUP(B9,'RM 10.6 Speece 1996'!$A$57:$D$120,2,FALSE),""),"")</f>
        <v>20.483042137718396</v>
      </c>
      <c r="J9" s="292">
        <f>IFERROR(IF(VLOOKUP(B9,'Mod Wolfe v1 calcs'!$A$53:$D$108,2,FALSE)&gt;0,VLOOKUP(B9,'Mod Wolfe v1 calcs'!$A$53:$D$108,2,FALSE),""),"")</f>
        <v>121.61236812977124</v>
      </c>
      <c r="K9" s="292">
        <f>IFERROR(IF(VLOOKUP(B9,'Mod Wolfe v2 calcs'!$A$56:$D$112,2,FALSE)&gt;0,VLOOKUP(B9,'Mod Wolfe v2 calcs'!$A$56:$D$112,2,FALSE),""),"")</f>
        <v>125.52605458278241</v>
      </c>
      <c r="L9" s="292">
        <f>IFERROR(IF(VLOOKUP(B9,'Mod Wolfe v3 calcs'!$A$53:$D$108,2,FALSE)&gt;0,VLOOKUP(B9,'Mod Wolfe v3 calcs'!$A$53:$D$108,2,FALSE),""),"")</f>
        <v>121.61236812977124</v>
      </c>
      <c r="M9" s="292">
        <f>IFERROR(IF(VLOOKUP(B9,'Mod Wolfe v4 calcs'!$A$53:$D$108,2,FALSE)&gt;0,VLOOKUP(B9,'Mod Wolfe v4 calcs'!$A$53:$D$108,2,FALSE),""),"")</f>
        <v>121.61236812977124</v>
      </c>
      <c r="T9" s="1"/>
      <c r="U9" s="8"/>
      <c r="V9" s="117"/>
      <c r="W9" s="340"/>
      <c r="X9" s="6"/>
      <c r="Y9" s="6"/>
      <c r="Z9" s="6"/>
      <c r="AA9" s="6"/>
      <c r="AB9" s="6"/>
      <c r="AC9" s="6"/>
    </row>
    <row r="10" spans="1:30" x14ac:dyDescent="0.3">
      <c r="B10" s="336" t="s">
        <v>196</v>
      </c>
      <c r="C10" s="307"/>
      <c r="D10" s="292">
        <f>IFERROR(IF(VLOOKUP(B10,'DSMZ 120 v1 calcs'!$A$53:$D$120,2,FALSE)&gt;0,VLOOKUP(B10,'DSMZ 120 v1 calcs'!$A$53:$D$120,2,FALSE),""),"")</f>
        <v>163.28103847554888</v>
      </c>
      <c r="E10" s="292">
        <f>IFERROR(IF(VLOOKUP(B10,'DSMZ 120 v1.5 calcs'!$A$53:$D$120,2,FALSE)&gt;0,VLOOKUP(B10,'DSMZ 120 v1.5 calcs'!$A$53:$D$120,2,FALSE),""),"")</f>
        <v>163.28103847554888</v>
      </c>
      <c r="F10" s="292">
        <f>IFERROR(IF(VLOOKUP(B10,'DSMZ 120 v2 calcs'!$A$53:$D$120,2,FALSE)&gt;0,VLOOKUP(B10,'DSMZ 120 v2 calcs'!$A$53:$D$120,2,FALSE),""),"")</f>
        <v>163.28103847554888</v>
      </c>
      <c r="G10" s="292">
        <f>IFERROR(IF(VLOOKUP(B10,'DSMZ 120 v3 calcs'!$A$53:$D$120,2,FALSE)&gt;0,VLOOKUP(B10,'DSMZ 120 v3 calcs'!$A$53:$D$120,2,FALSE),""),"")</f>
        <v>163.28103847554888</v>
      </c>
      <c r="H10" s="292">
        <f>IFERROR(IF(VLOOKUP(B10,'DSMZ 120 v4 calcs'!$A$53:$D$120,2,FALSE)&gt;0,VLOOKUP(B10,'DSMZ 120 v4 calcs'!$A$53:$D$120,2,FALSE),""),"")</f>
        <v>163.28103847554888</v>
      </c>
      <c r="I10" s="292">
        <f>IFERROR(IF(VLOOKUP(B10,'RM 10.6 Speece 1996'!$A$57:$D$120,2,FALSE)&gt;0,VLOOKUP(B10,'RM 10.6 Speece 1996'!$A$57:$D$120,2,FALSE),""),"")</f>
        <v>52.628831259558901</v>
      </c>
      <c r="J10" s="292">
        <f>IFERROR(IF(VLOOKUP(B10,'Mod Wolfe v1 calcs'!$A$53:$D$108,2,FALSE)&gt;0,VLOOKUP(B10,'Mod Wolfe v1 calcs'!$A$53:$D$108,2,FALSE),""),"")</f>
        <v>15.530498572133459</v>
      </c>
      <c r="K10" s="292">
        <f>IFERROR(IF(VLOOKUP(B10,'Mod Wolfe v2 calcs'!$A$56:$D$112,2,FALSE)&gt;0,VLOOKUP(B10,'Mod Wolfe v2 calcs'!$A$56:$D$112,2,FALSE),""),"")</f>
        <v>15.530498764022219</v>
      </c>
      <c r="L10" s="292">
        <f>IFERROR(IF(VLOOKUP(B10,'Mod Wolfe v3 calcs'!$A$53:$D$108,2,FALSE)&gt;0,VLOOKUP(B10,'Mod Wolfe v3 calcs'!$A$53:$D$108,2,FALSE),""),"")</f>
        <v>15.517654131249127</v>
      </c>
      <c r="M10" s="292">
        <f>IFERROR(IF(VLOOKUP(B10,'Mod Wolfe v4 calcs'!$A$53:$D$108,2,FALSE)&gt;0,VLOOKUP(B10,'Mod Wolfe v4 calcs'!$A$53:$D$108,2,FALSE),""),"")</f>
        <v>15.517654131249127</v>
      </c>
      <c r="T10" s="1"/>
      <c r="U10" s="8"/>
      <c r="V10" s="117"/>
      <c r="W10" s="6"/>
      <c r="X10" s="6"/>
      <c r="Y10" s="6"/>
      <c r="Z10" s="6"/>
      <c r="AA10" s="6"/>
      <c r="AB10" s="6"/>
      <c r="AC10" s="6"/>
    </row>
    <row r="11" spans="1:30" x14ac:dyDescent="0.3">
      <c r="B11" s="335" t="s">
        <v>354</v>
      </c>
      <c r="C11" s="306"/>
      <c r="D11" s="332"/>
      <c r="E11" s="332"/>
      <c r="F11" s="332"/>
      <c r="G11" s="332"/>
      <c r="H11" s="332"/>
      <c r="I11" s="332"/>
      <c r="J11" s="332"/>
      <c r="K11" s="332"/>
      <c r="L11" s="332"/>
      <c r="M11" s="332"/>
      <c r="T11" s="1"/>
      <c r="U11" s="8"/>
      <c r="V11" s="117"/>
      <c r="W11" s="6"/>
      <c r="X11" s="6"/>
      <c r="Y11" s="6"/>
      <c r="Z11" s="6"/>
      <c r="AA11" s="6"/>
      <c r="AB11" s="6"/>
      <c r="AC11" s="6"/>
    </row>
    <row r="12" spans="1:30" x14ac:dyDescent="0.3">
      <c r="B12" s="336" t="s">
        <v>63</v>
      </c>
      <c r="C12" s="307">
        <v>3500</v>
      </c>
      <c r="D12" s="292">
        <f>IFERROR(IF(VLOOKUP(B12,'DSMZ 120 v1 calcs'!$A$53:$D$120,2,FALSE)&gt;0,VLOOKUP(B12,'DSMZ 120 v1 calcs'!$A$53:$D$120,2,FALSE),""),"")</f>
        <v>2072.0757893126251</v>
      </c>
      <c r="E12" s="292">
        <f>IFERROR(IF(VLOOKUP(B12,'DSMZ 120 v1.5 calcs'!$A$53:$D$120,2,FALSE)&gt;0,VLOOKUP(B12,'DSMZ 120 v1.5 calcs'!$A$53:$D$120,2,FALSE),""),"")</f>
        <v>2762.2262237847117</v>
      </c>
      <c r="F12" s="292">
        <f>IFERROR(IF(VLOOKUP(B12,'DSMZ 120 v2 calcs'!$A$53:$D$120,2,FALSE)&gt;0,VLOOKUP(B12,'DSMZ 120 v2 calcs'!$A$53:$D$120,2,FALSE),""),"")</f>
        <v>1188.5646043802831</v>
      </c>
      <c r="G12" s="292">
        <f>IFERROR(IF(VLOOKUP(B12,'DSMZ 120 v3 calcs'!$A$53:$D$120,2,FALSE)&gt;0,VLOOKUP(B12,'DSMZ 120 v3 calcs'!$A$53:$D$120,2,FALSE),""),"")</f>
        <v>1188.5646043802831</v>
      </c>
      <c r="H12" s="292">
        <f>IFERROR(IF(VLOOKUP(B12,'DSMZ 120 v4 calcs'!$A$53:$D$120,2,FALSE)&gt;0,VLOOKUP(B12,'DSMZ 120 v4 calcs'!$A$53:$D$120,2,FALSE),""),"")</f>
        <v>1188.5646043802831</v>
      </c>
      <c r="I12" s="292">
        <f>IFERROR(IF(VLOOKUP(B12,'RM 10.6 Speece 1996'!$A$57:$D$120,2,FALSE)&gt;0,VLOOKUP(B12,'RM 10.6 Speece 1996'!$A$57:$D$120,2,FALSE),""),"")</f>
        <v>189.14594823836447</v>
      </c>
      <c r="J12" s="292">
        <f>IFERROR(IF(VLOOKUP(B12,'Mod Wolfe v1 calcs'!$A$53:$D$108,2,FALSE)&gt;0,VLOOKUP(B12,'Mod Wolfe v1 calcs'!$A$53:$D$108,2,FALSE),""),"")</f>
        <v>322.78478776864677</v>
      </c>
      <c r="K12" s="292">
        <f>IFERROR(IF(VLOOKUP(B12,'Mod Wolfe v2 calcs'!$A$56:$D$112,2,FALSE)&gt;0,VLOOKUP(B12,'Mod Wolfe v2 calcs'!$A$56:$D$112,2,FALSE),""),"")</f>
        <v>477.15523185978412</v>
      </c>
      <c r="L12" s="292">
        <f>IFERROR(IF(VLOOKUP(B12,'Mod Wolfe v3 calcs'!$A$53:$D$108,2,FALSE)&gt;0,VLOOKUP(B12,'Mod Wolfe v3 calcs'!$A$53:$D$108,2,FALSE),""),"")</f>
        <v>322.78478776864677</v>
      </c>
      <c r="M12" s="292">
        <f>IFERROR(IF(VLOOKUP(B12,'Mod Wolfe v4 calcs'!$A$53:$D$108,2,FALSE)&gt;0,VLOOKUP(B12,'Mod Wolfe v4 calcs'!$A$53:$D$108,2,FALSE),""),"")</f>
        <v>322.78478776864677</v>
      </c>
      <c r="T12" s="1"/>
      <c r="U12" s="8"/>
      <c r="V12" s="117"/>
      <c r="W12" s="6"/>
      <c r="X12" s="6"/>
      <c r="Y12" s="6"/>
      <c r="Z12" s="6"/>
      <c r="AA12" s="6"/>
      <c r="AB12" s="6"/>
      <c r="AC12" s="6"/>
    </row>
    <row r="13" spans="1:30" x14ac:dyDescent="0.3">
      <c r="B13" s="336" t="s">
        <v>64</v>
      </c>
      <c r="C13" s="307">
        <v>1000</v>
      </c>
      <c r="D13" s="292">
        <f>IFERROR(IF(VLOOKUP(B13,'DSMZ 120 v1 calcs'!$A$53:$D$120,2,FALSE)&gt;0,VLOOKUP(B13,'DSMZ 120 v1 calcs'!$A$53:$D$120,2,FALSE),""),"")</f>
        <v>49.304203180785464</v>
      </c>
      <c r="E13" s="292">
        <f>IFERROR(IF(VLOOKUP(B13,'DSMZ 120 v1.5 calcs'!$A$53:$D$120,2,FALSE)&gt;0,VLOOKUP(B13,'DSMZ 120 v1.5 calcs'!$A$53:$D$120,2,FALSE),""),"")</f>
        <v>49.304203180785464</v>
      </c>
      <c r="F13" s="292">
        <f>IFERROR(IF(VLOOKUP(B13,'DSMZ 120 v2 calcs'!$A$53:$D$120,2,FALSE)&gt;0,VLOOKUP(B13,'DSMZ 120 v2 calcs'!$A$53:$D$120,2,FALSE),""),"")</f>
        <v>49.304203180785464</v>
      </c>
      <c r="G13" s="292">
        <f>IFERROR(IF(VLOOKUP(B13,'DSMZ 120 v3 calcs'!$A$53:$D$120,2,FALSE)&gt;0,VLOOKUP(B13,'DSMZ 120 v3 calcs'!$A$53:$D$120,2,FALSE),""),"")</f>
        <v>49.304203180785464</v>
      </c>
      <c r="H13" s="292">
        <f>IFERROR(IF(VLOOKUP(B13,'DSMZ 120 v4 calcs'!$A$53:$D$120,2,FALSE)&gt;0,VLOOKUP(B13,'DSMZ 120 v4 calcs'!$A$53:$D$120,2,FALSE),""),"")</f>
        <v>49.304203180785464</v>
      </c>
      <c r="I13" s="292">
        <f>IFERROR(IF(VLOOKUP(B13,'RM 10.6 Speece 1996'!$A$57:$D$120,2,FALSE)&gt;0,VLOOKUP(B13,'RM 10.6 Speece 1996'!$A$57:$D$120,2,FALSE),""),"")</f>
        <v>99.979432332373506</v>
      </c>
      <c r="J13" s="292">
        <f>IFERROR(IF(VLOOKUP(B13,'Mod Wolfe v1 calcs'!$A$53:$D$108,2,FALSE)&gt;0,VLOOKUP(B13,'Mod Wolfe v1 calcs'!$A$53:$D$108,2,FALSE),""),"")</f>
        <v>19.128381701918347</v>
      </c>
      <c r="K13" s="292">
        <f>IFERROR(IF(VLOOKUP(B13,'Mod Wolfe v2 calcs'!$A$56:$D$112,2,FALSE)&gt;0,VLOOKUP(B13,'Mod Wolfe v2 calcs'!$A$56:$D$112,2,FALSE),""),"")</f>
        <v>19.128381701918347</v>
      </c>
      <c r="L13" s="292">
        <f>IFERROR(IF(VLOOKUP(B13,'Mod Wolfe v3 calcs'!$A$53:$D$108,2,FALSE)&gt;0,VLOOKUP(B13,'Mod Wolfe v3 calcs'!$A$53:$D$108,2,FALSE),""),"")</f>
        <v>19.128381701918347</v>
      </c>
      <c r="M13" s="292">
        <f>IFERROR(IF(VLOOKUP(B13,'Mod Wolfe v4 calcs'!$A$53:$D$108,2,FALSE)&gt;0,VLOOKUP(B13,'Mod Wolfe v4 calcs'!$A$53:$D$108,2,FALSE),""),"")</f>
        <v>19.128381701918347</v>
      </c>
      <c r="T13" s="1"/>
      <c r="U13" s="8"/>
      <c r="V13" s="117"/>
      <c r="W13" s="6"/>
      <c r="X13" s="6"/>
      <c r="Y13" s="6"/>
      <c r="Z13" s="6"/>
      <c r="AA13" s="6"/>
      <c r="AB13" s="6"/>
      <c r="AC13" s="6"/>
    </row>
    <row r="14" spans="1:30" x14ac:dyDescent="0.3">
      <c r="B14" s="336" t="s">
        <v>65</v>
      </c>
      <c r="C14" s="307">
        <v>2500</v>
      </c>
      <c r="D14" s="292">
        <f>IFERROR(IF(VLOOKUP(B14,'DSMZ 120 v1 calcs'!$A$53:$D$120,2,FALSE)&gt;0,VLOOKUP(B14,'DSMZ 120 v1 calcs'!$A$53:$D$120,2,FALSE),""),"")</f>
        <v>68.155227535541798</v>
      </c>
      <c r="E14" s="292">
        <f>IFERROR(IF(VLOOKUP(B14,'DSMZ 120 v1.5 calcs'!$A$53:$D$120,2,FALSE)&gt;0,VLOOKUP(B14,'DSMZ 120 v1.5 calcs'!$A$53:$D$120,2,FALSE),""),"")</f>
        <v>68.155227535541798</v>
      </c>
      <c r="F14" s="292">
        <f>IFERROR(IF(VLOOKUP(B14,'DSMZ 120 v2 calcs'!$A$53:$D$120,2,FALSE)&gt;0,VLOOKUP(B14,'DSMZ 120 v2 calcs'!$A$53:$D$120,2,FALSE),""),"")</f>
        <v>68.155227535541798</v>
      </c>
      <c r="G14" s="292">
        <f>IFERROR(IF(VLOOKUP(B14,'DSMZ 120 v3 calcs'!$A$53:$D$120,2,FALSE)&gt;0,VLOOKUP(B14,'DSMZ 120 v3 calcs'!$A$53:$D$120,2,FALSE),""),"")</f>
        <v>68.155227535541798</v>
      </c>
      <c r="H14" s="292">
        <f>IFERROR(IF(VLOOKUP(B14,'DSMZ 120 v4 calcs'!$A$53:$D$120,2,FALSE)&gt;0,VLOOKUP(B14,'DSMZ 120 v4 calcs'!$A$53:$D$120,2,FALSE),""),"")</f>
        <v>68.155227535541798</v>
      </c>
      <c r="I14" s="292">
        <f>IFERROR(IF(VLOOKUP(B14,'RM 10.6 Speece 1996'!$A$57:$D$120,2,FALSE)&gt;0,VLOOKUP(B14,'RM 10.6 Speece 1996'!$A$57:$D$120,2,FALSE),""),"")</f>
        <v>149.99251497005989</v>
      </c>
      <c r="J14" s="292">
        <f>IFERROR(IF(VLOOKUP(B14,'Mod Wolfe v1 calcs'!$A$53:$D$108,2,FALSE)&gt;0,VLOOKUP(B14,'Mod Wolfe v1 calcs'!$A$53:$D$108,2,FALSE),""),"")</f>
        <v>2.453588191279505</v>
      </c>
      <c r="K14" s="292">
        <f>IFERROR(IF(VLOOKUP(B14,'Mod Wolfe v2 calcs'!$A$56:$D$112,2,FALSE)&gt;0,VLOOKUP(B14,'Mod Wolfe v2 calcs'!$A$56:$D$112,2,FALSE),""),"")</f>
        <v>40.893136521325076</v>
      </c>
      <c r="L14" s="292">
        <f>IFERROR(IF(VLOOKUP(B14,'Mod Wolfe v3 calcs'!$A$53:$D$108,2,FALSE)&gt;0,VLOOKUP(B14,'Mod Wolfe v3 calcs'!$A$53:$D$108,2,FALSE),""),"")</f>
        <v>2.453588191279505</v>
      </c>
      <c r="M14" s="292">
        <f>IFERROR(IF(VLOOKUP(B14,'Mod Wolfe v4 calcs'!$A$53:$D$108,2,FALSE)&gt;0,VLOOKUP(B14,'Mod Wolfe v4 calcs'!$A$53:$D$108,2,FALSE),""),"")</f>
        <v>2.453588191279505</v>
      </c>
      <c r="T14" s="1"/>
      <c r="U14" s="8"/>
      <c r="V14" s="117"/>
      <c r="W14" s="6"/>
      <c r="X14" s="6"/>
      <c r="Y14" s="6"/>
      <c r="Z14" s="6"/>
      <c r="AA14" s="6"/>
      <c r="AB14" s="6"/>
      <c r="AC14" s="6"/>
    </row>
    <row r="15" spans="1:30" x14ac:dyDescent="0.3">
      <c r="B15" s="336" t="s">
        <v>66</v>
      </c>
      <c r="C15" s="307">
        <v>2500</v>
      </c>
      <c r="D15" s="292">
        <f>IFERROR(IF(VLOOKUP(B15,'DSMZ 120 v1 calcs'!$A$53:$D$120,2,FALSE)&gt;0,VLOOKUP(B15,'DSMZ 120 v1 calcs'!$A$53:$D$120,2,FALSE),""),"")</f>
        <v>203.78712914151316</v>
      </c>
      <c r="E15" s="292">
        <f>IFERROR(IF(VLOOKUP(B15,'DSMZ 120 v1.5 calcs'!$A$53:$D$120,2,FALSE)&gt;0,VLOOKUP(B15,'DSMZ 120 v1.5 calcs'!$A$53:$D$120,2,FALSE),""),"")</f>
        <v>203.78712914151316</v>
      </c>
      <c r="F15" s="292">
        <f>IFERROR(IF(VLOOKUP(B15,'DSMZ 120 v2 calcs'!$A$53:$D$120,2,FALSE)&gt;0,VLOOKUP(B15,'DSMZ 120 v2 calcs'!$A$53:$D$120,2,FALSE),""),"")</f>
        <v>203.78712914151316</v>
      </c>
      <c r="G15" s="292">
        <f>IFERROR(IF(VLOOKUP(B15,'DSMZ 120 v3 calcs'!$A$53:$D$120,2,FALSE)&gt;0,VLOOKUP(B15,'DSMZ 120 v3 calcs'!$A$53:$D$120,2,FALSE),""),"")</f>
        <v>203.78712914151316</v>
      </c>
      <c r="H15" s="292">
        <f>IFERROR(IF(VLOOKUP(B15,'DSMZ 120 v4 calcs'!$A$53:$D$120,2,FALSE)&gt;0,VLOOKUP(B15,'DSMZ 120 v4 calcs'!$A$53:$D$120,2,FALSE),""),"")</f>
        <v>203.78712914151316</v>
      </c>
      <c r="I15" s="292">
        <f>IFERROR(IF(VLOOKUP(B15,'RM 10.6 Speece 1996'!$A$57:$D$120,2,FALSE)&gt;0,VLOOKUP(B15,'RM 10.6 Speece 1996'!$A$57:$D$120,2,FALSE),""),"")</f>
        <v>299.9524296675192</v>
      </c>
      <c r="J15" s="292">
        <f>IFERROR(IF(VLOOKUP(B15,'Mod Wolfe v1 calcs'!$A$53:$D$108,2,FALSE)&gt;0,VLOOKUP(B15,'Mod Wolfe v1 calcs'!$A$53:$D$108,2,FALSE),""),"")</f>
        <v>220.84618942900823</v>
      </c>
      <c r="K15" s="292">
        <f>IFERROR(IF(VLOOKUP(B15,'Mod Wolfe v2 calcs'!$A$56:$D$112,2,FALSE)&gt;0,VLOOKUP(B15,'Mod Wolfe v2 calcs'!$A$56:$D$112,2,FALSE),""),"")</f>
        <v>259.45320654780363</v>
      </c>
      <c r="L15" s="292">
        <f>IFERROR(IF(VLOOKUP(B15,'Mod Wolfe v3 calcs'!$A$53:$D$108,2,FALSE)&gt;0,VLOOKUP(B15,'Mod Wolfe v3 calcs'!$A$53:$D$108,2,FALSE),""),"")</f>
        <v>220.84618942900823</v>
      </c>
      <c r="M15" s="292">
        <f>IFERROR(IF(VLOOKUP(B15,'Mod Wolfe v4 calcs'!$A$53:$D$108,2,FALSE)&gt;0,VLOOKUP(B15,'Mod Wolfe v4 calcs'!$A$53:$D$108,2,FALSE),""),"")</f>
        <v>220.84618942900823</v>
      </c>
      <c r="T15" s="1"/>
      <c r="U15" s="8"/>
      <c r="V15" s="117"/>
      <c r="W15" s="6"/>
      <c r="X15" s="6"/>
      <c r="Y15" s="6"/>
      <c r="Z15" s="6"/>
      <c r="AA15" s="6"/>
      <c r="AB15" s="6"/>
      <c r="AC15" s="6"/>
    </row>
    <row r="16" spans="1:30" x14ac:dyDescent="0.3">
      <c r="B16" s="336" t="s">
        <v>70</v>
      </c>
      <c r="C16" s="307">
        <v>5000</v>
      </c>
      <c r="D16" s="292">
        <f>IFERROR(IF(VLOOKUP(B16,'DSMZ 120 v1 calcs'!$A$53:$D$120,2,FALSE)&gt;0,VLOOKUP(B16,'DSMZ 120 v1 calcs'!$A$53:$D$120,2,FALSE),""),"")</f>
        <v>1881.0544451222488</v>
      </c>
      <c r="E16" s="292">
        <f>IFERROR(IF(VLOOKUP(B16,'DSMZ 120 v1.5 calcs'!$A$53:$D$120,2,FALSE)&gt;0,VLOOKUP(B16,'DSMZ 120 v1.5 calcs'!$A$53:$D$120,2,FALSE),""),"")</f>
        <v>1881.0544451222488</v>
      </c>
      <c r="F16" s="292">
        <f>IFERROR(IF(VLOOKUP(B16,'DSMZ 120 v2 calcs'!$A$53:$D$120,2,FALSE)&gt;0,VLOOKUP(B16,'DSMZ 120 v2 calcs'!$A$53:$D$120,2,FALSE),""),"")</f>
        <v>1881.0544451222488</v>
      </c>
      <c r="G16" s="292">
        <f>IFERROR(IF(VLOOKUP(B16,'DSMZ 120 v3 calcs'!$A$53:$D$120,2,FALSE)&gt;0,VLOOKUP(B16,'DSMZ 120 v3 calcs'!$A$53:$D$120,2,FALSE),""),"")</f>
        <v>1881.0544451222488</v>
      </c>
      <c r="H16" s="292">
        <f>IFERROR(IF(VLOOKUP(B16,'DSMZ 120 v4 calcs'!$A$53:$D$120,2,FALSE)&gt;0,VLOOKUP(B16,'DSMZ 120 v4 calcs'!$A$53:$D$120,2,FALSE),""),"")</f>
        <v>1881.0544451222488</v>
      </c>
      <c r="I16" s="292">
        <f>IFERROR(IF(VLOOKUP(B16,'RM 10.6 Speece 1996'!$A$57:$D$120,2,FALSE)&gt;0,VLOOKUP(B16,'RM 10.6 Speece 1996'!$A$57:$D$120,2,FALSE),""),"")</f>
        <v>1321.5879039180147</v>
      </c>
      <c r="J16" s="292">
        <f>IFERROR(IF(VLOOKUP(B16,'Mod Wolfe v1 calcs'!$A$53:$D$108,2,FALSE)&gt;0,VLOOKUP(B16,'Mod Wolfe v1 calcs'!$A$53:$D$108,2,FALSE),""),"")</f>
        <v>1091.2686882078601</v>
      </c>
      <c r="K16" s="292">
        <f>IFERROR(IF(VLOOKUP(B16,'Mod Wolfe v2 calcs'!$A$56:$D$112,2,FALSE)&gt;0,VLOOKUP(B16,'Mod Wolfe v2 calcs'!$A$56:$D$112,2,FALSE),""),"")</f>
        <v>1177.0024394152611</v>
      </c>
      <c r="L16" s="292">
        <f>IFERROR(IF(VLOOKUP(B16,'Mod Wolfe v3 calcs'!$A$53:$D$108,2,FALSE)&gt;0,VLOOKUP(B16,'Mod Wolfe v3 calcs'!$A$53:$D$108,2,FALSE),""),"")</f>
        <v>1091.2828294795636</v>
      </c>
      <c r="M16" s="292">
        <f>IFERROR(IF(VLOOKUP(B16,'Mod Wolfe v4 calcs'!$A$53:$D$108,2,FALSE)&gt;0,VLOOKUP(B16,'Mod Wolfe v4 calcs'!$A$53:$D$108,2,FALSE),""),"")</f>
        <v>1091.2828294795636</v>
      </c>
      <c r="T16" s="1"/>
      <c r="U16" s="1"/>
      <c r="V16" s="117"/>
      <c r="W16" s="6"/>
      <c r="X16" s="6"/>
      <c r="Y16" s="6"/>
      <c r="Z16" s="6"/>
      <c r="AA16" s="6"/>
      <c r="AB16" s="6"/>
      <c r="AC16" s="6"/>
    </row>
    <row r="17" spans="1:29" x14ac:dyDescent="0.3">
      <c r="B17" s="336" t="s">
        <v>67</v>
      </c>
      <c r="C17" s="307">
        <v>8000</v>
      </c>
      <c r="D17" s="292" t="str">
        <f>IFERROR(IF(VLOOKUP(B17,'DSMZ 120 v1 calcs'!$A$53:$D$120,2,FALSE)&gt;0,VLOOKUP(B17,'DSMZ 120 v1 calcs'!$A$53:$D$120,2,FALSE),""),"")</f>
        <v/>
      </c>
      <c r="E17" s="292">
        <f>IFERROR(IF(VLOOKUP(B17,'DSMZ 120 v1.5 calcs'!$A$53:$D$120,2,FALSE)&gt;0,VLOOKUP(B17,'DSMZ 120 v1.5 calcs'!$A$53:$D$120,2,FALSE),""),"")</f>
        <v>1452.608022854422</v>
      </c>
      <c r="F17" s="292" t="str">
        <f>IFERROR(IF(VLOOKUP(B17,'DSMZ 120 v2 calcs'!$A$53:$D$120,2,FALSE)&gt;0,VLOOKUP(B17,'DSMZ 120 v2 calcs'!$A$53:$D$120,2,FALSE),""),"")</f>
        <v/>
      </c>
      <c r="G17" s="292" t="str">
        <f>IFERROR(IF(VLOOKUP(B17,'DSMZ 120 v3 calcs'!$A$53:$D$120,2,FALSE)&gt;0,VLOOKUP(B17,'DSMZ 120 v3 calcs'!$A$53:$D$120,2,FALSE),""),"")</f>
        <v/>
      </c>
      <c r="H17" s="292" t="str">
        <f>IFERROR(IF(VLOOKUP(B17,'DSMZ 120 v4 calcs'!$A$53:$D$120,2,FALSE)&gt;0,VLOOKUP(B17,'DSMZ 120 v4 calcs'!$A$53:$D$120,2,FALSE),""),"")</f>
        <v/>
      </c>
      <c r="I17" s="292" t="str">
        <f>IFERROR(IF(VLOOKUP(B17,'RM 10.6 Speece 1996'!$A$57:$D$120,2,FALSE)&gt;0,VLOOKUP(B17,'RM 10.6 Speece 1996'!$A$57:$D$120,2,FALSE),""),"")</f>
        <v/>
      </c>
      <c r="J17" s="292" t="str">
        <f>IFERROR(IF(VLOOKUP(B17,'Mod Wolfe v1 calcs'!$A$53:$D$108,2,FALSE)&gt;0,VLOOKUP(B17,'Mod Wolfe v1 calcs'!$A$53:$D$108,2,FALSE),""),"")</f>
        <v/>
      </c>
      <c r="K17" s="292" t="str">
        <f>IFERROR(IF(VLOOKUP(B17,'Mod Wolfe v2 calcs'!$A$56:$D$112,2,FALSE)&gt;0,VLOOKUP(B17,'Mod Wolfe v2 calcs'!$A$56:$D$112,2,FALSE),""),"")</f>
        <v/>
      </c>
      <c r="L17" s="292" t="str">
        <f>IFERROR(IF(VLOOKUP(B17,'Mod Wolfe v3 calcs'!$A$53:$D$108,2,FALSE)&gt;0,VLOOKUP(B17,'Mod Wolfe v3 calcs'!$A$53:$D$108,2,FALSE),""),"")</f>
        <v/>
      </c>
      <c r="M17" s="292" t="str">
        <f>IFERROR(IF(VLOOKUP(B17,'Mod Wolfe v4 calcs'!$A$53:$D$108,2,FALSE)&gt;0,VLOOKUP(B17,'Mod Wolfe v4 calcs'!$A$53:$D$108,2,FALSE),""),"")</f>
        <v/>
      </c>
      <c r="T17" s="1"/>
      <c r="U17" s="1"/>
      <c r="V17" s="117"/>
      <c r="W17" s="6"/>
      <c r="X17" s="6"/>
      <c r="Y17" s="6"/>
      <c r="Z17" s="6"/>
      <c r="AA17" s="6"/>
      <c r="AB17" s="6"/>
      <c r="AC17" s="6"/>
    </row>
    <row r="18" spans="1:29" x14ac:dyDescent="0.3">
      <c r="B18" s="336" t="s">
        <v>119</v>
      </c>
      <c r="C18" s="307"/>
      <c r="D18" s="292" t="str">
        <f>IFERROR(IF(VLOOKUP(B18,'DSMZ 120 v1 calcs'!$A$53:$D$120,2,FALSE)&gt;0,VLOOKUP(B18,'DSMZ 120 v1 calcs'!$A$53:$D$120,2,FALSE),""),"")</f>
        <v/>
      </c>
      <c r="E18" s="292" t="str">
        <f>IFERROR(IF(VLOOKUP(B18,'DSMZ 120 v1.5 calcs'!$A$53:$D$120,2,FALSE)&gt;0,VLOOKUP(B18,'DSMZ 120 v1.5 calcs'!$A$53:$D$120,2,FALSE),""),"")</f>
        <v/>
      </c>
      <c r="F18" s="292" t="str">
        <f>IFERROR(IF(VLOOKUP(B18,'DSMZ 120 v2 calcs'!$A$53:$D$120,2,FALSE)&gt;0,VLOOKUP(B18,'DSMZ 120 v2 calcs'!$A$53:$D$120,2,FALSE),""),"")</f>
        <v/>
      </c>
      <c r="G18" s="292" t="str">
        <f>IFERROR(IF(VLOOKUP(B18,'DSMZ 120 v3 calcs'!$A$53:$D$120,2,FALSE)&gt;0,VLOOKUP(B18,'DSMZ 120 v3 calcs'!$A$53:$D$120,2,FALSE),""),"")</f>
        <v/>
      </c>
      <c r="H18" s="292" t="str">
        <f>IFERROR(IF(VLOOKUP(B18,'DSMZ 120 v4 calcs'!$A$53:$D$120,2,FALSE)&gt;0,VLOOKUP(B18,'DSMZ 120 v4 calcs'!$A$53:$D$120,2,FALSE),""),"")</f>
        <v/>
      </c>
      <c r="I18" s="292" t="str">
        <f>IFERROR(IF(VLOOKUP(B18,'RM 10.6 Speece 1996'!$A$57:$D$120,2,FALSE)&gt;0,VLOOKUP(B18,'RM 10.6 Speece 1996'!$A$57:$D$120,2,FALSE),""),"")</f>
        <v/>
      </c>
      <c r="J18" s="292" t="str">
        <f>IFERROR(IF(VLOOKUP(B18,'Mod Wolfe v1 calcs'!$A$53:$D$108,2,FALSE)&gt;0,VLOOKUP(B18,'Mod Wolfe v1 calcs'!$A$53:$D$108,2,FALSE),""),"")</f>
        <v/>
      </c>
      <c r="K18" s="292" t="str">
        <f>IFERROR(IF(VLOOKUP(B18,'Mod Wolfe v2 calcs'!$A$56:$D$112,2,FALSE)&gt;0,VLOOKUP(B18,'Mod Wolfe v2 calcs'!$A$56:$D$112,2,FALSE),""),"")</f>
        <v/>
      </c>
      <c r="L18" s="292" t="str">
        <f>IFERROR(IF(VLOOKUP(B18,'Mod Wolfe v3 calcs'!$A$53:$D$108,2,FALSE)&gt;0,VLOOKUP(B18,'Mod Wolfe v3 calcs'!$A$53:$D$108,2,FALSE),""),"")</f>
        <v/>
      </c>
      <c r="M18" s="292" t="str">
        <f>IFERROR(IF(VLOOKUP(B18,'Mod Wolfe v4 calcs'!$A$53:$D$108,2,FALSE)&gt;0,VLOOKUP(B18,'Mod Wolfe v4 calcs'!$A$53:$D$108,2,FALSE),""),"")</f>
        <v/>
      </c>
      <c r="T18" s="1"/>
      <c r="U18" s="1"/>
      <c r="V18" s="117"/>
      <c r="W18" s="6"/>
      <c r="X18" s="6"/>
      <c r="Y18" s="6"/>
      <c r="Z18" s="6"/>
      <c r="AA18" s="6"/>
      <c r="AB18" s="6"/>
      <c r="AC18" s="6"/>
    </row>
    <row r="19" spans="1:29" x14ac:dyDescent="0.3">
      <c r="B19" s="336" t="s">
        <v>78</v>
      </c>
      <c r="C19" s="307">
        <v>1500</v>
      </c>
      <c r="D19" s="292">
        <f>IFERROR(IF(VLOOKUP(B19,'DSMZ 120 v1 calcs'!$A$53:$D$120,2,FALSE)&gt;0,VLOOKUP(B19,'DSMZ 120 v1 calcs'!$A$53:$D$120,2,FALSE),""),"")</f>
        <v>168.62965040194428</v>
      </c>
      <c r="E19" s="292">
        <f>IFERROR(IF(VLOOKUP(B19,'DSMZ 120 v1.5 calcs'!$A$53:$D$120,2,FALSE)&gt;0,VLOOKUP(B19,'DSMZ 120 v1.5 calcs'!$A$53:$D$120,2,FALSE),""),"")</f>
        <v>168.62965040194428</v>
      </c>
      <c r="F19" s="292">
        <f>IFERROR(IF(VLOOKUP(B19,'DSMZ 120 v2 calcs'!$A$53:$D$120,2,FALSE)&gt;0,VLOOKUP(B19,'DSMZ 120 v2 calcs'!$A$53:$D$120,2,FALSE),""),"")</f>
        <v>168.62965040194428</v>
      </c>
      <c r="G19" s="292">
        <f>IFERROR(IF(VLOOKUP(B19,'DSMZ 120 v3 calcs'!$A$53:$D$120,2,FALSE)&gt;0,VLOOKUP(B19,'DSMZ 120 v3 calcs'!$A$53:$D$120,2,FALSE),""),"")</f>
        <v>168.62965040194428</v>
      </c>
      <c r="H19" s="292">
        <f>IFERROR(IF(VLOOKUP(B19,'DSMZ 120 v4 calcs'!$A$53:$D$120,2,FALSE)&gt;0,VLOOKUP(B19,'DSMZ 120 v4 calcs'!$A$53:$D$120,2,FALSE),""),"")</f>
        <v>168.62965040194428</v>
      </c>
      <c r="I19" s="292">
        <f>IFERROR(IF(VLOOKUP(B19,'RM 10.6 Speece 1996'!$A$57:$D$120,2,FALSE)&gt;0,VLOOKUP(B19,'RM 10.6 Speece 1996'!$A$57:$D$120,2,FALSE),""),"")</f>
        <v>143.78556500165422</v>
      </c>
      <c r="J19" s="292">
        <f>IFERROR(IF(VLOOKUP(B19,'Mod Wolfe v1 calcs'!$A$53:$D$108,2,FALSE)&gt;0,VLOOKUP(B19,'Mod Wolfe v1 calcs'!$A$53:$D$108,2,FALSE),""),"")</f>
        <v>337.99536445462553</v>
      </c>
      <c r="K19" s="292">
        <f>IFERROR(IF(VLOOKUP(B19,'Mod Wolfe v2 calcs'!$A$56:$D$112,2,FALSE)&gt;0,VLOOKUP(B19,'Mod Wolfe v2 calcs'!$A$56:$D$112,2,FALSE),""),"")</f>
        <v>337.99536445462553</v>
      </c>
      <c r="L19" s="292">
        <f>IFERROR(IF(VLOOKUP(B19,'Mod Wolfe v3 calcs'!$A$53:$D$108,2,FALSE)&gt;0,VLOOKUP(B19,'Mod Wolfe v3 calcs'!$A$53:$D$108,2,FALSE),""),"")</f>
        <v>337.99536445462553</v>
      </c>
      <c r="M19" s="292">
        <f>IFERROR(IF(VLOOKUP(B19,'Mod Wolfe v4 calcs'!$A$53:$D$108,2,FALSE)&gt;0,VLOOKUP(B19,'Mod Wolfe v4 calcs'!$A$53:$D$108,2,FALSE),""),"")</f>
        <v>337.99536445462553</v>
      </c>
      <c r="O19" t="s">
        <v>83</v>
      </c>
      <c r="T19" s="1"/>
      <c r="U19" s="1"/>
      <c r="V19" s="117"/>
      <c r="W19" s="6"/>
      <c r="X19" s="6"/>
      <c r="Y19" s="6"/>
      <c r="Z19" s="6"/>
      <c r="AA19" s="6"/>
      <c r="AB19" s="6"/>
      <c r="AC19" s="6"/>
    </row>
    <row r="20" spans="1:29" x14ac:dyDescent="0.3">
      <c r="B20" s="336" t="s">
        <v>69</v>
      </c>
      <c r="C20" s="307">
        <v>1500</v>
      </c>
      <c r="D20" s="292">
        <f>IFERROR(IF(VLOOKUP(B20,'DSMZ 120 v1 calcs'!$A$53:$D$120,2,FALSE)&gt;0,VLOOKUP(B20,'DSMZ 120 v1 calcs'!$A$53:$D$120,2,FALSE),""),"")</f>
        <v>195.35409810752253</v>
      </c>
      <c r="E20" s="292">
        <f>IFERROR(IF(VLOOKUP(B20,'DSMZ 120 v1.5 calcs'!$A$53:$D$120,2,FALSE)&gt;0,VLOOKUP(B20,'DSMZ 120 v1.5 calcs'!$A$53:$D$120,2,FALSE),""),"")</f>
        <v>195.35409810752253</v>
      </c>
      <c r="F20" s="292">
        <f>IFERROR(IF(VLOOKUP(B20,'DSMZ 120 v2 calcs'!$A$53:$D$120,2,FALSE)&gt;0,VLOOKUP(B20,'DSMZ 120 v2 calcs'!$A$53:$D$120,2,FALSE),""),"")</f>
        <v>195.35409810752253</v>
      </c>
      <c r="G20" s="292">
        <f>IFERROR(IF(VLOOKUP(B20,'DSMZ 120 v3 calcs'!$A$53:$D$120,2,FALSE)&gt;0,VLOOKUP(B20,'DSMZ 120 v3 calcs'!$A$53:$D$120,2,FALSE),""),"")</f>
        <v>195.35409810752253</v>
      </c>
      <c r="H20" s="292">
        <f>IFERROR(IF(VLOOKUP(B20,'DSMZ 120 v4 calcs'!$A$53:$D$120,2,FALSE)&gt;0,VLOOKUP(B20,'DSMZ 120 v4 calcs'!$A$53:$D$120,2,FALSE),""),"")</f>
        <v>195.35409810752253</v>
      </c>
      <c r="I20" s="292">
        <f>IFERROR(IF(VLOOKUP(B20,'RM 10.6 Speece 1996'!$A$57:$D$120,2,FALSE)&gt;0,VLOOKUP(B20,'RM 10.6 Speece 1996'!$A$57:$D$120,2,FALSE),""),"")</f>
        <v>51.917901199553512</v>
      </c>
      <c r="J20" s="292">
        <f>IFERROR(IF(VLOOKUP(B20,'Mod Wolfe v1 calcs'!$A$53:$D$108,2,FALSE)&gt;0,VLOOKUP(B20,'Mod Wolfe v1 calcs'!$A$53:$D$108,2,FALSE),""),"")</f>
        <v>4.8603117668277802</v>
      </c>
      <c r="K20" s="292">
        <f>IFERROR(IF(VLOOKUP(B20,'Mod Wolfe v2 calcs'!$A$56:$D$112,2,FALSE)&gt;0,VLOOKUP(B20,'Mod Wolfe v2 calcs'!$A$56:$D$112,2,FALSE),""),"")</f>
        <v>4.8603117668277802</v>
      </c>
      <c r="L20" s="292">
        <f>IFERROR(IF(VLOOKUP(B20,'Mod Wolfe v3 calcs'!$A$53:$D$108,2,FALSE)&gt;0,VLOOKUP(B20,'Mod Wolfe v3 calcs'!$A$53:$D$108,2,FALSE),""),"")</f>
        <v>4.8218385210732144</v>
      </c>
      <c r="M20" s="292">
        <f>IFERROR(IF(VLOOKUP(B20,'Mod Wolfe v4 calcs'!$A$53:$D$108,2,FALSE)&gt;0,VLOOKUP(B20,'Mod Wolfe v4 calcs'!$A$53:$D$108,2,FALSE),""),"")</f>
        <v>4.8218385210732144</v>
      </c>
      <c r="T20" s="1"/>
      <c r="U20" s="1"/>
      <c r="V20" s="117"/>
      <c r="W20" s="6"/>
      <c r="X20" s="6"/>
      <c r="Y20" s="6"/>
      <c r="Z20" s="6"/>
      <c r="AA20" s="6"/>
      <c r="AB20" s="6"/>
      <c r="AC20" s="6"/>
    </row>
    <row r="21" spans="1:29" x14ac:dyDescent="0.3">
      <c r="B21" s="336" t="s">
        <v>84</v>
      </c>
      <c r="C21" s="307">
        <v>200</v>
      </c>
      <c r="D21" s="292">
        <f>IFERROR(IF(VLOOKUP(B21,'DSMZ 120 v1 calcs'!$A$53:$D$120,2,FALSE)&gt;0,VLOOKUP(B21,'DSMZ 120 v1 calcs'!$A$53:$D$120,2,FALSE),""),"")</f>
        <v>40.051211591306512</v>
      </c>
      <c r="E21" s="292">
        <f>IFERROR(IF(VLOOKUP(B21,'DSMZ 120 v1.5 calcs'!$A$53:$D$120,2,FALSE)&gt;0,VLOOKUP(B21,'DSMZ 120 v1.5 calcs'!$A$53:$D$120,2,FALSE),""),"")</f>
        <v>40.051211591306512</v>
      </c>
      <c r="F21" s="292">
        <f>IFERROR(IF(VLOOKUP(B21,'DSMZ 120 v2 calcs'!$A$53:$D$120,2,FALSE)&gt;0,VLOOKUP(B21,'DSMZ 120 v2 calcs'!$A$53:$D$120,2,FALSE),""),"")</f>
        <v>40.051211591306512</v>
      </c>
      <c r="G21" s="292">
        <f>IFERROR(IF(VLOOKUP(B21,'DSMZ 120 v3 calcs'!$A$53:$D$120,2,FALSE)&gt;0,VLOOKUP(B21,'DSMZ 120 v3 calcs'!$A$53:$D$120,2,FALSE),""),"")</f>
        <v>40.051211591306512</v>
      </c>
      <c r="H21" s="292">
        <f>IFERROR(IF(VLOOKUP(B21,'DSMZ 120 v4 calcs'!$A$53:$D$120,2,FALSE)&gt;0,VLOOKUP(B21,'DSMZ 120 v4 calcs'!$A$53:$D$120,2,FALSE),""),"")</f>
        <v>40.051211591306512</v>
      </c>
      <c r="I21" s="292" t="str">
        <f>IFERROR(IF(VLOOKUP(B21,'RM 10.6 Speece 1996'!$A$57:$D$120,2,FALSE)&gt;0,VLOOKUP(B21,'RM 10.6 Speece 1996'!$A$57:$D$120,2,FALSE),""),"")</f>
        <v/>
      </c>
      <c r="J21" s="292">
        <f>IFERROR(IF(VLOOKUP(B21,'Mod Wolfe v1 calcs'!$A$53:$D$108,2,FALSE)&gt;0,VLOOKUP(B21,'Mod Wolfe v1 calcs'!$A$53:$D$108,2,FALSE),""),"")</f>
        <v>10.680323091015071</v>
      </c>
      <c r="K21" s="292">
        <f>IFERROR(IF(VLOOKUP(B21,'Mod Wolfe v2 calcs'!$A$56:$D$112,2,FALSE)&gt;0,VLOOKUP(B21,'Mod Wolfe v2 calcs'!$A$56:$D$112,2,FALSE),""),"")</f>
        <v>10.680323091015071</v>
      </c>
      <c r="L21" s="292">
        <f>IFERROR(IF(VLOOKUP(B21,'Mod Wolfe v3 calcs'!$A$53:$D$108,2,FALSE)&gt;0,VLOOKUP(B21,'Mod Wolfe v3 calcs'!$A$53:$D$108,2,FALSE),""),"")</f>
        <v>10.680323091015071</v>
      </c>
      <c r="M21" s="292">
        <f>IFERROR(IF(VLOOKUP(B21,'Mod Wolfe v4 calcs'!$A$53:$D$108,2,FALSE)&gt;0,VLOOKUP(B21,'Mod Wolfe v4 calcs'!$A$53:$D$108,2,FALSE),""),"")</f>
        <v>10.680323091015071</v>
      </c>
      <c r="T21" s="1"/>
      <c r="U21" s="1"/>
      <c r="V21" s="117"/>
      <c r="W21" s="6"/>
      <c r="X21" s="6"/>
      <c r="Y21" s="6"/>
      <c r="Z21" s="6"/>
      <c r="AA21" s="6"/>
      <c r="AB21" s="6"/>
      <c r="AC21" s="6"/>
    </row>
    <row r="22" spans="1:29" x14ac:dyDescent="0.3">
      <c r="A22" t="s">
        <v>366</v>
      </c>
      <c r="B22" s="337" t="s">
        <v>80</v>
      </c>
      <c r="C22" s="308">
        <v>500</v>
      </c>
      <c r="D22" s="292">
        <f>IFERROR(IF(VLOOKUP(B22,'DSMZ 120 v1 calcs'!$A$53:$D$120,2,FALSE)&gt;0,VLOOKUP(B22,'DSMZ 120 v1 calcs'!$A$53:$D$120,2,FALSE),""),"")</f>
        <v>0.70645135396297809</v>
      </c>
      <c r="E22" s="292">
        <f>IFERROR(IF(VLOOKUP(B22,'DSMZ 120 v1.5 calcs'!$A$53:$D$120,2,FALSE)&gt;0,VLOOKUP(B22,'DSMZ 120 v1.5 calcs'!$A$53:$D$120,2,FALSE),""),"")</f>
        <v>0.70645135396297809</v>
      </c>
      <c r="F22" s="292">
        <f>IFERROR(IF(VLOOKUP(B22,'DSMZ 120 v2 calcs'!$A$53:$D$120,2,FALSE)&gt;0,VLOOKUP(B22,'DSMZ 120 v2 calcs'!$A$53:$D$120,2,FALSE),""),"")</f>
        <v>0.70645135396297809</v>
      </c>
      <c r="G22" s="292">
        <f>IFERROR(IF(VLOOKUP(B22,'DSMZ 120 v3 calcs'!$A$53:$D$120,2,FALSE)&gt;0,VLOOKUP(B22,'DSMZ 120 v3 calcs'!$A$53:$D$120,2,FALSE),""),"")</f>
        <v>0.70645135396297809</v>
      </c>
      <c r="H22" s="292">
        <f>IFERROR(IF(VLOOKUP(B22,'DSMZ 120 v4 calcs'!$A$53:$D$120,2,FALSE)&gt;0,VLOOKUP(B22,'DSMZ 120 v4 calcs'!$A$53:$D$120,2,FALSE),""),"")</f>
        <v>0.70645135396297809</v>
      </c>
      <c r="I22" s="292">
        <f>IFERROR(IF(VLOOKUP(B22,'RM 10.6 Speece 1996'!$A$57:$D$120,2,FALSE)&gt;0,VLOOKUP(B22,'RM 10.6 Speece 1996'!$A$57:$D$120,2,FALSE),""),"")</f>
        <v>10.184083044345952</v>
      </c>
      <c r="J22" s="292">
        <f>IFERROR(IF(VLOOKUP(B22,'Mod Wolfe v1 calcs'!$A$53:$D$108,2,FALSE)&gt;0,VLOOKUP(B22,'Mod Wolfe v1 calcs'!$A$53:$D$108,2,FALSE),""),"")</f>
        <v>2.2785739786810835</v>
      </c>
      <c r="K22" s="292">
        <f>IFERROR(IF(VLOOKUP(B22,'Mod Wolfe v2 calcs'!$A$56:$D$112,2,FALSE)&gt;0,VLOOKUP(B22,'Mod Wolfe v2 calcs'!$A$56:$D$112,2,FALSE),""),"")</f>
        <v>2.2785739786810835</v>
      </c>
      <c r="L22" s="292">
        <f>IFERROR(IF(VLOOKUP(B22,'Mod Wolfe v3 calcs'!$A$53:$D$108,2,FALSE)&gt;0,VLOOKUP(B22,'Mod Wolfe v3 calcs'!$A$53:$D$108,2,FALSE),""),"")</f>
        <v>2.2785739786810835</v>
      </c>
      <c r="M22" s="292">
        <f>IFERROR(IF(VLOOKUP(B22,'Mod Wolfe v4 calcs'!$A$53:$D$108,2,FALSE)&gt;0,VLOOKUP(B22,'Mod Wolfe v4 calcs'!$A$53:$D$108,2,FALSE),""),"")</f>
        <v>2.2785739786810835</v>
      </c>
      <c r="N22">
        <v>4.9000000000000004</v>
      </c>
      <c r="T22" s="1"/>
      <c r="U22" s="1"/>
      <c r="V22" s="117"/>
      <c r="W22" s="6"/>
      <c r="X22" s="6"/>
      <c r="Y22" s="6"/>
      <c r="Z22" s="6"/>
      <c r="AA22" s="6"/>
      <c r="AB22" s="6"/>
      <c r="AC22" s="6"/>
    </row>
    <row r="23" spans="1:29" x14ac:dyDescent="0.3">
      <c r="B23" s="336" t="s">
        <v>114</v>
      </c>
      <c r="C23" s="307">
        <v>500</v>
      </c>
      <c r="D23" s="292" t="str">
        <f>IFERROR(IF(VLOOKUP(B23,'DSMZ 120 v1 calcs'!$A$53:$D$120,2,FALSE)&gt;0,VLOOKUP(B23,'DSMZ 120 v1 calcs'!$A$53:$D$120,2,FALSE),""),"")</f>
        <v/>
      </c>
      <c r="E23" s="292" t="str">
        <f>IFERROR(IF(VLOOKUP(B23,'DSMZ 120 v1.5 calcs'!$A$53:$D$120,2,FALSE)&gt;0,VLOOKUP(B23,'DSMZ 120 v1.5 calcs'!$A$53:$D$120,2,FALSE),""),"")</f>
        <v/>
      </c>
      <c r="F23" s="292" t="str">
        <f>IFERROR(IF(VLOOKUP(B23,'DSMZ 120 v2 calcs'!$A$53:$D$120,2,FALSE)&gt;0,VLOOKUP(B23,'DSMZ 120 v2 calcs'!$A$53:$D$120,2,FALSE),""),"")</f>
        <v/>
      </c>
      <c r="G23" s="292" t="str">
        <f>IFERROR(IF(VLOOKUP(B23,'DSMZ 120 v3 calcs'!$A$53:$D$120,2,FALSE)&gt;0,VLOOKUP(B23,'DSMZ 120 v3 calcs'!$A$53:$D$120,2,FALSE),""),"")</f>
        <v/>
      </c>
      <c r="H23" s="292" t="str">
        <f>IFERROR(IF(VLOOKUP(B23,'DSMZ 120 v4 calcs'!$A$53:$D$120,2,FALSE)&gt;0,VLOOKUP(B23,'DSMZ 120 v4 calcs'!$A$53:$D$120,2,FALSE),""),"")</f>
        <v/>
      </c>
      <c r="I23" s="292" t="str">
        <f>IFERROR(IF(VLOOKUP(B23,'RM 10.6 Speece 1996'!$A$57:$D$120,2,FALSE)&gt;0,VLOOKUP(B23,'RM 10.6 Speece 1996'!$A$57:$D$120,2,FALSE),""),"")</f>
        <v/>
      </c>
      <c r="J23" s="292" t="str">
        <f>IFERROR(IF(VLOOKUP(B23,'Mod Wolfe v1 calcs'!$A$53:$D$108,2,FALSE)&gt;0,VLOOKUP(B23,'Mod Wolfe v1 calcs'!$A$53:$D$108,2,FALSE),""),"")</f>
        <v/>
      </c>
      <c r="K23" s="292" t="str">
        <f>IFERROR(IF(VLOOKUP(B23,'Mod Wolfe v2 calcs'!$A$56:$D$112,2,FALSE)&gt;0,VLOOKUP(B23,'Mod Wolfe v2 calcs'!$A$56:$D$112,2,FALSE),""),"")</f>
        <v/>
      </c>
      <c r="L23" s="292" t="str">
        <f>IFERROR(IF(VLOOKUP(B23,'Mod Wolfe v3 calcs'!$A$53:$D$108,2,FALSE)&gt;0,VLOOKUP(B23,'Mod Wolfe v3 calcs'!$A$53:$D$108,2,FALSE),""),"")</f>
        <v/>
      </c>
      <c r="M23" s="292" t="str">
        <f>IFERROR(IF(VLOOKUP(B23,'Mod Wolfe v4 calcs'!$A$53:$D$108,2,FALSE)&gt;0,VLOOKUP(B23,'Mod Wolfe v4 calcs'!$A$53:$D$108,2,FALSE),""),"")</f>
        <v/>
      </c>
      <c r="T23" s="1"/>
      <c r="U23" s="8"/>
      <c r="V23" s="117"/>
      <c r="W23" s="6"/>
      <c r="X23" s="6"/>
      <c r="Y23" s="6"/>
      <c r="Z23" s="6"/>
      <c r="AA23" s="6"/>
      <c r="AB23" s="6"/>
      <c r="AC23" s="6"/>
    </row>
    <row r="24" spans="1:29" x14ac:dyDescent="0.3">
      <c r="B24" s="336" t="s">
        <v>299</v>
      </c>
      <c r="C24" s="307"/>
      <c r="D24" s="292" t="str">
        <f>IFERROR(IF(VLOOKUP(B24,'DSMZ 120 v1 calcs'!$A$53:$D$120,2,FALSE)&gt;0,VLOOKUP(B24,'DSMZ 120 v1 calcs'!$A$53:$D$120,2,FALSE),""),"")</f>
        <v/>
      </c>
      <c r="E24" s="292" t="str">
        <f>IFERROR(IF(VLOOKUP(B24,'DSMZ 120 v1.5 calcs'!$A$53:$D$120,2,FALSE)&gt;0,VLOOKUP(B24,'DSMZ 120 v1.5 calcs'!$A$53:$D$120,2,FALSE),""),"")</f>
        <v/>
      </c>
      <c r="F24" s="292" t="str">
        <f>IFERROR(IF(VLOOKUP(B24,'DSMZ 120 v2 calcs'!$A$53:$D$120,2,FALSE)&gt;0,VLOOKUP(B24,'DSMZ 120 v2 calcs'!$A$53:$D$120,2,FALSE),""),"")</f>
        <v/>
      </c>
      <c r="G24" s="292" t="str">
        <f>IFERROR(IF(VLOOKUP(B24,'DSMZ 120 v3 calcs'!$A$53:$D$120,2,FALSE)&gt;0,VLOOKUP(B24,'DSMZ 120 v3 calcs'!$A$53:$D$120,2,FALSE),""),"")</f>
        <v/>
      </c>
      <c r="H24" s="292" t="str">
        <f>IFERROR(IF(VLOOKUP(B24,'DSMZ 120 v4 calcs'!$A$53:$D$120,2,FALSE)&gt;0,VLOOKUP(B24,'DSMZ 120 v4 calcs'!$A$53:$D$120,2,FALSE),""),"")</f>
        <v/>
      </c>
      <c r="I24" s="292" t="str">
        <f>IFERROR(IF(VLOOKUP(B24,'RM 10.6 Speece 1996'!$A$57:$D$120,2,FALSE)&gt;0,VLOOKUP(B24,'RM 10.6 Speece 1996'!$A$57:$D$120,2,FALSE),""),"")</f>
        <v/>
      </c>
      <c r="J24" s="292">
        <f>IFERROR(IF(VLOOKUP(B24,'Mod Wolfe v1 calcs'!$A$53:$D$108,2,FALSE)&gt;0,VLOOKUP(B24,'Mod Wolfe v1 calcs'!$A$53:$D$108,2,FALSE),""),"")</f>
        <v>200.00260060224474</v>
      </c>
      <c r="K24" s="292">
        <f>IFERROR(IF(VLOOKUP(B24,'Mod Wolfe v2 calcs'!$A$56:$D$112,2,FALSE)&gt;0,VLOOKUP(B24,'Mod Wolfe v2 calcs'!$A$56:$D$112,2,FALSE),""),"")</f>
        <v>200.00260060224474</v>
      </c>
      <c r="L24" s="292">
        <f>IFERROR(IF(VLOOKUP(B24,'Mod Wolfe v3 calcs'!$A$53:$D$108,2,FALSE)&gt;0,VLOOKUP(B24,'Mod Wolfe v3 calcs'!$A$53:$D$108,2,FALSE),""),"")</f>
        <v>200.00260060224474</v>
      </c>
      <c r="M24" s="292">
        <f>IFERROR(IF(VLOOKUP(B24,'Mod Wolfe v4 calcs'!$A$53:$D$108,2,FALSE)&gt;0,VLOOKUP(B24,'Mod Wolfe v4 calcs'!$A$53:$D$108,2,FALSE),""),"")</f>
        <v>300.00390090336708</v>
      </c>
      <c r="T24" s="1"/>
      <c r="U24" s="8"/>
      <c r="V24" s="117"/>
      <c r="X24" s="6"/>
      <c r="Y24" s="6"/>
      <c r="Z24" s="6"/>
      <c r="AA24" s="6"/>
      <c r="AB24" s="6"/>
    </row>
    <row r="25" spans="1:29" x14ac:dyDescent="0.3">
      <c r="A25" s="333"/>
      <c r="B25" s="336" t="s">
        <v>82</v>
      </c>
      <c r="C25" s="307"/>
      <c r="D25" s="292">
        <f>IFERROR(IF(VLOOKUP(B25,'DSMZ 120 v1 calcs'!$A$53:$D$120,2,FALSE)&gt;0,VLOOKUP(B25,'DSMZ 120 v1 calcs'!$A$53:$D$120,2,FALSE),""),"")</f>
        <v>369.65178237392814</v>
      </c>
      <c r="E25" s="292">
        <f>IFERROR(IF(VLOOKUP(B25,'DSMZ 120 v1.5 calcs'!$A$53:$D$120,2,FALSE)&gt;0,VLOOKUP(B25,'DSMZ 120 v1.5 calcs'!$A$53:$D$120,2,FALSE),""),"")</f>
        <v>369.65178237392814</v>
      </c>
      <c r="F25" s="292">
        <f>IFERROR(IF(VLOOKUP(B25,'DSMZ 120 v2 calcs'!$A$53:$D$120,2,FALSE)&gt;0,VLOOKUP(B25,'DSMZ 120 v2 calcs'!$A$53:$D$120,2,FALSE),""),"")</f>
        <v>369.65178237392814</v>
      </c>
      <c r="G25" s="292">
        <f>IFERROR(IF(VLOOKUP(B25,'DSMZ 120 v3 calcs'!$A$53:$D$120,2,FALSE)&gt;0,VLOOKUP(B25,'DSMZ 120 v3 calcs'!$A$53:$D$120,2,FALSE),""),"")</f>
        <v>369.65178237392814</v>
      </c>
      <c r="H25" s="292">
        <f>IFERROR(IF(VLOOKUP(B25,'DSMZ 120 v4 calcs'!$A$53:$D$120,2,FALSE)&gt;0,VLOOKUP(B25,'DSMZ 120 v4 calcs'!$A$53:$D$120,2,FALSE),""),"")</f>
        <v>369.65178237392814</v>
      </c>
      <c r="I25" s="292">
        <f>IFERROR(IF(VLOOKUP(B25,'RM 10.6 Speece 1996'!$A$57:$D$120,2,FALSE)&gt;0,VLOOKUP(B25,'RM 10.6 Speece 1996'!$A$57:$D$120,2,FALSE),""),"")</f>
        <v>62.811576100068322</v>
      </c>
      <c r="J25" s="292">
        <f>IFERROR(IF(VLOOKUP(B25,'Mod Wolfe v1 calcs'!$A$53:$D$108,2,FALSE)&gt;0,VLOOKUP(B25,'Mod Wolfe v1 calcs'!$A$53:$D$108,2,FALSE),""),"")</f>
        <v>372.92627062590816</v>
      </c>
      <c r="K25" s="292">
        <f>IFERROR(IF(VLOOKUP(B25,'Mod Wolfe v2 calcs'!$A$56:$D$112,2,FALSE)&gt;0,VLOOKUP(B25,'Mod Wolfe v2 calcs'!$A$56:$D$112,2,FALSE),""),"")</f>
        <v>384.92765268733757</v>
      </c>
      <c r="L25" s="292">
        <f>IFERROR(IF(VLOOKUP(B25,'Mod Wolfe v3 calcs'!$A$53:$D$108,2,FALSE)&gt;0,VLOOKUP(B25,'Mod Wolfe v3 calcs'!$A$53:$D$108,2,FALSE),""),"")</f>
        <v>372.92627062590816</v>
      </c>
      <c r="M25" s="292">
        <f>IFERROR(IF(VLOOKUP(B25,'Mod Wolfe v4 calcs'!$A$53:$D$108,2,FALSE)&gt;0,VLOOKUP(B25,'Mod Wolfe v4 calcs'!$A$53:$D$108,2,FALSE),""),"")</f>
        <v>372.92627062590816</v>
      </c>
      <c r="T25" s="1"/>
      <c r="U25" s="8"/>
      <c r="V25" s="117"/>
      <c r="W25" s="6"/>
      <c r="X25" s="6"/>
      <c r="Y25" s="6"/>
      <c r="Z25" s="6"/>
      <c r="AA25" s="6"/>
      <c r="AB25" s="6"/>
      <c r="AC25" s="6"/>
    </row>
    <row r="26" spans="1:29" x14ac:dyDescent="0.3">
      <c r="A26">
        <v>1000</v>
      </c>
      <c r="B26" s="335" t="s">
        <v>365</v>
      </c>
      <c r="C26" s="306"/>
      <c r="D26" s="332"/>
      <c r="E26" s="332"/>
      <c r="F26" s="332"/>
      <c r="G26" s="332"/>
      <c r="H26" s="332"/>
      <c r="I26" s="332"/>
      <c r="J26" s="332"/>
      <c r="K26" s="332"/>
      <c r="L26" s="332"/>
      <c r="M26" s="332"/>
      <c r="T26" s="1"/>
      <c r="U26" s="8"/>
      <c r="V26" s="117"/>
      <c r="W26" s="6"/>
      <c r="X26" s="6"/>
      <c r="Y26" s="6"/>
      <c r="Z26" s="6"/>
      <c r="AA26" s="6"/>
      <c r="AB26" s="6"/>
      <c r="AC26" s="6"/>
    </row>
    <row r="27" spans="1:29" hidden="1" x14ac:dyDescent="0.3">
      <c r="B27" s="336" t="s">
        <v>71</v>
      </c>
      <c r="C27" s="307"/>
      <c r="D27" s="292" t="str">
        <f>IFERROR(IF(VLOOKUP(B27,'DSMZ 120 v1 calcs'!$A$53:$D$120,2,FALSE)&gt;0,VLOOKUP(B27,'DSMZ 120 v1 calcs'!$A$53:$D$120,2,FALSE),""),"")</f>
        <v/>
      </c>
      <c r="E27" s="292"/>
      <c r="F27" s="292"/>
      <c r="G27" s="292"/>
      <c r="H27" s="292"/>
      <c r="I27" s="292" t="str">
        <f>IFERROR(IF(VLOOKUP(B27,'RM 10.6 Speece 1996'!$A$57:$D$120,2,FALSE)&gt;0,VLOOKUP(B27,'RM 10.6 Speece 1996'!$A$57:$D$120,2,FALSE),""),"")</f>
        <v/>
      </c>
      <c r="J27" s="292"/>
      <c r="K27" s="292"/>
      <c r="L27" s="292"/>
      <c r="M27" s="292"/>
      <c r="T27" s="1"/>
      <c r="U27" s="8"/>
      <c r="V27" s="117"/>
      <c r="W27" s="6"/>
      <c r="X27" s="6"/>
      <c r="Y27" s="6"/>
      <c r="Z27" s="6"/>
      <c r="AA27" s="6"/>
      <c r="AB27" s="6"/>
      <c r="AC27" s="6"/>
    </row>
    <row r="28" spans="1:29" x14ac:dyDescent="0.3">
      <c r="B28" s="337" t="s">
        <v>72</v>
      </c>
      <c r="C28" s="308">
        <v>1000</v>
      </c>
      <c r="D28" s="292">
        <f>IFERROR(IF(VLOOKUP(B28,'DSMZ 120 v1 calcs'!$A$53:$D$120,2,FALSE)&gt;0,VLOOKUP(B28,'DSMZ 120 v1 calcs'!$A$53:$D$120,2,FALSE),""),"")</f>
        <v>5.9263410324372082E-3</v>
      </c>
      <c r="E28" s="292">
        <f>IFERROR(IF(VLOOKUP(B28,'DSMZ 120 v1.5 calcs'!$A$53:$D$120,2,FALSE)&gt;0,VLOOKUP(B28,'DSMZ 120 v1.5 calcs'!$A$53:$D$120,2,FALSE),""),"")</f>
        <v>5.9263410324372082E-3</v>
      </c>
      <c r="F28" s="292">
        <f>IFERROR(IF(VLOOKUP(B28,'DSMZ 120 v2 calcs'!$A$53:$D$120,2,FALSE)&gt;0,VLOOKUP(B28,'DSMZ 120 v2 calcs'!$A$53:$D$120,2,FALSE),""),"")</f>
        <v>5.9263410324372082E-3</v>
      </c>
      <c r="G28" s="292">
        <f>IFERROR(IF(VLOOKUP(B28,'DSMZ 120 v3 calcs'!$A$53:$D$120,2,FALSE)&gt;0,VLOOKUP(B28,'DSMZ 120 v3 calcs'!$A$53:$D$120,2,FALSE),""),"")</f>
        <v>5.9263410324372082E-3</v>
      </c>
      <c r="H28" s="292">
        <f>IFERROR(IF(VLOOKUP(B28,'DSMZ 120 v4 calcs'!$A$53:$D$120,2,FALSE)&gt;0,VLOOKUP(B28,'DSMZ 120 v4 calcs'!$A$53:$D$120,2,FALSE),""),"")</f>
        <v>5.9263410324372082E-3</v>
      </c>
      <c r="I28" s="292">
        <f>IFERROR(IF(VLOOKUP(B28,'RM 10.6 Speece 1996'!$A$57:$D$120,2,FALSE)&gt;0,VLOOKUP(B28,'RM 10.6 Speece 1996'!$A$57:$D$120,2,FALSE),""),"")</f>
        <v>4.4668264648315907E-2</v>
      </c>
      <c r="J28" s="292">
        <f>IFERROR(IF($A$26*VLOOKUP(B28,'Mod Wolfe v1 calcs'!$A$53:$D$108,2,FALSE)&gt;0,$A$26*VLOOKUP(B28,'Mod Wolfe v1 calcs'!$A$53:$D$108,2,FALSE),""),"")</f>
        <v>246.9308763515503</v>
      </c>
      <c r="K28" s="292">
        <f>IFERROR(IF($A$26*VLOOKUP(B28,'Mod Wolfe v2 calcs'!$A$56:$D$112,2,FALSE)&gt;0,$A$26*VLOOKUP(B28,'Mod Wolfe v2 calcs'!$A$56:$D$112,2,FALSE),""),"")</f>
        <v>246.9308763515503</v>
      </c>
      <c r="L28" s="292">
        <f>IFERROR(IF($A$26*VLOOKUP(B28,'Mod Wolfe v3 calcs'!$A$53:$D$108,2,FALSE)&gt;0,$A$26*VLOOKUP(B28,'Mod Wolfe v3 calcs'!$A$53:$D$108,2,FALSE),""),"")</f>
        <v>246.9308763515503</v>
      </c>
      <c r="M28" s="292">
        <f>IFERROR(IF($A$26*VLOOKUP(B28,'Mod Wolfe v4 calcs'!$A$53:$D$108,2,FALSE)&gt;0,$A$26*VLOOKUP(B28,'Mod Wolfe v4 calcs'!$A$53:$D$108,2,FALSE),""),"")</f>
        <v>246.9308763515503</v>
      </c>
      <c r="T28" s="1"/>
      <c r="U28" s="8"/>
      <c r="V28" s="117"/>
      <c r="W28" s="6"/>
      <c r="X28" s="6"/>
      <c r="Y28" s="6"/>
      <c r="Z28" s="6"/>
      <c r="AA28" s="6"/>
      <c r="AB28" s="6"/>
      <c r="AC28" s="6"/>
    </row>
    <row r="29" spans="1:29" x14ac:dyDescent="0.3">
      <c r="B29" s="337" t="s">
        <v>73</v>
      </c>
      <c r="C29" s="308">
        <v>500</v>
      </c>
      <c r="D29" s="292">
        <f>IFERROR(IF(VLOOKUP(B29,'DSMZ 120 v1 calcs'!$A$53:$D$120,2,FALSE)&gt;0,VLOOKUP(B29,'DSMZ 120 v1 calcs'!$A$53:$D$120,2,FALSE),""),"")</f>
        <v>3.3860315356959429E-2</v>
      </c>
      <c r="E29" s="292">
        <f>IFERROR(IF(VLOOKUP(B29,'DSMZ 120 v1.5 calcs'!$A$53:$D$120,2,FALSE)&gt;0,VLOOKUP(B29,'DSMZ 120 v1.5 calcs'!$A$53:$D$120,2,FALSE),""),"")</f>
        <v>3.3860315356959429E-2</v>
      </c>
      <c r="F29" s="292">
        <f>IFERROR(IF(VLOOKUP(B29,'DSMZ 120 v2 calcs'!$A$53:$D$120,2,FALSE)&gt;0,VLOOKUP(B29,'DSMZ 120 v2 calcs'!$A$53:$D$120,2,FALSE),""),"")</f>
        <v>3.3860315356959429E-2</v>
      </c>
      <c r="G29" s="292">
        <f>IFERROR(IF(VLOOKUP(B29,'DSMZ 120 v3 calcs'!$A$53:$D$120,2,FALSE)&gt;0,VLOOKUP(B29,'DSMZ 120 v3 calcs'!$A$53:$D$120,2,FALSE),""),"")</f>
        <v>3.3860315356959429E-2</v>
      </c>
      <c r="H29" s="292">
        <f>IFERROR(IF(VLOOKUP(B29,'DSMZ 120 v4 calcs'!$A$53:$D$120,2,FALSE)&gt;0,VLOOKUP(B29,'DSMZ 120 v4 calcs'!$A$53:$D$120,2,FALSE),""),"")</f>
        <v>3.3860315356959429E-2</v>
      </c>
      <c r="I29" s="292">
        <f>IFERROR(IF(VLOOKUP(B29,'RM 10.6 Speece 1996'!$A$57:$D$120,2,FALSE)&gt;0,VLOOKUP(B29,'RM 10.6 Speece 1996'!$A$57:$D$120,2,FALSE),""),"")</f>
        <v>0.14452695557098874</v>
      </c>
      <c r="J29" s="292">
        <f>IFERROR(IF($A$26*VLOOKUP(B29,'Mod Wolfe v1 calcs'!$A$53:$D$108,2,FALSE)&gt;0,$A$26*VLOOKUP(B29,'Mod Wolfe v1 calcs'!$A$53:$D$108,2,FALSE),""),"")</f>
        <v>229.28401905888083</v>
      </c>
      <c r="K29" s="292">
        <f>IFERROR(IF($A$26*VLOOKUP(B29,'Mod Wolfe v2 calcs'!$A$56:$D$112,2,FALSE)&gt;0,$A$26*VLOOKUP(B29,'Mod Wolfe v2 calcs'!$A$56:$D$112,2,FALSE),""),"")</f>
        <v>229.28401905888083</v>
      </c>
      <c r="L29" s="292">
        <f>IFERROR(IF($A$26*VLOOKUP(B29,'Mod Wolfe v3 calcs'!$A$53:$D$108,2,FALSE)&gt;0,$A$26*VLOOKUP(B29,'Mod Wolfe v3 calcs'!$A$53:$D$108,2,FALSE),""),"")</f>
        <v>229.28401905888083</v>
      </c>
      <c r="M29" s="292">
        <f>IFERROR(IF($A$26*VLOOKUP(B29,'Mod Wolfe v4 calcs'!$A$53:$D$108,2,FALSE)&gt;0,$A$26*VLOOKUP(B29,'Mod Wolfe v4 calcs'!$A$53:$D$108,2,FALSE),""),"")</f>
        <v>229.28401905888083</v>
      </c>
      <c r="T29" s="1"/>
      <c r="U29" s="8"/>
      <c r="V29" s="117"/>
      <c r="W29" s="6"/>
      <c r="X29" s="6"/>
      <c r="Y29" s="6"/>
      <c r="Z29" s="6"/>
      <c r="AA29" s="6"/>
      <c r="AB29" s="6"/>
      <c r="AC29" s="6"/>
    </row>
    <row r="30" spans="1:29" x14ac:dyDescent="0.3">
      <c r="B30" s="336" t="s">
        <v>74</v>
      </c>
      <c r="C30" s="307">
        <v>1000</v>
      </c>
      <c r="D30" s="292">
        <f>IFERROR(IF(VLOOKUP(B30,'DSMZ 120 v1 calcs'!$A$53:$D$120,2,FALSE)&gt;0,VLOOKUP(B30,'DSMZ 120 v1 calcs'!$A$53:$D$120,2,FALSE),""),"")</f>
        <v>2.7760092971552727E-2</v>
      </c>
      <c r="E30" s="292">
        <f>IFERROR(IF(VLOOKUP(B30,'DSMZ 120 v1.5 calcs'!$A$53:$D$120,2,FALSE)&gt;0,VLOOKUP(B30,'DSMZ 120 v1.5 calcs'!$A$53:$D$120,2,FALSE),""),"")</f>
        <v>2.7760092971552727E-2</v>
      </c>
      <c r="F30" s="292">
        <f>IFERROR(IF(VLOOKUP(B30,'DSMZ 120 v2 calcs'!$A$53:$D$120,2,FALSE)&gt;0,VLOOKUP(B30,'DSMZ 120 v2 calcs'!$A$53:$D$120,2,FALSE),""),"")</f>
        <v>2.7760092971552727E-2</v>
      </c>
      <c r="G30" s="292">
        <f>IFERROR(IF(VLOOKUP(B30,'DSMZ 120 v3 calcs'!$A$53:$D$120,2,FALSE)&gt;0,VLOOKUP(B30,'DSMZ 120 v3 calcs'!$A$53:$D$120,2,FALSE),""),"")</f>
        <v>2.7760092971552727E-2</v>
      </c>
      <c r="H30" s="292">
        <f>IFERROR(IF(VLOOKUP(B30,'DSMZ 120 v4 calcs'!$A$53:$D$120,2,FALSE)&gt;0,VLOOKUP(B30,'DSMZ 120 v4 calcs'!$A$53:$D$120,2,FALSE),""),"")</f>
        <v>2.7760092971552727E-2</v>
      </c>
      <c r="I30" s="292">
        <f>IFERROR(IF(VLOOKUP(B30,'RM 10.6 Speece 1996'!$A$57:$D$120,2,FALSE)&gt;0,VLOOKUP(B30,'RM 10.6 Speece 1996'!$A$57:$D$120,2,FALSE),""),"")</f>
        <v>4.4665981500513867E-2</v>
      </c>
      <c r="J30" s="292">
        <f>IFERROR(IF($A$26*VLOOKUP(B30,'Mod Wolfe v1 calcs'!$A$53:$D$108,2,FALSE)&gt;0,$A$26*VLOOKUP(B30,'Mod Wolfe v1 calcs'!$A$53:$D$108,2,FALSE),""),"")</f>
        <v>325.05028990651988</v>
      </c>
      <c r="K30" s="292">
        <f>IFERROR(IF($A$26*VLOOKUP(B30,'Mod Wolfe v2 calcs'!$A$56:$D$112,2,FALSE)&gt;0,$A$26*VLOOKUP(B30,'Mod Wolfe v2 calcs'!$A$56:$D$112,2,FALSE),""),"")</f>
        <v>325.05028990651988</v>
      </c>
      <c r="L30" s="292">
        <f>IFERROR(IF($A$26*VLOOKUP(B30,'Mod Wolfe v3 calcs'!$A$53:$D$108,2,FALSE)&gt;0,$A$26*VLOOKUP(B30,'Mod Wolfe v3 calcs'!$A$53:$D$108,2,FALSE),""),"")</f>
        <v>325.05028990651988</v>
      </c>
      <c r="M30" s="292">
        <f>IFERROR(IF($A$26*VLOOKUP(B30,'Mod Wolfe v4 calcs'!$A$53:$D$108,2,FALSE)&gt;0,$A$26*VLOOKUP(B30,'Mod Wolfe v4 calcs'!$A$53:$D$108,2,FALSE),""),"")</f>
        <v>325.05028990651988</v>
      </c>
      <c r="T30" s="1"/>
      <c r="U30" s="8"/>
      <c r="V30" s="117"/>
      <c r="W30" s="6"/>
      <c r="X30" s="6"/>
      <c r="Y30" s="6"/>
      <c r="Z30" s="6"/>
      <c r="AA30" s="6"/>
      <c r="AB30" s="6"/>
      <c r="AC30" s="6"/>
    </row>
    <row r="31" spans="1:29" x14ac:dyDescent="0.3">
      <c r="B31" s="337" t="s">
        <v>75</v>
      </c>
      <c r="C31" s="308">
        <v>500</v>
      </c>
      <c r="D31" s="292">
        <f>IFERROR(IF(VLOOKUP(B31,'DSMZ 120 v1 calcs'!$A$53:$D$120,2,FALSE)&gt;0,VLOOKUP(B31,'DSMZ 120 v1 calcs'!$A$53:$D$120,2,FALSE),""),"")</f>
        <v>4.7061346194258814E-2</v>
      </c>
      <c r="E31" s="292">
        <f>IFERROR(IF(VLOOKUP(B31,'DSMZ 120 v1.5 calcs'!$A$53:$D$120,2,FALSE)&gt;0,VLOOKUP(B31,'DSMZ 120 v1.5 calcs'!$A$53:$D$120,2,FALSE),""),"")</f>
        <v>4.7061346194258814E-2</v>
      </c>
      <c r="F31" s="292">
        <f>IFERROR(IF(VLOOKUP(B31,'DSMZ 120 v2 calcs'!$A$53:$D$120,2,FALSE)&gt;0,VLOOKUP(B31,'DSMZ 120 v2 calcs'!$A$53:$D$120,2,FALSE),""),"")</f>
        <v>4.7061346194258814E-2</v>
      </c>
      <c r="G31" s="292">
        <f>IFERROR(IF(VLOOKUP(B31,'DSMZ 120 v3 calcs'!$A$53:$D$120,2,FALSE)&gt;0,VLOOKUP(B31,'DSMZ 120 v3 calcs'!$A$53:$D$120,2,FALSE),""),"")</f>
        <v>4.7061346194258814E-2</v>
      </c>
      <c r="H31" s="292">
        <f>IFERROR(IF(VLOOKUP(B31,'DSMZ 120 v4 calcs'!$A$53:$D$120,2,FALSE)&gt;0,VLOOKUP(B31,'DSMZ 120 v4 calcs'!$A$53:$D$120,2,FALSE),""),"")</f>
        <v>4.7061346194258814E-2</v>
      </c>
      <c r="I31" s="292">
        <f>IFERROR(IF(VLOOKUP(B31,'RM 10.6 Speece 1996'!$A$57:$D$120,2,FALSE)&gt;0,VLOOKUP(B31,'RM 10.6 Speece 1996'!$A$57:$D$120,2,FALSE),""),"")</f>
        <v>3.8501570180378454E-2</v>
      </c>
      <c r="J31" s="292">
        <f>IFERROR(IF($A$26*VLOOKUP(B31,'Mod Wolfe v1 calcs'!$A$53:$D$108,2,FALSE)&gt;0,$A$26*VLOOKUP(B31,'Mod Wolfe v1 calcs'!$A$53:$D$108,2,FALSE),""),"")</f>
        <v>247.69129575925692</v>
      </c>
      <c r="K31" s="292">
        <f>IFERROR(IF($A$26*VLOOKUP(B31,'Mod Wolfe v2 calcs'!$A$56:$D$112,2,FALSE)&gt;0,$A$26*VLOOKUP(B31,'Mod Wolfe v2 calcs'!$A$56:$D$112,2,FALSE),""),"")</f>
        <v>247.69129575925692</v>
      </c>
      <c r="L31" s="292">
        <f>IFERROR(IF($A$26*VLOOKUP(B31,'Mod Wolfe v3 calcs'!$A$53:$D$108,2,FALSE)&gt;0,$A$26*VLOOKUP(B31,'Mod Wolfe v3 calcs'!$A$53:$D$108,2,FALSE),""),"")</f>
        <v>247.69129575925692</v>
      </c>
      <c r="M31" s="292">
        <f>IFERROR(IF($A$26*VLOOKUP(B31,'Mod Wolfe v4 calcs'!$A$53:$D$108,2,FALSE)&gt;0,$A$26*VLOOKUP(B31,'Mod Wolfe v4 calcs'!$A$53:$D$108,2,FALSE),""),"")</f>
        <v>247.69129575925692</v>
      </c>
      <c r="T31" s="1"/>
      <c r="U31" s="8"/>
      <c r="V31" s="117"/>
      <c r="W31" s="6"/>
      <c r="X31" s="6"/>
      <c r="Y31" s="6"/>
      <c r="Z31" s="6"/>
      <c r="AA31" s="6"/>
      <c r="AB31" s="6"/>
      <c r="AC31" s="6"/>
    </row>
    <row r="32" spans="1:29" x14ac:dyDescent="0.3">
      <c r="B32" s="337" t="s">
        <v>81</v>
      </c>
      <c r="C32" s="308">
        <v>100</v>
      </c>
      <c r="D32" s="292">
        <f>IFERROR(IF(VLOOKUP(B32,'DSMZ 120 v1 calcs'!$A$53:$D$120,2,FALSE)&gt;0,VLOOKUP(B32,'DSMZ 120 v1 calcs'!$A$53:$D$120,2,FALSE),""),"")</f>
        <v>2.2003754106053497E-3</v>
      </c>
      <c r="E32" s="292">
        <f>IFERROR(IF(VLOOKUP(B32,'DSMZ 120 v1.5 calcs'!$A$53:$D$120,2,FALSE)&gt;0,VLOOKUP(B32,'DSMZ 120 v1.5 calcs'!$A$53:$D$120,2,FALSE),""),"")</f>
        <v>2.2003754106053497E-3</v>
      </c>
      <c r="F32" s="292">
        <f>IFERROR(IF(VLOOKUP(B32,'DSMZ 120 v2 calcs'!$A$53:$D$120,2,FALSE)&gt;0,VLOOKUP(B32,'DSMZ 120 v2 calcs'!$A$53:$D$120,2,FALSE),""),"")</f>
        <v>2.2003754106053497E-3</v>
      </c>
      <c r="G32" s="292">
        <f>IFERROR(IF(VLOOKUP(B32,'DSMZ 120 v3 calcs'!$A$53:$D$120,2,FALSE)&gt;0,VLOOKUP(B32,'DSMZ 120 v3 calcs'!$A$53:$D$120,2,FALSE),""),"")</f>
        <v>2.2003754106053497E-3</v>
      </c>
      <c r="H32" s="292">
        <f>IFERROR(IF(VLOOKUP(B32,'DSMZ 120 v4 calcs'!$A$53:$D$120,2,FALSE)&gt;0,VLOOKUP(B32,'DSMZ 120 v4 calcs'!$A$53:$D$120,2,FALSE),""),"")</f>
        <v>2.2003754106053497E-3</v>
      </c>
      <c r="I32" s="292">
        <f>IFERROR(IF(VLOOKUP(B32,'RM 10.6 Speece 1996'!$A$57:$D$120,2,FALSE)&gt;0,VLOOKUP(B32,'RM 10.6 Speece 1996'!$A$57:$D$120,2,FALSE),""),"")</f>
        <v>0.26365228922852502</v>
      </c>
      <c r="J32" s="292">
        <f>IFERROR(IF($A$26*VLOOKUP(B32,'Mod Wolfe v1 calcs'!$A$53:$D$108,2,FALSE)&gt;0,$A$26*VLOOKUP(B32,'Mod Wolfe v1 calcs'!$A$53:$D$108,2,FALSE),""),"")</f>
        <v>75.120153796859995</v>
      </c>
      <c r="K32" s="292">
        <f>IFERROR(IF($A$26*VLOOKUP(B32,'Mod Wolfe v2 calcs'!$A$56:$D$112,2,FALSE)&gt;0,$A$26*VLOOKUP(B32,'Mod Wolfe v2 calcs'!$A$56:$D$112,2,FALSE),""),"")</f>
        <v>75.120153796859995</v>
      </c>
      <c r="L32" s="292">
        <f>IFERROR(IF($A$26*VLOOKUP(B32,'Mod Wolfe v3 calcs'!$A$53:$D$108,2,FALSE)&gt;0,$A$26*VLOOKUP(B32,'Mod Wolfe v3 calcs'!$A$53:$D$108,2,FALSE),""),"")</f>
        <v>74.812763960581876</v>
      </c>
      <c r="M32" s="292">
        <f>IFERROR(IF($A$26*VLOOKUP(B32,'Mod Wolfe v4 calcs'!$A$53:$D$108,2,FALSE)&gt;0,$A$26*VLOOKUP(B32,'Mod Wolfe v4 calcs'!$A$53:$D$108,2,FALSE),""),"")</f>
        <v>74.812763960581876</v>
      </c>
      <c r="T32" s="1"/>
      <c r="U32" s="8"/>
      <c r="V32" s="117"/>
      <c r="W32" s="6"/>
      <c r="X32" s="6"/>
      <c r="Y32" s="6"/>
      <c r="Z32" s="6"/>
      <c r="AA32" s="6"/>
      <c r="AB32" s="6"/>
      <c r="AC32" s="6"/>
    </row>
    <row r="33" spans="2:38" hidden="1" x14ac:dyDescent="0.3">
      <c r="B33" s="336" t="s">
        <v>68</v>
      </c>
      <c r="C33" s="307"/>
      <c r="D33" s="292" t="str">
        <f>IFERROR(IF(VLOOKUP(B33,'DSMZ 120 v1 calcs'!$A$53:$D$120,2,FALSE)&gt;0,VLOOKUP(B33,'DSMZ 120 v1 calcs'!$A$53:$D$120,2,FALSE),""),"")</f>
        <v/>
      </c>
      <c r="E33" s="292" t="str">
        <f>IFERROR(IF(VLOOKUP(B33,'DSMZ 120 v1.5 calcs'!$A$53:$D$120,2,FALSE)&gt;0,VLOOKUP(B33,'DSMZ 120 v1.5 calcs'!$A$53:$D$120,2,FALSE),""),"")</f>
        <v/>
      </c>
      <c r="F33" s="292" t="str">
        <f>IFERROR(IF(VLOOKUP(B33,'DSMZ 120 v2 calcs'!$A$53:$D$120,2,FALSE)&gt;0,VLOOKUP(B33,'DSMZ 120 v2 calcs'!$A$53:$D$120,2,FALSE),""),"")</f>
        <v/>
      </c>
      <c r="G33" s="292" t="str">
        <f>IFERROR(IF(VLOOKUP(B33,'DSMZ 120 v3 calcs'!$A$53:$D$120,2,FALSE)&gt;0,VLOOKUP(B33,'DSMZ 120 v3 calcs'!$A$53:$D$120,2,FALSE),""),"")</f>
        <v/>
      </c>
      <c r="H33" s="292" t="str">
        <f>IFERROR(IF(VLOOKUP(B33,'DSMZ 120 v4 calcs'!$A$53:$D$120,2,FALSE)&gt;0,VLOOKUP(B33,'DSMZ 120 v4 calcs'!$A$53:$D$120,2,FALSE),""),"")</f>
        <v/>
      </c>
      <c r="I33" s="292" t="str">
        <f>IFERROR(IF(VLOOKUP(B33,'RM 10.6 Speece 1996'!$A$57:$D$120,2,FALSE)&gt;0,VLOOKUP(B33,'RM 10.6 Speece 1996'!$A$57:$D$120,2,FALSE),""),"")</f>
        <v/>
      </c>
      <c r="J33" s="292" t="str">
        <f>IFERROR(IF($A$26*VLOOKUP(B33,'Mod Wolfe v1 calcs'!$A$53:$D$108,2,FALSE)&gt;0,$A$26*VLOOKUP(B33,'Mod Wolfe v1 calcs'!$A$53:$D$108,2,FALSE),""),"")</f>
        <v/>
      </c>
      <c r="K33" s="292" t="str">
        <f>IFERROR(IF($A$26*VLOOKUP(B33,'Mod Wolfe v2 calcs'!$A$56:$D$112,2,FALSE)&gt;0,$A$26*VLOOKUP(B33,'Mod Wolfe v2 calcs'!$A$56:$D$112,2,FALSE),""),"")</f>
        <v/>
      </c>
      <c r="L33" s="292" t="str">
        <f>IFERROR(IF($A$26*VLOOKUP(B33,'Mod Wolfe v3 calcs'!$A$53:$D$108,2,FALSE)&gt;0,$A$26*VLOOKUP(B33,'Mod Wolfe v3 calcs'!$A$53:$D$108,2,FALSE),""),"")</f>
        <v/>
      </c>
      <c r="M33" s="292" t="str">
        <f>IFERROR(IF($A$26*VLOOKUP(B33,'Mod Wolfe v4 calcs'!$A$53:$D$108,2,FALSE)&gt;0,$A$26*VLOOKUP(B33,'Mod Wolfe v4 calcs'!$A$53:$D$108,2,FALSE),""),"")</f>
        <v/>
      </c>
      <c r="V33" s="117"/>
      <c r="W33" s="6"/>
      <c r="X33" s="6"/>
      <c r="Y33" s="6"/>
      <c r="Z33" s="6"/>
      <c r="AA33" s="6"/>
      <c r="AB33" s="6"/>
      <c r="AC33" s="6"/>
    </row>
    <row r="34" spans="2:38" ht="16.8" hidden="1" customHeight="1" x14ac:dyDescent="0.3">
      <c r="B34" s="336" t="s">
        <v>79</v>
      </c>
      <c r="C34" s="307">
        <v>500000</v>
      </c>
      <c r="D34" s="292" t="str">
        <f>IFERROR(IF(VLOOKUP(B34,'DSMZ 120 v1 calcs'!$A$53:$D$120,2,FALSE)&gt;0,VLOOKUP(B34,'DSMZ 120 v1 calcs'!$A$53:$D$120,2,FALSE),""),"")</f>
        <v/>
      </c>
      <c r="E34" s="292" t="str">
        <f>IFERROR(IF(VLOOKUP(B34,'DSMZ 120 v1.5 calcs'!$A$53:$D$120,2,FALSE)&gt;0,VLOOKUP(B34,'DSMZ 120 v1.5 calcs'!$A$53:$D$120,2,FALSE),""),"")</f>
        <v/>
      </c>
      <c r="F34" s="292" t="str">
        <f>IFERROR(IF(VLOOKUP(B34,'DSMZ 120 v2 calcs'!$A$53:$D$120,2,FALSE)&gt;0,VLOOKUP(B34,'DSMZ 120 v2 calcs'!$A$53:$D$120,2,FALSE),""),"")</f>
        <v/>
      </c>
      <c r="G34" s="292" t="str">
        <f>IFERROR(IF(VLOOKUP(B34,'DSMZ 120 v3 calcs'!$A$53:$D$120,2,FALSE)&gt;0,VLOOKUP(B34,'DSMZ 120 v3 calcs'!$A$53:$D$120,2,FALSE),""),"")</f>
        <v/>
      </c>
      <c r="H34" s="292" t="str">
        <f>IFERROR(IF(VLOOKUP(B34,'DSMZ 120 v4 calcs'!$A$53:$D$120,2,FALSE)&gt;0,VLOOKUP(B34,'DSMZ 120 v4 calcs'!$A$53:$D$120,2,FALSE),""),"")</f>
        <v/>
      </c>
      <c r="I34" s="292" t="str">
        <f>IFERROR(IF(VLOOKUP(B34,'RM 10.6 Speece 1996'!$A$57:$D$120,2,FALSE)&gt;0,VLOOKUP(B34,'RM 10.6 Speece 1996'!$A$57:$D$120,2,FALSE),""),"")</f>
        <v/>
      </c>
      <c r="J34" s="292" t="str">
        <f>IFERROR(IF($A$26*VLOOKUP(B34,'Mod Wolfe v1 calcs'!$A$53:$D$108,2,FALSE)&gt;0,$A$26*VLOOKUP(B34,'Mod Wolfe v1 calcs'!$A$53:$D$108,2,FALSE),""),"")</f>
        <v/>
      </c>
      <c r="K34" s="292" t="str">
        <f>IFERROR(IF($A$26*VLOOKUP(B34,'Mod Wolfe v2 calcs'!$A$56:$D$112,2,FALSE)&gt;0,$A$26*VLOOKUP(B34,'Mod Wolfe v2 calcs'!$A$56:$D$112,2,FALSE),""),"")</f>
        <v/>
      </c>
      <c r="L34" s="292" t="str">
        <f>IFERROR(IF($A$26*VLOOKUP(B34,'Mod Wolfe v3 calcs'!$A$53:$D$108,2,FALSE)&gt;0,$A$26*VLOOKUP(B34,'Mod Wolfe v3 calcs'!$A$53:$D$108,2,FALSE),""),"")</f>
        <v/>
      </c>
      <c r="M34" s="292" t="str">
        <f>IFERROR(IF($A$26*VLOOKUP(B34,'Mod Wolfe v4 calcs'!$A$53:$D$108,2,FALSE)&gt;0,$A$26*VLOOKUP(B34,'Mod Wolfe v4 calcs'!$A$53:$D$108,2,FALSE),""),"")</f>
        <v/>
      </c>
      <c r="V34" s="117"/>
      <c r="W34" s="6"/>
      <c r="X34" s="6"/>
      <c r="Y34" s="6"/>
      <c r="Z34" s="6"/>
      <c r="AA34" s="6"/>
      <c r="AB34" s="6"/>
      <c r="AC34" s="6"/>
      <c r="AK34" s="83"/>
      <c r="AL34" s="83"/>
    </row>
    <row r="35" spans="2:38" x14ac:dyDescent="0.3">
      <c r="B35" s="336" t="s">
        <v>113</v>
      </c>
      <c r="C35" s="307"/>
      <c r="D35" s="292">
        <f>IFERROR(IF(VLOOKUP(B35,'DSMZ 120 v1 calcs'!$A$53:$D$120,2,FALSE)&gt;0,VLOOKUP(B35,'DSMZ 120 v1 calcs'!$A$53:$D$120,2,FALSE),""),"")</f>
        <v>5.7069383794274625E-3</v>
      </c>
      <c r="E35" s="292">
        <f>IFERROR(IF(VLOOKUP(B35,'DSMZ 120 v1.5 calcs'!$A$53:$D$120,2,FALSE)&gt;0,VLOOKUP(B35,'DSMZ 120 v1.5 calcs'!$A$53:$D$120,2,FALSE),""),"")</f>
        <v>5.7069383794274625E-3</v>
      </c>
      <c r="F35" s="292">
        <f>IFERROR(IF(VLOOKUP(B35,'DSMZ 120 v2 calcs'!$A$53:$D$120,2,FALSE)&gt;0,VLOOKUP(B35,'DSMZ 120 v2 calcs'!$A$53:$D$120,2,FALSE),""),"")</f>
        <v>5.7069383794274625E-3</v>
      </c>
      <c r="G35" s="292">
        <f>IFERROR(IF(VLOOKUP(B35,'DSMZ 120 v3 calcs'!$A$53:$D$120,2,FALSE)&gt;0,VLOOKUP(B35,'DSMZ 120 v3 calcs'!$A$53:$D$120,2,FALSE),""),"")</f>
        <v>5.7069383794274625E-3</v>
      </c>
      <c r="H35" s="292">
        <f>IFERROR(IF(VLOOKUP(B35,'DSMZ 120 v4 calcs'!$A$53:$D$120,2,FALSE)&gt;0,VLOOKUP(B35,'DSMZ 120 v4 calcs'!$A$53:$D$120,2,FALSE),""),"")</f>
        <v>5.7069383794274625E-3</v>
      </c>
      <c r="I35" s="292">
        <f>IFERROR(IF(VLOOKUP(B35,'RM 10.6 Speece 1996'!$A$57:$D$120,2,FALSE)&gt;0,VLOOKUP(B35,'RM 10.6 Speece 1996'!$A$57:$D$120,2,FALSE),""),"")</f>
        <v>0.24299781425025171</v>
      </c>
      <c r="J35" s="292">
        <f>IFERROR(IF($A$26*VLOOKUP(B35,'Mod Wolfe v1 calcs'!$A$53:$D$108,2,FALSE)&gt;0,$A$26*VLOOKUP(B35,'Mod Wolfe v1 calcs'!$A$53:$D$108,2,FALSE),""),"")</f>
        <v>95.115639657124376</v>
      </c>
      <c r="K35" s="292">
        <f>IFERROR(IF($A$26*VLOOKUP(B35,'Mod Wolfe v2 calcs'!$A$56:$D$112,2,FALSE)&gt;0,$A$26*VLOOKUP(B35,'Mod Wolfe v2 calcs'!$A$56:$D$112,2,FALSE),""),"")</f>
        <v>95.115639657124376</v>
      </c>
      <c r="L35" s="292">
        <f>IFERROR(IF($A$26*VLOOKUP(B35,'Mod Wolfe v3 calcs'!$A$53:$D$108,2,FALSE)&gt;0,$A$26*VLOOKUP(B35,'Mod Wolfe v3 calcs'!$A$53:$D$108,2,FALSE),""),"")</f>
        <v>95.115639657124376</v>
      </c>
      <c r="M35" s="292">
        <f>IFERROR(IF($A$26*VLOOKUP(B35,'Mod Wolfe v4 calcs'!$A$53:$D$108,2,FALSE)&gt;0,$A$26*VLOOKUP(B35,'Mod Wolfe v4 calcs'!$A$53:$D$108,2,FALSE),""),"")</f>
        <v>95.115639657124376</v>
      </c>
      <c r="V35" s="117"/>
      <c r="W35" s="6"/>
      <c r="X35" s="6"/>
      <c r="Y35" s="6"/>
      <c r="Z35" s="6"/>
      <c r="AA35" s="6"/>
      <c r="AB35" s="6"/>
      <c r="AC35" s="6"/>
    </row>
    <row r="36" spans="2:38" x14ac:dyDescent="0.3">
      <c r="B36" s="336" t="s">
        <v>88</v>
      </c>
      <c r="C36" s="307">
        <v>70000</v>
      </c>
      <c r="D36" s="292">
        <f>IFERROR(IF(VLOOKUP(B36,'DSMZ 120 v1 calcs'!$A$53:$D$120,2,FALSE)&gt;0,VLOOKUP(B36,'DSMZ 120 v1 calcs'!$A$53:$D$120,2,FALSE),""),"")</f>
        <v>1.0588064046579331E-3</v>
      </c>
      <c r="E36" s="292">
        <f>IFERROR(IF(VLOOKUP(B36,'DSMZ 120 v1.5 calcs'!$A$53:$D$120,2,FALSE)&gt;0,VLOOKUP(B36,'DSMZ 120 v1.5 calcs'!$A$53:$D$120,2,FALSE),""),"")</f>
        <v>1.0588064046579331E-3</v>
      </c>
      <c r="F36" s="292">
        <f>IFERROR(IF(VLOOKUP(B36,'DSMZ 120 v2 calcs'!$A$53:$D$120,2,FALSE)&gt;0,VLOOKUP(B36,'DSMZ 120 v2 calcs'!$A$53:$D$120,2,FALSE),""),"")</f>
        <v>1.0588064046579331E-3</v>
      </c>
      <c r="G36" s="292">
        <f>IFERROR(IF(VLOOKUP(B36,'DSMZ 120 v3 calcs'!$A$53:$D$120,2,FALSE)&gt;0,VLOOKUP(B36,'DSMZ 120 v3 calcs'!$A$53:$D$120,2,FALSE),""),"")</f>
        <v>1.0588064046579331E-3</v>
      </c>
      <c r="H36" s="292">
        <f>IFERROR(IF(VLOOKUP(B36,'DSMZ 120 v4 calcs'!$A$53:$D$120,2,FALSE)&gt;0,VLOOKUP(B36,'DSMZ 120 v4 calcs'!$A$53:$D$120,2,FALSE),""),"")</f>
        <v>1.0588064046579331E-3</v>
      </c>
      <c r="I36" s="292">
        <f>IFERROR(IF(VLOOKUP(B36,'RM 10.6 Speece 1996'!$A$57:$D$120,2,FALSE)&gt;0,VLOOKUP(B36,'RM 10.6 Speece 1996'!$A$57:$D$120,2,FALSE),""),"")</f>
        <v>4.5083304731924775E-2</v>
      </c>
      <c r="J36" s="292">
        <f>IFERROR(IF($A$26*VLOOKUP(B36,'Mod Wolfe v1 calcs'!$A$53:$D$108,2,FALSE)&gt;0,$A$26*VLOOKUP(B36,'Mod Wolfe v1 calcs'!$A$53:$D$108,2,FALSE),""),"")</f>
        <v>17.646773410965547</v>
      </c>
      <c r="K36" s="292">
        <f>IFERROR(IF($A$26*VLOOKUP(B36,'Mod Wolfe v2 calcs'!$A$56:$D$112,2,FALSE)&gt;0,$A$26*VLOOKUP(B36,'Mod Wolfe v2 calcs'!$A$56:$D$112,2,FALSE),""),"")</f>
        <v>17.646773410965547</v>
      </c>
      <c r="L36" s="292">
        <f>IFERROR(IF($A$26*VLOOKUP(B36,'Mod Wolfe v3 calcs'!$A$53:$D$108,2,FALSE)&gt;0,$A$26*VLOOKUP(B36,'Mod Wolfe v3 calcs'!$A$53:$D$108,2,FALSE),""),"")</f>
        <v>17.646773410965547</v>
      </c>
      <c r="M36" s="292">
        <f>IFERROR(IF($A$26*VLOOKUP(B36,'Mod Wolfe v4 calcs'!$A$53:$D$108,2,FALSE)&gt;0,$A$26*VLOOKUP(B36,'Mod Wolfe v4 calcs'!$A$53:$D$108,2,FALSE),""),"")</f>
        <v>17.646773410965547</v>
      </c>
      <c r="V36" s="117"/>
      <c r="W36" s="6"/>
      <c r="X36" s="6"/>
      <c r="Y36" s="6"/>
      <c r="Z36" s="6"/>
      <c r="AA36" s="6"/>
      <c r="AB36" s="6"/>
      <c r="AC36" s="6"/>
    </row>
    <row r="37" spans="2:38" x14ac:dyDescent="0.3">
      <c r="B37" s="337" t="s">
        <v>112</v>
      </c>
      <c r="C37" s="308">
        <v>1000</v>
      </c>
      <c r="D37" s="292" t="str">
        <f>IFERROR(IF(VLOOKUP(B37,'DSMZ 120 v1 calcs'!$A$53:$D$120,2,FALSE)&gt;0,VLOOKUP(B37,'DSMZ 120 v1 calcs'!$A$53:$D$120,2,FALSE),""),"")</f>
        <v/>
      </c>
      <c r="E37" s="292" t="str">
        <f>IFERROR(IF(VLOOKUP(B37,'DSMZ 120 v1.5 calcs'!$A$53:$D$120,2,FALSE)&gt;0,VLOOKUP(B37,'DSMZ 120 v1.5 calcs'!$A$53:$D$120,2,FALSE),""),"")</f>
        <v/>
      </c>
      <c r="F37" s="292" t="str">
        <f>IFERROR(IF(VLOOKUP(B37,'DSMZ 120 v2 calcs'!$A$53:$D$120,2,FALSE)&gt;0,VLOOKUP(B37,'DSMZ 120 v2 calcs'!$A$53:$D$120,2,FALSE),""),"")</f>
        <v/>
      </c>
      <c r="G37" s="292" t="str">
        <f>IFERROR(IF(VLOOKUP(B37,'DSMZ 120 v3 calcs'!$A$53:$D$120,2,FALSE)&gt;0,VLOOKUP(B37,'DSMZ 120 v3 calcs'!$A$53:$D$120,2,FALSE),""),"")</f>
        <v/>
      </c>
      <c r="H37" s="292" t="str">
        <f>IFERROR(IF(VLOOKUP(B37,'DSMZ 120 v4 calcs'!$A$53:$D$120,2,FALSE)&gt;0,VLOOKUP(B37,'DSMZ 120 v4 calcs'!$A$53:$D$120,2,FALSE),""),"")</f>
        <v/>
      </c>
      <c r="I37" s="292">
        <f>IFERROR(IF(VLOOKUP(B37,'RM 10.6 Speece 1996'!$A$57:$D$120,2,FALSE)&gt;0,VLOOKUP(B37,'RM 10.6 Speece 1996'!$A$57:$D$120,2,FALSE),""),"")</f>
        <v>6.0228600952597161E-2</v>
      </c>
      <c r="J37" s="292">
        <f>IFERROR(IF($A$26*VLOOKUP(B37,'Mod Wolfe v1 calcs'!$A$53:$D$108,2,FALSE)&gt;0,$A$26*VLOOKUP(B37,'Mod Wolfe v1 calcs'!$A$53:$D$108,2,FALSE),""),"")</f>
        <v>751.37183568288617</v>
      </c>
      <c r="K37" s="292">
        <f>IFERROR(IF($A$26*VLOOKUP(B37,'Mod Wolfe v2 calcs'!$A$56:$D$112,2,FALSE)&gt;0,$A$26*VLOOKUP(B37,'Mod Wolfe v2 calcs'!$A$56:$D$112,2,FALSE),""),"")</f>
        <v>751.37183568288617</v>
      </c>
      <c r="L37" s="292">
        <f>IFERROR(IF($A$26*VLOOKUP(B37,'Mod Wolfe v3 calcs'!$A$53:$D$108,2,FALSE)&gt;0,$A$26*VLOOKUP(B37,'Mod Wolfe v3 calcs'!$A$53:$D$108,2,FALSE),""),"")</f>
        <v>751.37183568288617</v>
      </c>
      <c r="M37" s="292">
        <f>IFERROR(IF($A$26*VLOOKUP(B37,'Mod Wolfe v4 calcs'!$A$53:$D$108,2,FALSE)&gt;0,$A$26*VLOOKUP(B37,'Mod Wolfe v4 calcs'!$A$53:$D$108,2,FALSE),""),"")</f>
        <v>751.37183568288617</v>
      </c>
      <c r="W37" s="6"/>
      <c r="X37" s="6"/>
      <c r="Y37" s="6"/>
      <c r="Z37" s="6"/>
      <c r="AA37" s="6"/>
      <c r="AB37" s="6"/>
      <c r="AC37" s="6"/>
    </row>
    <row r="38" spans="2:38" x14ac:dyDescent="0.3">
      <c r="B38" s="337" t="s">
        <v>76</v>
      </c>
      <c r="C38" s="308">
        <v>5000</v>
      </c>
      <c r="D38" s="292">
        <f>IFERROR(IF(VLOOKUP(B38,'DSMZ 120 v1 calcs'!$A$53:$D$120,2,FALSE)&gt;0,VLOOKUP(B38,'DSMZ 120 v1 calcs'!$A$53:$D$120,2,FALSE),""),"")</f>
        <v>2.3799132052076878E-2</v>
      </c>
      <c r="E38" s="292">
        <f>IFERROR(IF(VLOOKUP(B38,'DSMZ 120 v1.5 calcs'!$A$53:$D$120,2,FALSE)&gt;0,VLOOKUP(B38,'DSMZ 120 v1.5 calcs'!$A$53:$D$120,2,FALSE),""),"")</f>
        <v>2.3799132052076878E-2</v>
      </c>
      <c r="F38" s="292">
        <f>IFERROR(IF(VLOOKUP(B38,'DSMZ 120 v2 calcs'!$A$53:$D$120,2,FALSE)&gt;0,VLOOKUP(B38,'DSMZ 120 v2 calcs'!$A$53:$D$120,2,FALSE),""),"")</f>
        <v>2.3799132052076878E-2</v>
      </c>
      <c r="G38" s="292">
        <f>IFERROR(IF(VLOOKUP(B38,'DSMZ 120 v3 calcs'!$A$53:$D$120,2,FALSE)&gt;0,VLOOKUP(B38,'DSMZ 120 v3 calcs'!$A$53:$D$120,2,FALSE),""),"")</f>
        <v>2.3799132052076878E-2</v>
      </c>
      <c r="H38" s="292">
        <f>IFERROR(IF(VLOOKUP(B38,'DSMZ 120 v4 calcs'!$A$53:$D$120,2,FALSE)&gt;0,VLOOKUP(B38,'DSMZ 120 v4 calcs'!$A$53:$D$120,2,FALSE),""),"")</f>
        <v>2.3799132052076878E-2</v>
      </c>
      <c r="I38" s="292">
        <f>IFERROR(IF(VLOOKUP(B38,'RM 10.6 Speece 1996'!$A$57:$D$120,2,FALSE)&gt;0,VLOOKUP(B38,'RM 10.6 Speece 1996'!$A$57:$D$120,2,FALSE),""),"")</f>
        <v>0.12445627074830339</v>
      </c>
      <c r="J38" s="292">
        <f>IFERROR(IF($A$26*VLOOKUP(B38,'Mod Wolfe v1 calcs'!$A$53:$D$108,2,FALSE)&gt;0,$A$26*VLOOKUP(B38,'Mod Wolfe v1 calcs'!$A$53:$D$108,2,FALSE),""),"")</f>
        <v>938.23322383857328</v>
      </c>
      <c r="K38" s="292">
        <f>IFERROR(IF($A$26*VLOOKUP(B38,'Mod Wolfe v2 calcs'!$A$56:$D$112,2,FALSE)&gt;0,$A$26*VLOOKUP(B38,'Mod Wolfe v2 calcs'!$A$56:$D$112,2,FALSE),""),"")</f>
        <v>938.23322383857328</v>
      </c>
      <c r="L38" s="292">
        <f>IFERROR(IF($A$26*VLOOKUP(B38,'Mod Wolfe v3 calcs'!$A$53:$D$108,2,FALSE)&gt;0,$A$26*VLOOKUP(B38,'Mod Wolfe v3 calcs'!$A$53:$D$108,2,FALSE),""),"")</f>
        <v>938.23322383857328</v>
      </c>
      <c r="M38" s="292">
        <f>IFERROR(IF($A$26*VLOOKUP(B38,'Mod Wolfe v4 calcs'!$A$53:$D$108,2,FALSE)&gt;0,$A$26*VLOOKUP(B38,'Mod Wolfe v4 calcs'!$A$53:$D$108,2,FALSE),""),"")</f>
        <v>938.23322383857328</v>
      </c>
      <c r="W38" s="6"/>
      <c r="X38" s="6"/>
      <c r="Y38" s="6"/>
      <c r="Z38" s="6"/>
      <c r="AA38" s="6"/>
      <c r="AB38" s="6"/>
      <c r="AC38" s="6"/>
    </row>
    <row r="39" spans="2:38" x14ac:dyDescent="0.3">
      <c r="B39" s="337" t="s">
        <v>87</v>
      </c>
      <c r="C39" s="308">
        <v>10000</v>
      </c>
      <c r="D39" s="292">
        <f>IFERROR(IF(VLOOKUP(B39,'DSMZ 120 v1 calcs'!$A$53:$D$120,2,FALSE)&gt;0,VLOOKUP(B39,'DSMZ 120 v1 calcs'!$A$53:$D$120,2,FALSE),""),"")</f>
        <v>1.4276503409795416E-2</v>
      </c>
      <c r="E39" s="292">
        <f>IFERROR(IF(VLOOKUP(B39,'DSMZ 120 v1.5 calcs'!$A$53:$D$120,2,FALSE)&gt;0,VLOOKUP(B39,'DSMZ 120 v1.5 calcs'!$A$53:$D$120,2,FALSE),""),"")</f>
        <v>1.4276503409795416E-2</v>
      </c>
      <c r="F39" s="292">
        <f>IFERROR(IF(VLOOKUP(B39,'DSMZ 120 v2 calcs'!$A$53:$D$120,2,FALSE)&gt;0,VLOOKUP(B39,'DSMZ 120 v2 calcs'!$A$53:$D$120,2,FALSE),""),"")</f>
        <v>1.4276503409795416E-2</v>
      </c>
      <c r="G39" s="292">
        <f>IFERROR(IF(VLOOKUP(B39,'DSMZ 120 v3 calcs'!$A$53:$D$120,2,FALSE)&gt;0,VLOOKUP(B39,'DSMZ 120 v3 calcs'!$A$53:$D$120,2,FALSE),""),"")</f>
        <v>1.4276503409795416E-2</v>
      </c>
      <c r="H39" s="292">
        <f>IFERROR(IF(VLOOKUP(B39,'DSMZ 120 v4 calcs'!$A$53:$D$120,2,FALSE)&gt;0,VLOOKUP(B39,'DSMZ 120 v4 calcs'!$A$53:$D$120,2,FALSE),""),"")</f>
        <v>1.4276503409795416E-2</v>
      </c>
      <c r="I39" s="292">
        <f>IFERROR(IF(VLOOKUP(B39,'RM 10.6 Speece 1996'!$A$57:$D$120,2,FALSE)&gt;0,VLOOKUP(B39,'RM 10.6 Speece 1996'!$A$57:$D$120,2,FALSE),""),"")</f>
        <v>7.4658200552045709E-2</v>
      </c>
      <c r="J39" s="292">
        <f>IFERROR(IF($A$26*VLOOKUP(B39,'Mod Wolfe v1 calcs'!$A$53:$D$108,2,FALSE)&gt;0,$A$26*VLOOKUP(B39,'Mod Wolfe v1 calcs'!$A$53:$D$108,2,FALSE),""),"")</f>
        <v>562.82261848897235</v>
      </c>
      <c r="K39" s="292">
        <f>IFERROR(IF($A$26*VLOOKUP(B39,'Mod Wolfe v2 calcs'!$A$56:$D$112,2,FALSE)&gt;0,$A$26*VLOOKUP(B39,'Mod Wolfe v2 calcs'!$A$56:$D$112,2,FALSE),""),"")</f>
        <v>562.82261848897235</v>
      </c>
      <c r="L39" s="292">
        <f>IFERROR(IF($A$26*VLOOKUP(B39,'Mod Wolfe v3 calcs'!$A$53:$D$108,2,FALSE)&gt;0,$A$26*VLOOKUP(B39,'Mod Wolfe v3 calcs'!$A$53:$D$108,2,FALSE),""),"")</f>
        <v>562.82261848897235</v>
      </c>
      <c r="M39" s="292">
        <f>IFERROR(IF($A$26*VLOOKUP(B39,'Mod Wolfe v4 calcs'!$A$53:$D$108,2,FALSE)&gt;0,$A$26*VLOOKUP(B39,'Mod Wolfe v4 calcs'!$A$53:$D$108,2,FALSE),""),"")</f>
        <v>562.82261848897235</v>
      </c>
      <c r="W39" s="6"/>
      <c r="X39" s="6"/>
      <c r="Y39" s="6"/>
      <c r="Z39" s="6"/>
      <c r="AA39" s="6"/>
      <c r="AB39" s="6"/>
      <c r="AC39" s="6"/>
    </row>
    <row r="40" spans="2:38" x14ac:dyDescent="0.3">
      <c r="B40" s="337" t="s">
        <v>115</v>
      </c>
      <c r="C40" s="308">
        <v>2000</v>
      </c>
      <c r="D40" s="292" t="str">
        <f>IFERROR(IF(VLOOKUP(B40,'DSMZ 120 v1 calcs'!$A$53:$D$120,2,FALSE)&gt;0,VLOOKUP(B40,'DSMZ 120 v1 calcs'!$A$53:$D$120,2,FALSE),""),"")</f>
        <v/>
      </c>
      <c r="E40" s="292" t="str">
        <f>IFERROR(IF(VLOOKUP(B40,'DSMZ 120 v1.5 calcs'!$A$53:$D$120,2,FALSE)&gt;0,VLOOKUP(B40,'DSMZ 120 v1.5 calcs'!$A$53:$D$120,2,FALSE),""),"")</f>
        <v/>
      </c>
      <c r="F40" s="292" t="str">
        <f>IFERROR(IF(VLOOKUP(B40,'DSMZ 120 v2 calcs'!$A$53:$D$120,2,FALSE)&gt;0,VLOOKUP(B40,'DSMZ 120 v2 calcs'!$A$53:$D$120,2,FALSE),""),"")</f>
        <v/>
      </c>
      <c r="G40" s="292" t="str">
        <f>IFERROR(IF(VLOOKUP(B40,'DSMZ 120 v3 calcs'!$A$53:$D$120,2,FALSE)&gt;0,VLOOKUP(B40,'DSMZ 120 v3 calcs'!$A$53:$D$120,2,FALSE),""),"")</f>
        <v/>
      </c>
      <c r="H40" s="292" t="str">
        <f>IFERROR(IF(VLOOKUP(B40,'DSMZ 120 v4 calcs'!$A$53:$D$120,2,FALSE)&gt;0,VLOOKUP(B40,'DSMZ 120 v4 calcs'!$A$53:$D$120,2,FALSE),""),"")</f>
        <v/>
      </c>
      <c r="I40" s="292">
        <f>IFERROR(IF(VLOOKUP(B40,'RM 10.6 Speece 1996'!$A$57:$D$120,2,FALSE)&gt;0,VLOOKUP(B40,'RM 10.6 Speece 1996'!$A$57:$D$120,2,FALSE),""),"")</f>
        <v>0.16830332243106946</v>
      </c>
      <c r="J40" s="292">
        <f>IFERROR(IF($A$26*VLOOKUP(B40,'Mod Wolfe v1 calcs'!$A$53:$D$108,2,FALSE)&gt;0,$A$26*VLOOKUP(B40,'Mod Wolfe v1 calcs'!$A$53:$D$108,2,FALSE),""),"")</f>
        <v>1468.347403723835</v>
      </c>
      <c r="K40" s="292">
        <f>IFERROR(IF($A$26*VLOOKUP(B40,'Mod Wolfe v2 calcs'!$A$56:$D$112,2,FALSE)&gt;0,$A$26*VLOOKUP(B40,'Mod Wolfe v2 calcs'!$A$56:$D$112,2,FALSE),""),"")</f>
        <v>1468.347403723835</v>
      </c>
      <c r="L40" s="292">
        <f>IFERROR(IF($A$26*VLOOKUP(B40,'Mod Wolfe v3 calcs'!$A$53:$D$108,2,FALSE)&gt;0,$A$26*VLOOKUP(B40,'Mod Wolfe v3 calcs'!$A$53:$D$108,2,FALSE),""),"")</f>
        <v>1468.347403723835</v>
      </c>
      <c r="M40" s="292">
        <f>IFERROR(IF($A$26*VLOOKUP(B40,'Mod Wolfe v4 calcs'!$A$53:$D$108,2,FALSE)&gt;0,$A$26*VLOOKUP(B40,'Mod Wolfe v4 calcs'!$A$53:$D$108,2,FALSE),""),"")</f>
        <v>1468.347403723835</v>
      </c>
      <c r="V40" s="117"/>
      <c r="W40" s="6"/>
      <c r="X40" s="6"/>
      <c r="Y40" s="6"/>
      <c r="Z40" s="6"/>
      <c r="AA40" s="6"/>
      <c r="AB40" s="6"/>
      <c r="AC40" s="6"/>
    </row>
    <row r="41" spans="2:38" x14ac:dyDescent="0.3">
      <c r="B41" s="337" t="s">
        <v>116</v>
      </c>
      <c r="C41" s="308">
        <v>2000</v>
      </c>
      <c r="D41" s="292" t="str">
        <f>IFERROR(IF(VLOOKUP(B41,'DSMZ 120 v1 calcs'!$A$53:$D$120,2,FALSE)&gt;0,VLOOKUP(B41,'DSMZ 120 v1 calcs'!$A$53:$D$120,2,FALSE),""),"")</f>
        <v/>
      </c>
      <c r="E41" s="292" t="str">
        <f>IFERROR(IF(VLOOKUP(B41,'DSMZ 120 v1.5 calcs'!$A$53:$D$120,2,FALSE)&gt;0,VLOOKUP(B41,'DSMZ 120 v1.5 calcs'!$A$53:$D$120,2,FALSE),""),"")</f>
        <v/>
      </c>
      <c r="F41" s="292" t="str">
        <f>IFERROR(IF(VLOOKUP(B41,'DSMZ 120 v2 calcs'!$A$53:$D$120,2,FALSE)&gt;0,VLOOKUP(B41,'DSMZ 120 v2 calcs'!$A$53:$D$120,2,FALSE),""),"")</f>
        <v/>
      </c>
      <c r="G41" s="292" t="str">
        <f>IFERROR(IF(VLOOKUP(B41,'DSMZ 120 v3 calcs'!$A$53:$D$120,2,FALSE)&gt;0,VLOOKUP(B41,'DSMZ 120 v3 calcs'!$A$53:$D$120,2,FALSE),""),"")</f>
        <v/>
      </c>
      <c r="H41" s="292" t="str">
        <f>IFERROR(IF(VLOOKUP(B41,'DSMZ 120 v4 calcs'!$A$53:$D$120,2,FALSE)&gt;0,VLOOKUP(B41,'DSMZ 120 v4 calcs'!$A$53:$D$120,2,FALSE),""),"")</f>
        <v/>
      </c>
      <c r="I41" s="292">
        <f>IFERROR(IF(VLOOKUP(B41,'RM 10.6 Speece 1996'!$A$57:$D$120,2,FALSE)&gt;0,VLOOKUP(B41,'RM 10.6 Speece 1996'!$A$57:$D$120,2,FALSE),""),"")</f>
        <v>0.10467257671043829</v>
      </c>
      <c r="J41" s="292">
        <f>IFERROR(IF($A$26*VLOOKUP(B41,'Mod Wolfe v1 calcs'!$A$53:$D$108,2,FALSE)&gt;0,$A$26*VLOOKUP(B41,'Mod Wolfe v1 calcs'!$A$53:$D$108,2,FALSE),""),"")</f>
        <v>913.20660836510729</v>
      </c>
      <c r="K41" s="292">
        <f>IFERROR(IF($A$26*VLOOKUP(B41,'Mod Wolfe v2 calcs'!$A$56:$D$112,2,FALSE)&gt;0,$A$26*VLOOKUP(B41,'Mod Wolfe v2 calcs'!$A$56:$D$112,2,FALSE),""),"")</f>
        <v>913.20660836510729</v>
      </c>
      <c r="L41" s="292">
        <f>IFERROR(IF($A$26*VLOOKUP(B41,'Mod Wolfe v3 calcs'!$A$53:$D$108,2,FALSE)&gt;0,$A$26*VLOOKUP(B41,'Mod Wolfe v3 calcs'!$A$53:$D$108,2,FALSE),""),"")</f>
        <v>913.20660836510729</v>
      </c>
      <c r="M41" s="292">
        <f>IFERROR(IF($A$26*VLOOKUP(B41,'Mod Wolfe v4 calcs'!$A$53:$D$108,2,FALSE)&gt;0,$A$26*VLOOKUP(B41,'Mod Wolfe v4 calcs'!$A$53:$D$108,2,FALSE),""),"")</f>
        <v>913.20660836510729</v>
      </c>
      <c r="W41" s="6"/>
      <c r="X41" s="6"/>
      <c r="Y41" s="6"/>
      <c r="Z41" s="6"/>
      <c r="AA41" s="6"/>
      <c r="AB41" s="6"/>
      <c r="AC41" s="6"/>
    </row>
    <row r="42" spans="2:38" x14ac:dyDescent="0.3">
      <c r="B42" s="336" t="s">
        <v>89</v>
      </c>
      <c r="C42" s="307">
        <v>10000</v>
      </c>
      <c r="D42" s="292" t="str">
        <f>IFERROR(IF(VLOOKUP(B42,'DSMZ 120 v1 calcs'!$A$53:$D$120,2,FALSE)&gt;0,VLOOKUP(B42,'DSMZ 120 v1 calcs'!$A$53:$D$120,2,FALSE),""),"")</f>
        <v/>
      </c>
      <c r="E42" s="292" t="str">
        <f>IFERROR(IF(VLOOKUP(B42,'DSMZ 120 v1.5 calcs'!$A$53:$D$120,2,FALSE)&gt;0,VLOOKUP(B42,'DSMZ 120 v1.5 calcs'!$A$53:$D$120,2,FALSE),""),"")</f>
        <v/>
      </c>
      <c r="F42" s="292" t="str">
        <f>IFERROR(IF(VLOOKUP(B42,'DSMZ 120 v2 calcs'!$A$53:$D$120,2,FALSE)&gt;0,VLOOKUP(B42,'DSMZ 120 v2 calcs'!$A$53:$D$120,2,FALSE),""),"")</f>
        <v/>
      </c>
      <c r="G42" s="292" t="str">
        <f>IFERROR(IF(VLOOKUP(B42,'DSMZ 120 v3 calcs'!$A$53:$D$120,2,FALSE)&gt;0,VLOOKUP(B42,'DSMZ 120 v3 calcs'!$A$53:$D$120,2,FALSE),""),"")</f>
        <v/>
      </c>
      <c r="H42" s="292" t="str">
        <f>IFERROR(IF(VLOOKUP(B42,'DSMZ 120 v4 calcs'!$A$53:$D$120,2,FALSE)&gt;0,VLOOKUP(B42,'DSMZ 120 v4 calcs'!$A$53:$D$120,2,FALSE),""),"")</f>
        <v/>
      </c>
      <c r="I42" s="292" t="str">
        <f>IFERROR(IF(VLOOKUP(B42,'RM 10.6 Speece 1996'!$A$57:$D$120,2,FALSE)&gt;0,VLOOKUP(B42,'RM 10.6 Speece 1996'!$A$57:$D$120,2,FALSE),""),"")</f>
        <v/>
      </c>
      <c r="J42" s="292" t="str">
        <f>IFERROR(IF($A$26*VLOOKUP(B42,'Mod Wolfe v1 calcs'!$A$53:$D$108,2,FALSE)&gt;0,$A$26*VLOOKUP(B42,'Mod Wolfe v1 calcs'!$A$53:$D$108,2,FALSE),""),"")</f>
        <v/>
      </c>
      <c r="K42" s="292" t="str">
        <f>IFERROR(IF($A$26*VLOOKUP(B42,'Mod Wolfe v2 calcs'!$A$56:$D$112,2,FALSE)&gt;0,$A$26*VLOOKUP(B42,'Mod Wolfe v2 calcs'!$A$56:$D$112,2,FALSE),""),"")</f>
        <v/>
      </c>
      <c r="L42" s="292" t="str">
        <f>IFERROR(IF($A$26*VLOOKUP(B42,'Mod Wolfe v3 calcs'!$A$53:$D$108,2,FALSE)&gt;0,$A$26*VLOOKUP(B42,'Mod Wolfe v3 calcs'!$A$53:$D$108,2,FALSE),""),"")</f>
        <v/>
      </c>
      <c r="M42" s="292" t="str">
        <f>IFERROR(IF($A$26*VLOOKUP(B42,'Mod Wolfe v4 calcs'!$A$53:$D$108,2,FALSE)&gt;0,$A$26*VLOOKUP(B42,'Mod Wolfe v4 calcs'!$A$53:$D$108,2,FALSE),""),"")</f>
        <v/>
      </c>
      <c r="S42" s="7"/>
    </row>
    <row r="43" spans="2:38" x14ac:dyDescent="0.3">
      <c r="B43" s="335" t="s">
        <v>326</v>
      </c>
      <c r="C43" s="306"/>
      <c r="D43" s="332"/>
      <c r="E43" s="332"/>
      <c r="F43" s="332"/>
      <c r="G43" s="332"/>
      <c r="H43" s="332"/>
      <c r="I43" s="332"/>
      <c r="J43" s="332"/>
      <c r="K43" s="332"/>
      <c r="L43" s="332"/>
      <c r="M43" s="332"/>
    </row>
    <row r="44" spans="2:38" x14ac:dyDescent="0.3">
      <c r="B44" s="337" t="s">
        <v>15</v>
      </c>
      <c r="C44" s="308"/>
      <c r="D44" s="292">
        <f>IFERROR(IF(VLOOKUP(B44,'DSMZ 120 v1 calcs'!$A$53:$D$120,2,FALSE)&gt;0,VLOOKUP(B44,'DSMZ 120 v1 calcs'!$A$53:$D$120,2,FALSE),""),"")</f>
        <v>20</v>
      </c>
      <c r="E44" s="292">
        <f>IFERROR(IF(VLOOKUP(B44,'DSMZ 120 v1.5 calcs'!$A$53:$D$120,2,FALSE)&gt;0,VLOOKUP(B44,'DSMZ 120 v1.5 calcs'!$A$53:$D$120,2,FALSE),""),"")</f>
        <v>20</v>
      </c>
      <c r="F44" s="292">
        <f>IFERROR(IF(VLOOKUP(B44,'DSMZ 120 v2 calcs'!$A$53:$D$120,2,FALSE)&gt;0,VLOOKUP(B44,'DSMZ 120 v2 calcs'!$A$53:$D$120,2,FALSE),""),"")</f>
        <v>20</v>
      </c>
      <c r="G44" s="292">
        <f>IFERROR(IF(VLOOKUP(B44,'DSMZ 120 v3 calcs'!$A$53:$D$120,2,FALSE)&gt;0,VLOOKUP(B44,'DSMZ 120 v3 calcs'!$A$53:$D$120,2,FALSE),""),"")</f>
        <v>20</v>
      </c>
      <c r="H44" s="292">
        <f>IFERROR(IF(VLOOKUP(B44,'DSMZ 120 v4 calcs'!$A$53:$D$120,2,FALSE)&gt;0,VLOOKUP(B44,'DSMZ 120 v4 calcs'!$A$53:$D$120,2,FALSE),""),"")</f>
        <v>20</v>
      </c>
      <c r="I44" s="292">
        <f>IFERROR(IF(VLOOKUP(B44,'RM 10.6 Speece 1996'!$A$57:$D$120,2,FALSE)&gt;0,VLOOKUP(B44,'RM 10.6 Speece 1996'!$A$57:$D$120,2,FALSE),""),"")</f>
        <v>47.5</v>
      </c>
      <c r="J44" s="292">
        <f>IFERROR(IF(VLOOKUP(B44,'Mod Wolfe v1 calcs'!$A$53:$D$108,2,FALSE)&gt;0,VLOOKUP(B44,'Mod Wolfe v1 calcs'!$A$53:$D$108,2,FALSE),""),"")</f>
        <v>50</v>
      </c>
      <c r="K44" s="292">
        <f>IFERROR(IF(VLOOKUP(B44,'Mod Wolfe v2 calcs'!$A$56:$D$112,2,FALSE)&gt;0,VLOOKUP(B44,'Mod Wolfe v2 calcs'!$A$56:$D$112,2,FALSE),""),"")</f>
        <v>50</v>
      </c>
      <c r="L44" s="292">
        <f>IFERROR(IF(VLOOKUP(B44,'Mod Wolfe v3 calcs'!$A$53:$D$108,2,FALSE)&gt;0,VLOOKUP(B44,'Mod Wolfe v3 calcs'!$A$53:$D$108,2,FALSE),""),"")</f>
        <v>50</v>
      </c>
      <c r="M44" s="292">
        <f>IFERROR(IF(VLOOKUP(B44,'Mod Wolfe v4 calcs'!$A$53:$D$108,2,FALSE)&gt;0,VLOOKUP(B44,'Mod Wolfe v4 calcs'!$A$53:$D$108,2,FALSE),""),"")</f>
        <v>50</v>
      </c>
    </row>
    <row r="45" spans="2:38" x14ac:dyDescent="0.3">
      <c r="B45" s="337" t="s">
        <v>19</v>
      </c>
      <c r="C45" s="308"/>
      <c r="D45" s="292">
        <f>IFERROR(IF(VLOOKUP(B45,'DSMZ 120 v1 calcs'!$A$53:$D$120,2,FALSE)&gt;0,VLOOKUP(B45,'DSMZ 120 v1 calcs'!$A$53:$D$120,2,FALSE),""),"")</f>
        <v>20</v>
      </c>
      <c r="E45" s="292">
        <f>IFERROR(IF(VLOOKUP(B45,'DSMZ 120 v1.5 calcs'!$A$53:$D$120,2,FALSE)&gt;0,VLOOKUP(B45,'DSMZ 120 v1.5 calcs'!$A$53:$D$120,2,FALSE),""),"")</f>
        <v>20</v>
      </c>
      <c r="F45" s="292">
        <f>IFERROR(IF(VLOOKUP(B45,'DSMZ 120 v2 calcs'!$A$53:$D$120,2,FALSE)&gt;0,VLOOKUP(B45,'DSMZ 120 v2 calcs'!$A$53:$D$120,2,FALSE),""),"")</f>
        <v>20</v>
      </c>
      <c r="G45" s="292">
        <f>IFERROR(IF(VLOOKUP(B45,'DSMZ 120 v3 calcs'!$A$53:$D$120,2,FALSE)&gt;0,VLOOKUP(B45,'DSMZ 120 v3 calcs'!$A$53:$D$120,2,FALSE),""),"")</f>
        <v>20</v>
      </c>
      <c r="H45" s="292">
        <f>IFERROR(IF(VLOOKUP(B45,'DSMZ 120 v4 calcs'!$A$53:$D$120,2,FALSE)&gt;0,VLOOKUP(B45,'DSMZ 120 v4 calcs'!$A$53:$D$120,2,FALSE),""),"")</f>
        <v>20</v>
      </c>
      <c r="I45" s="292">
        <f>IFERROR(IF(VLOOKUP(B45,'RM 10.6 Speece 1996'!$A$57:$D$120,2,FALSE)&gt;0,VLOOKUP(B45,'RM 10.6 Speece 1996'!$A$57:$D$120,2,FALSE),""),"")</f>
        <v>47.5</v>
      </c>
      <c r="J45" s="292">
        <f>IFERROR(IF(VLOOKUP(B45,'Mod Wolfe v1 calcs'!$A$53:$D$108,2,FALSE)&gt;0,VLOOKUP(B45,'Mod Wolfe v1 calcs'!$A$53:$D$108,2,FALSE),""),"")</f>
        <v>50</v>
      </c>
      <c r="K45" s="292">
        <f>IFERROR(IF(VLOOKUP(B45,'Mod Wolfe v2 calcs'!$A$56:$D$112,2,FALSE)&gt;0,VLOOKUP(B45,'Mod Wolfe v2 calcs'!$A$56:$D$112,2,FALSE),""),"")</f>
        <v>50</v>
      </c>
      <c r="L45" s="292">
        <f>IFERROR(IF(VLOOKUP(B45,'Mod Wolfe v3 calcs'!$A$53:$D$108,2,FALSE)&gt;0,VLOOKUP(B45,'Mod Wolfe v3 calcs'!$A$53:$D$108,2,FALSE),""),"")</f>
        <v>50</v>
      </c>
      <c r="M45" s="292">
        <f>IFERROR(IF(VLOOKUP(B45,'Mod Wolfe v4 calcs'!$A$53:$D$108,2,FALSE)&gt;0,VLOOKUP(B45,'Mod Wolfe v4 calcs'!$A$53:$D$108,2,FALSE),""),"")</f>
        <v>50</v>
      </c>
    </row>
    <row r="46" spans="2:38" x14ac:dyDescent="0.3">
      <c r="B46" s="337" t="s">
        <v>30</v>
      </c>
      <c r="C46" s="308"/>
      <c r="D46" s="292">
        <f>IFERROR(IF(VLOOKUP(B46,'DSMZ 120 v1 calcs'!$A$53:$D$120,2,FALSE)&gt;0,VLOOKUP(B46,'DSMZ 120 v1 calcs'!$A$53:$D$120,2,FALSE),""),"")</f>
        <v>50</v>
      </c>
      <c r="E46" s="292">
        <f>IFERROR(IF(VLOOKUP(B46,'DSMZ 120 v1.5 calcs'!$A$53:$D$120,2,FALSE)&gt;0,VLOOKUP(B46,'DSMZ 120 v1.5 calcs'!$A$53:$D$120,2,FALSE),""),"")</f>
        <v>50</v>
      </c>
      <c r="F46" s="292">
        <f>IFERROR(IF(VLOOKUP(B46,'DSMZ 120 v2 calcs'!$A$53:$D$120,2,FALSE)&gt;0,VLOOKUP(B46,'DSMZ 120 v2 calcs'!$A$53:$D$120,2,FALSE),""),"")</f>
        <v>50</v>
      </c>
      <c r="G46" s="292">
        <f>IFERROR(IF(VLOOKUP(B46,'DSMZ 120 v3 calcs'!$A$53:$D$120,2,FALSE)&gt;0,VLOOKUP(B46,'DSMZ 120 v3 calcs'!$A$53:$D$120,2,FALSE),""),"")</f>
        <v>50</v>
      </c>
      <c r="H46" s="292">
        <f>IFERROR(IF(VLOOKUP(B46,'DSMZ 120 v4 calcs'!$A$53:$D$120,2,FALSE)&gt;0,VLOOKUP(B46,'DSMZ 120 v4 calcs'!$A$53:$D$120,2,FALSE),""),"")</f>
        <v>50</v>
      </c>
      <c r="I46" s="292">
        <f>IFERROR(IF(VLOOKUP(B46,'RM 10.6 Speece 1996'!$A$57:$D$120,2,FALSE)&gt;0,VLOOKUP(B46,'RM 10.6 Speece 1996'!$A$57:$D$120,2,FALSE),""),"")</f>
        <v>95</v>
      </c>
      <c r="J46" s="292">
        <f>IFERROR(IF(VLOOKUP(B46,'Mod Wolfe v1 calcs'!$A$53:$D$108,2,FALSE)&gt;0,VLOOKUP(B46,'Mod Wolfe v1 calcs'!$A$53:$D$108,2,FALSE),""),"")</f>
        <v>100</v>
      </c>
      <c r="K46" s="292">
        <f>IFERROR(IF(VLOOKUP(B46,'Mod Wolfe v2 calcs'!$A$56:$D$112,2,FALSE)&gt;0,VLOOKUP(B46,'Mod Wolfe v2 calcs'!$A$56:$D$112,2,FALSE),""),"")</f>
        <v>100</v>
      </c>
      <c r="L46" s="292">
        <f>IFERROR(IF(VLOOKUP(B46,'Mod Wolfe v3 calcs'!$A$53:$D$108,2,FALSE)&gt;0,VLOOKUP(B46,'Mod Wolfe v3 calcs'!$A$53:$D$108,2,FALSE),""),"")</f>
        <v>100</v>
      </c>
      <c r="M46" s="292">
        <f>IFERROR(IF(VLOOKUP(B46,'Mod Wolfe v4 calcs'!$A$53:$D$108,2,FALSE)&gt;0,VLOOKUP(B46,'Mod Wolfe v4 calcs'!$A$53:$D$108,2,FALSE),""),"")</f>
        <v>100</v>
      </c>
    </row>
    <row r="47" spans="2:38" x14ac:dyDescent="0.3">
      <c r="B47" s="336" t="s">
        <v>34</v>
      </c>
      <c r="C47" s="307"/>
      <c r="D47" s="292">
        <f>IFERROR(IF(VLOOKUP(B47,'DSMZ 120 v1 calcs'!$A$53:$D$120,2,FALSE)&gt;0,VLOOKUP(B47,'DSMZ 120 v1 calcs'!$A$53:$D$120,2,FALSE),""),"")</f>
        <v>50</v>
      </c>
      <c r="E47" s="292">
        <f>IFERROR(IF(VLOOKUP(B47,'DSMZ 120 v1.5 calcs'!$A$53:$D$120,2,FALSE)&gt;0,VLOOKUP(B47,'DSMZ 120 v1.5 calcs'!$A$53:$D$120,2,FALSE),""),"")</f>
        <v>50</v>
      </c>
      <c r="F47" s="292">
        <f>IFERROR(IF(VLOOKUP(B47,'DSMZ 120 v2 calcs'!$A$53:$D$120,2,FALSE)&gt;0,VLOOKUP(B47,'DSMZ 120 v2 calcs'!$A$53:$D$120,2,FALSE),""),"")</f>
        <v>50</v>
      </c>
      <c r="G47" s="292">
        <f>IFERROR(IF(VLOOKUP(B47,'DSMZ 120 v3 calcs'!$A$53:$D$120,2,FALSE)&gt;0,VLOOKUP(B47,'DSMZ 120 v3 calcs'!$A$53:$D$120,2,FALSE),""),"")</f>
        <v>50</v>
      </c>
      <c r="H47" s="292">
        <f>IFERROR(IF(VLOOKUP(B47,'DSMZ 120 v4 calcs'!$A$53:$D$120,2,FALSE)&gt;0,VLOOKUP(B47,'DSMZ 120 v4 calcs'!$A$53:$D$120,2,FALSE),""),"")</f>
        <v>50</v>
      </c>
      <c r="I47" s="292">
        <f>IFERROR(IF(VLOOKUP(B47,'RM 10.6 Speece 1996'!$A$57:$D$120,2,FALSE)&gt;0,VLOOKUP(B47,'RM 10.6 Speece 1996'!$A$57:$D$120,2,FALSE),""),"")</f>
        <v>95</v>
      </c>
      <c r="J47" s="292">
        <f>IFERROR(IF(VLOOKUP(B47,'Mod Wolfe v1 calcs'!$A$53:$D$108,2,FALSE)&gt;0,VLOOKUP(B47,'Mod Wolfe v1 calcs'!$A$53:$D$108,2,FALSE),""),"")</f>
        <v>100</v>
      </c>
      <c r="K47" s="292">
        <f>IFERROR(IF(VLOOKUP(B47,'Mod Wolfe v2 calcs'!$A$56:$D$112,2,FALSE)&gt;0,VLOOKUP(B47,'Mod Wolfe v2 calcs'!$A$56:$D$112,2,FALSE),""),"")</f>
        <v>100</v>
      </c>
      <c r="L47" s="292">
        <f>IFERROR(IF(VLOOKUP(B47,'Mod Wolfe v3 calcs'!$A$53:$D$108,2,FALSE)&gt;0,VLOOKUP(B47,'Mod Wolfe v3 calcs'!$A$53:$D$108,2,FALSE),""),"")</f>
        <v>100</v>
      </c>
      <c r="M47" s="292">
        <f>IFERROR(IF(VLOOKUP(B47,'Mod Wolfe v4 calcs'!$A$53:$D$108,2,FALSE)&gt;0,VLOOKUP(B47,'Mod Wolfe v4 calcs'!$A$53:$D$108,2,FALSE),""),"")</f>
        <v>100</v>
      </c>
    </row>
    <row r="48" spans="2:38" x14ac:dyDescent="0.3">
      <c r="B48" s="337" t="s">
        <v>42</v>
      </c>
      <c r="C48" s="308"/>
      <c r="D48" s="292">
        <f>IFERROR(IF(VLOOKUP(B48,'DSMZ 120 v1 calcs'!$A$53:$D$120,2,FALSE)&gt;0,VLOOKUP(B48,'DSMZ 120 v1 calcs'!$A$53:$D$120,2,FALSE),""),"")</f>
        <v>1</v>
      </c>
      <c r="E48" s="292">
        <f>IFERROR(IF(VLOOKUP(B48,'DSMZ 120 v1.5 calcs'!$A$53:$D$120,2,FALSE)&gt;0,VLOOKUP(B48,'DSMZ 120 v1.5 calcs'!$A$53:$D$120,2,FALSE),""),"")</f>
        <v>1</v>
      </c>
      <c r="F48" s="292">
        <f>IFERROR(IF(VLOOKUP(B48,'DSMZ 120 v2 calcs'!$A$53:$D$120,2,FALSE)&gt;0,VLOOKUP(B48,'DSMZ 120 v2 calcs'!$A$53:$D$120,2,FALSE),""),"")</f>
        <v>1</v>
      </c>
      <c r="G48" s="292">
        <f>IFERROR(IF(VLOOKUP(B48,'DSMZ 120 v3 calcs'!$A$53:$D$120,2,FALSE)&gt;0,VLOOKUP(B48,'DSMZ 120 v3 calcs'!$A$53:$D$120,2,FALSE),""),"")</f>
        <v>1</v>
      </c>
      <c r="H48" s="292">
        <f>IFERROR(IF(VLOOKUP(B48,'DSMZ 120 v4 calcs'!$A$53:$D$120,2,FALSE)&gt;0,VLOOKUP(B48,'DSMZ 120 v4 calcs'!$A$53:$D$120,2,FALSE),""),"")</f>
        <v>1</v>
      </c>
      <c r="I48" s="292">
        <f>IFERROR(IF(VLOOKUP(B48,'RM 10.6 Speece 1996'!$A$57:$D$120,2,FALSE)&gt;0,VLOOKUP(B48,'RM 10.6 Speece 1996'!$A$57:$D$120,2,FALSE),""),"")</f>
        <v>47.5</v>
      </c>
      <c r="J48" s="292">
        <f>IFERROR(IF(VLOOKUP(B48,'Mod Wolfe v1 calcs'!$A$53:$D$108,2,FALSE)&gt;0,VLOOKUP(B48,'Mod Wolfe v1 calcs'!$A$53:$D$108,2,FALSE),""),"")</f>
        <v>50</v>
      </c>
      <c r="K48" s="292">
        <f>IFERROR(IF(VLOOKUP(B48,'Mod Wolfe v2 calcs'!$A$56:$D$112,2,FALSE)&gt;0,VLOOKUP(B48,'Mod Wolfe v2 calcs'!$A$56:$D$112,2,FALSE),""),"")</f>
        <v>50</v>
      </c>
      <c r="L48" s="292">
        <f>IFERROR(IF(VLOOKUP(B48,'Mod Wolfe v3 calcs'!$A$53:$D$108,2,FALSE)&gt;0,VLOOKUP(B48,'Mod Wolfe v3 calcs'!$A$53:$D$108,2,FALSE),""),"")</f>
        <v>50</v>
      </c>
      <c r="M48" s="292">
        <f>IFERROR(IF(VLOOKUP(B48,'Mod Wolfe v4 calcs'!$A$53:$D$108,2,FALSE)&gt;0,VLOOKUP(B48,'Mod Wolfe v4 calcs'!$A$53:$D$108,2,FALSE),""),"")</f>
        <v>50</v>
      </c>
    </row>
    <row r="49" spans="2:13" x14ac:dyDescent="0.3">
      <c r="B49" s="336" t="s">
        <v>45</v>
      </c>
      <c r="C49" s="307"/>
      <c r="D49" s="292">
        <f>IFERROR(IF(VLOOKUP(B49,'DSMZ 120 v1 calcs'!$A$53:$D$120,2,FALSE)&gt;0,VLOOKUP(B49,'DSMZ 120 v1 calcs'!$A$53:$D$120,2,FALSE),""),"")</f>
        <v>50</v>
      </c>
      <c r="E49" s="292">
        <f>IFERROR(IF(VLOOKUP(B49,'DSMZ 120 v1.5 calcs'!$A$53:$D$120,2,FALSE)&gt;0,VLOOKUP(B49,'DSMZ 120 v1.5 calcs'!$A$53:$D$120,2,FALSE),""),"")</f>
        <v>50</v>
      </c>
      <c r="F49" s="292">
        <f>IFERROR(IF(VLOOKUP(B49,'DSMZ 120 v2 calcs'!$A$53:$D$120,2,FALSE)&gt;0,VLOOKUP(B49,'DSMZ 120 v2 calcs'!$A$53:$D$120,2,FALSE),""),"")</f>
        <v>50</v>
      </c>
      <c r="G49" s="292">
        <f>IFERROR(IF(VLOOKUP(B49,'DSMZ 120 v3 calcs'!$A$53:$D$120,2,FALSE)&gt;0,VLOOKUP(B49,'DSMZ 120 v3 calcs'!$A$53:$D$120,2,FALSE),""),"")</f>
        <v>50</v>
      </c>
      <c r="H49" s="292">
        <f>IFERROR(IF(VLOOKUP(B49,'DSMZ 120 v4 calcs'!$A$53:$D$120,2,FALSE)&gt;0,VLOOKUP(B49,'DSMZ 120 v4 calcs'!$A$53:$D$120,2,FALSE),""),"")</f>
        <v>50</v>
      </c>
      <c r="I49" s="292">
        <f>IFERROR(IF(VLOOKUP(B49,'RM 10.6 Speece 1996'!$A$57:$D$120,2,FALSE)&gt;0,VLOOKUP(B49,'RM 10.6 Speece 1996'!$A$57:$D$120,2,FALSE),""),"")</f>
        <v>95</v>
      </c>
      <c r="J49" s="292">
        <f>IFERROR(IF(VLOOKUP(B49,'Mod Wolfe v1 calcs'!$A$53:$D$108,2,FALSE)&gt;0,VLOOKUP(B49,'Mod Wolfe v1 calcs'!$A$53:$D$108,2,FALSE),""),"")</f>
        <v>100</v>
      </c>
      <c r="K49" s="292">
        <f>IFERROR(IF(VLOOKUP(B49,'Mod Wolfe v2 calcs'!$A$56:$D$112,2,FALSE)&gt;0,VLOOKUP(B49,'Mod Wolfe v2 calcs'!$A$56:$D$112,2,FALSE),""),"")</f>
        <v>100</v>
      </c>
      <c r="L49" s="292">
        <f>IFERROR(IF(VLOOKUP(B49,'Mod Wolfe v3 calcs'!$A$53:$D$108,2,FALSE)&gt;0,VLOOKUP(B49,'Mod Wolfe v3 calcs'!$A$53:$D$108,2,FALSE),""),"")</f>
        <v>100</v>
      </c>
      <c r="M49" s="292">
        <f>IFERROR(IF(VLOOKUP(B49,'Mod Wolfe v4 calcs'!$A$53:$D$108,2,FALSE)&gt;0,VLOOKUP(B49,'Mod Wolfe v4 calcs'!$A$53:$D$108,2,FALSE),""),"")</f>
        <v>100</v>
      </c>
    </row>
    <row r="50" spans="2:13" x14ac:dyDescent="0.3">
      <c r="B50" s="336" t="s">
        <v>288</v>
      </c>
      <c r="C50" s="307"/>
      <c r="D50" s="292">
        <f>IFERROR(IF(VLOOKUP(B50,'DSMZ 120 v1 calcs'!$A$53:$D$120,2,FALSE)&gt;0,VLOOKUP(B50,'DSMZ 120 v1 calcs'!$A$53:$D$120,2,FALSE),""),"")</f>
        <v>50</v>
      </c>
      <c r="E50" s="292">
        <f>IFERROR(IF(VLOOKUP(B50,'DSMZ 120 v1.5 calcs'!$A$53:$D$120,2,FALSE)&gt;0,VLOOKUP(B50,'DSMZ 120 v1.5 calcs'!$A$53:$D$120,2,FALSE),""),"")</f>
        <v>50</v>
      </c>
      <c r="F50" s="292">
        <f>IFERROR(IF(VLOOKUP(B50,'DSMZ 120 v2 calcs'!$A$53:$D$120,2,FALSE)&gt;0,VLOOKUP(B50,'DSMZ 120 v2 calcs'!$A$53:$D$120,2,FALSE),""),"")</f>
        <v>50</v>
      </c>
      <c r="G50" s="292">
        <f>IFERROR(IF(VLOOKUP(B50,'DSMZ 120 v3 calcs'!$A$53:$D$120,2,FALSE)&gt;0,VLOOKUP(B50,'DSMZ 120 v3 calcs'!$A$53:$D$120,2,FALSE),""),"")</f>
        <v>50</v>
      </c>
      <c r="H50" s="292">
        <f>IFERROR(IF(VLOOKUP(B50,'DSMZ 120 v4 calcs'!$A$53:$D$120,2,FALSE)&gt;0,VLOOKUP(B50,'DSMZ 120 v4 calcs'!$A$53:$D$120,2,FALSE),""),"")</f>
        <v>50</v>
      </c>
      <c r="I50" s="292">
        <f>IFERROR(IF(VLOOKUP(B50,'RM 10.6 Speece 1996'!$A$57:$D$120,2,FALSE)&gt;0,VLOOKUP(B50,'RM 10.6 Speece 1996'!$A$57:$D$120,2,FALSE),""),"")</f>
        <v>47.5</v>
      </c>
      <c r="J50" s="292">
        <f>IFERROR(IF(VLOOKUP(B50,'Mod Wolfe v1 calcs'!$A$53:$D$108,2,FALSE)&gt;0,VLOOKUP(B50,'Mod Wolfe v1 calcs'!$A$53:$D$108,2,FALSE),""),"")</f>
        <v>50</v>
      </c>
      <c r="K50" s="292">
        <f>IFERROR(IF(VLOOKUP(B50,'Mod Wolfe v2 calcs'!$A$56:$D$112,2,FALSE)&gt;0,VLOOKUP(B50,'Mod Wolfe v2 calcs'!$A$56:$D$112,2,FALSE),""),"")</f>
        <v>50</v>
      </c>
      <c r="L50" s="292">
        <f>IFERROR(IF(VLOOKUP(B50,'Mod Wolfe v3 calcs'!$A$53:$D$108,2,FALSE)&gt;0,VLOOKUP(B50,'Mod Wolfe v3 calcs'!$A$53:$D$108,2,FALSE),""),"")</f>
        <v>50</v>
      </c>
      <c r="M50" s="292">
        <f>IFERROR(IF(VLOOKUP(B50,'Mod Wolfe v4 calcs'!$A$53:$D$108,2,FALSE)&gt;0,VLOOKUP(B50,'Mod Wolfe v4 calcs'!$A$53:$D$108,2,FALSE),""),"")</f>
        <v>50</v>
      </c>
    </row>
    <row r="51" spans="2:13" x14ac:dyDescent="0.3">
      <c r="B51" s="336" t="s">
        <v>22</v>
      </c>
      <c r="C51" s="307"/>
      <c r="D51" s="292">
        <f>IFERROR(IF(VLOOKUP(B51,'DSMZ 120 v1 calcs'!$A$53:$D$120,2,FALSE)&gt;0,VLOOKUP(B51,'DSMZ 120 v1 calcs'!$A$53:$D$120,2,FALSE),""),"")</f>
        <v>82.269986383971997</v>
      </c>
      <c r="E51" s="292">
        <f>IFERROR(IF(VLOOKUP(B51,'DSMZ 120 v1.5 calcs'!$A$53:$D$120,2,FALSE)&gt;0,VLOOKUP(B51,'DSMZ 120 v1.5 calcs'!$A$53:$D$120,2,FALSE),""),"")</f>
        <v>82.269986383971997</v>
      </c>
      <c r="F51" s="292">
        <f>IFERROR(IF(VLOOKUP(B51,'DSMZ 120 v2 calcs'!$A$53:$D$120,2,FALSE)&gt;0,VLOOKUP(B51,'DSMZ 120 v2 calcs'!$A$53:$D$120,2,FALSE),""),"")</f>
        <v>82.269986383971997</v>
      </c>
      <c r="G51" s="292">
        <f>IFERROR(IF(VLOOKUP(B51,'DSMZ 120 v3 calcs'!$A$53:$D$120,2,FALSE)&gt;0,VLOOKUP(B51,'DSMZ 120 v3 calcs'!$A$53:$D$120,2,FALSE),""),"")</f>
        <v>82.269986383971997</v>
      </c>
      <c r="H51" s="292">
        <f>IFERROR(IF(VLOOKUP(B51,'DSMZ 120 v4 calcs'!$A$53:$D$120,2,FALSE)&gt;0,VLOOKUP(B51,'DSMZ 120 v4 calcs'!$A$53:$D$120,2,FALSE),""),"")</f>
        <v>82.269986383971997</v>
      </c>
      <c r="I51" s="292">
        <f>IFERROR(IF(VLOOKUP(B51,'RM 10.6 Speece 1996'!$A$57:$D$120,2,FALSE)&gt;0,VLOOKUP(B51,'RM 10.6 Speece 1996'!$A$57:$D$120,2,FALSE),""),"")</f>
        <v>95</v>
      </c>
      <c r="J51" s="292">
        <f>IFERROR(IF(VLOOKUP(B51,'Mod Wolfe v1 calcs'!$A$53:$D$108,2,FALSE)&gt;0,VLOOKUP(B51,'Mod Wolfe v1 calcs'!$A$53:$D$108,2,FALSE),""),"")</f>
        <v>100</v>
      </c>
      <c r="K51" s="292">
        <f>IFERROR(IF(VLOOKUP(B51,'Mod Wolfe v2 calcs'!$A$56:$D$112,2,FALSE)&gt;0,VLOOKUP(B51,'Mod Wolfe v2 calcs'!$A$56:$D$112,2,FALSE),""),"")</f>
        <v>100</v>
      </c>
      <c r="L51" s="292">
        <f>IFERROR(IF(VLOOKUP(B51,'Mod Wolfe v3 calcs'!$A$53:$D$108,2,FALSE)&gt;0,VLOOKUP(B51,'Mod Wolfe v3 calcs'!$A$53:$D$108,2,FALSE),""),"")</f>
        <v>100</v>
      </c>
      <c r="M51" s="292">
        <f>IFERROR(IF(VLOOKUP(B51,'Mod Wolfe v4 calcs'!$A$53:$D$108,2,FALSE)&gt;0,VLOOKUP(B51,'Mod Wolfe v4 calcs'!$A$53:$D$108,2,FALSE),""),"")</f>
        <v>100</v>
      </c>
    </row>
    <row r="52" spans="2:13" x14ac:dyDescent="0.3">
      <c r="B52" s="337" t="s">
        <v>26</v>
      </c>
      <c r="C52" s="308"/>
      <c r="D52" s="292">
        <f>IFERROR(IF(VLOOKUP(B52,'DSMZ 120 v1 calcs'!$A$53:$D$120,2,FALSE)&gt;0,VLOOKUP(B52,'DSMZ 120 v1 calcs'!$A$53:$D$120,2,FALSE),""),"")</f>
        <v>39.339401666320754</v>
      </c>
      <c r="E52" s="292">
        <f>IFERROR(IF(VLOOKUP(B52,'DSMZ 120 v1.5 calcs'!$A$53:$D$120,2,FALSE)&gt;0,VLOOKUP(B52,'DSMZ 120 v1.5 calcs'!$A$53:$D$120,2,FALSE),""),"")</f>
        <v>39.339401666320754</v>
      </c>
      <c r="F52" s="292">
        <f>IFERROR(IF(VLOOKUP(B52,'DSMZ 120 v2 calcs'!$A$53:$D$120,2,FALSE)&gt;0,VLOOKUP(B52,'DSMZ 120 v2 calcs'!$A$53:$D$120,2,FALSE),""),"")</f>
        <v>39.339401666320754</v>
      </c>
      <c r="G52" s="292">
        <f>IFERROR(IF(VLOOKUP(B52,'DSMZ 120 v3 calcs'!$A$53:$D$120,2,FALSE)&gt;0,VLOOKUP(B52,'DSMZ 120 v3 calcs'!$A$53:$D$120,2,FALSE),""),"")</f>
        <v>39.339401666320754</v>
      </c>
      <c r="H52" s="292">
        <f>IFERROR(IF(VLOOKUP(B52,'DSMZ 120 v4 calcs'!$A$53:$D$120,2,FALSE)&gt;0,VLOOKUP(B52,'DSMZ 120 v4 calcs'!$A$53:$D$120,2,FALSE),""),"")</f>
        <v>39.339401666320754</v>
      </c>
      <c r="I52" s="292">
        <f>IFERROR(IF(VLOOKUP(B52,'RM 10.6 Speece 1996'!$A$57:$D$120,2,FALSE)&gt;0,VLOOKUP(B52,'RM 10.6 Speece 1996'!$A$57:$D$120,2,FALSE),""),"")</f>
        <v>95.001508376088012</v>
      </c>
      <c r="J52" s="292">
        <f>IFERROR(IF(VLOOKUP(B52,'Mod Wolfe v1 calcs'!$A$53:$D$108,2,FALSE)&gt;0,VLOOKUP(B52,'Mod Wolfe v1 calcs'!$A$53:$D$108,2,FALSE),""),"")</f>
        <v>100</v>
      </c>
      <c r="K52" s="292">
        <f>IFERROR(IF(VLOOKUP(B52,'Mod Wolfe v2 calcs'!$A$56:$D$112,2,FALSE)&gt;0,VLOOKUP(B52,'Mod Wolfe v2 calcs'!$A$56:$D$112,2,FALSE),""),"")</f>
        <v>100.00158776430317</v>
      </c>
      <c r="L52" s="292">
        <f>IFERROR(IF(VLOOKUP(B52,'Mod Wolfe v3 calcs'!$A$53:$D$108,2,FALSE)&gt;0,VLOOKUP(B52,'Mod Wolfe v3 calcs'!$A$53:$D$108,2,FALSE),""),"")</f>
        <v>100</v>
      </c>
      <c r="M52" s="292">
        <f>IFERROR(IF(VLOOKUP(B52,'Mod Wolfe v4 calcs'!$A$53:$D$108,2,FALSE)&gt;0,VLOOKUP(B52,'Mod Wolfe v4 calcs'!$A$53:$D$108,2,FALSE),""),"")</f>
        <v>100</v>
      </c>
    </row>
    <row r="53" spans="2:13" x14ac:dyDescent="0.3">
      <c r="B53" s="337" t="s">
        <v>38</v>
      </c>
      <c r="C53" s="308"/>
      <c r="D53" s="292">
        <f>IFERROR(IF(VLOOKUP(B53,'DSMZ 120 v1 calcs'!$A$53:$D$120,2,FALSE)&gt;0,VLOOKUP(B53,'DSMZ 120 v1 calcs'!$A$53:$D$120,2,FALSE),""),"")</f>
        <v>50</v>
      </c>
      <c r="E53" s="292">
        <f>IFERROR(IF(VLOOKUP(B53,'DSMZ 120 v1.5 calcs'!$A$53:$D$120,2,FALSE)&gt;0,VLOOKUP(B53,'DSMZ 120 v1.5 calcs'!$A$53:$D$120,2,FALSE),""),"")</f>
        <v>50</v>
      </c>
      <c r="F53" s="292">
        <f>IFERROR(IF(VLOOKUP(B53,'DSMZ 120 v2 calcs'!$A$53:$D$120,2,FALSE)&gt;0,VLOOKUP(B53,'DSMZ 120 v2 calcs'!$A$53:$D$120,2,FALSE),""),"")</f>
        <v>50</v>
      </c>
      <c r="G53" s="292">
        <f>IFERROR(IF(VLOOKUP(B53,'DSMZ 120 v3 calcs'!$A$53:$D$120,2,FALSE)&gt;0,VLOOKUP(B53,'DSMZ 120 v3 calcs'!$A$53:$D$120,2,FALSE),""),"")</f>
        <v>50</v>
      </c>
      <c r="H53" s="292">
        <f>IFERROR(IF(VLOOKUP(B53,'DSMZ 120 v4 calcs'!$A$53:$D$120,2,FALSE)&gt;0,VLOOKUP(B53,'DSMZ 120 v4 calcs'!$A$53:$D$120,2,FALSE),""),"")</f>
        <v>50</v>
      </c>
      <c r="I53" s="292">
        <f>IFERROR(IF(VLOOKUP(B53,'RM 10.6 Speece 1996'!$A$57:$D$120,2,FALSE)&gt;0,VLOOKUP(B53,'RM 10.6 Speece 1996'!$A$57:$D$120,2,FALSE),""),"")</f>
        <v>95</v>
      </c>
      <c r="J53" s="292">
        <f>IFERROR(IF(VLOOKUP(B53,'Mod Wolfe v1 calcs'!$A$53:$D$108,2,FALSE)&gt;0,VLOOKUP(B53,'Mod Wolfe v1 calcs'!$A$53:$D$108,2,FALSE),""),"")</f>
        <v>100</v>
      </c>
      <c r="K53" s="292" t="str">
        <f>IFERROR(IF(VLOOKUP(B53,'Mod Wolfe v2 calcs'!$A$56:$D$112,2,FALSE)&gt;0,VLOOKUP(B53,'Mod Wolfe v2 calcs'!$A$56:$D$112,2,FALSE),""),"")</f>
        <v/>
      </c>
      <c r="L53" s="292">
        <f>IFERROR(IF(VLOOKUP(B53,'Mod Wolfe v3 calcs'!$A$53:$D$108,2,FALSE)&gt;0,VLOOKUP(B53,'Mod Wolfe v3 calcs'!$A$53:$D$108,2,FALSE),""),"")</f>
        <v>100</v>
      </c>
      <c r="M53" s="292">
        <f>IFERROR(IF(VLOOKUP(B53,'Mod Wolfe v4 calcs'!$A$53:$D$108,2,FALSE)&gt;0,VLOOKUP(B53,'Mod Wolfe v4 calcs'!$A$53:$D$108,2,FALSE),""),"")</f>
        <v>100</v>
      </c>
    </row>
    <row r="54" spans="2:13" x14ac:dyDescent="0.3">
      <c r="B54" s="335" t="s">
        <v>411</v>
      </c>
      <c r="C54" s="306"/>
      <c r="D54" s="332"/>
      <c r="E54" s="332"/>
      <c r="F54" s="332"/>
      <c r="G54" s="332"/>
      <c r="H54" s="332"/>
      <c r="I54" s="332"/>
      <c r="J54" s="332"/>
      <c r="K54" s="332"/>
      <c r="L54" s="332"/>
      <c r="M54" s="332"/>
    </row>
    <row r="55" spans="2:13" ht="15" thickBot="1" x14ac:dyDescent="0.35">
      <c r="B55" s="54" t="s">
        <v>393</v>
      </c>
      <c r="C55" s="55"/>
      <c r="D55" s="292">
        <f>IFERROR(IF(VLOOKUP(B55,'DSMZ 120 v1 calcs'!$A$53:$D$120,2,FALSE)&gt;0,VLOOKUP(B55,'DSMZ 120 v1 calcs'!$A$53:$D$120,2,FALSE),""),"")</f>
        <v>206.95780903034787</v>
      </c>
      <c r="E55" s="292">
        <f>IFERROR(IF(VLOOKUP(B55,'DSMZ 120 v1.5 calcs'!$A$53:$D$120,2,FALSE)&gt;0,VLOOKUP(B55,'DSMZ 120 v1.5 calcs'!$A$53:$D$120,2,FALSE),""),"")</f>
        <v>206.95780903034787</v>
      </c>
      <c r="F55" s="292">
        <f>IFERROR(IF(VLOOKUP(B55,'DSMZ 120 v2 calcs'!$A$53:$D$120,2,FALSE)&gt;0,VLOOKUP(B55,'DSMZ 120 v2 calcs'!$A$53:$D$120,2,FALSE),""),"")</f>
        <v>206.95780903034787</v>
      </c>
      <c r="G55" s="292">
        <f>IFERROR(IF(VLOOKUP(B55,'DSMZ 120 v3 calcs'!$A$53:$D$120,2,FALSE)&gt;0,VLOOKUP(B55,'DSMZ 120 v3 calcs'!$A$53:$D$120,2,FALSE),""),"")</f>
        <v>206.95780903034787</v>
      </c>
      <c r="H55" s="292">
        <f>IFERROR(IF(VLOOKUP(B55,'DSMZ 120 v4 calcs'!$A$53:$D$120,2,FALSE)&gt;0,VLOOKUP(B55,'DSMZ 120 v4 calcs'!$A$53:$D$120,2,FALSE),""),"")</f>
        <v>206.95780903034787</v>
      </c>
      <c r="I55" s="292">
        <f>IFERROR(IF(VLOOKUP(B55,'RM 10.6 Speece 1996'!$A$57:$D$120,2,FALSE)&gt;0,VLOOKUP(B55,'RM 10.6 Speece 1996'!$A$57:$D$120,2,FALSE),""),"")</f>
        <v>193.19300000000001</v>
      </c>
      <c r="J55" s="292">
        <f>IFERROR(IF(VLOOKUP(B55,'Mod Wolfe v1 calcs'!$A$53:$D$108,2,FALSE)&gt;0,VLOOKUP(B55,'Mod Wolfe v1 calcs'!$A$53:$D$108,2,FALSE),""),"")</f>
        <v>12.770506485566248</v>
      </c>
      <c r="K55" s="292">
        <f>IFERROR(IF(VLOOKUP(B55,'Mod Wolfe v2 calcs'!$A$56:$D$112,2,FALSE)&gt;0,VLOOKUP(B55,'Mod Wolfe v2 calcs'!$A$56:$D$112,2,FALSE),""),"")</f>
        <v>12.770506485566248</v>
      </c>
      <c r="L55" s="292">
        <f>IFERROR(IF(VLOOKUP(B55,'Mod Wolfe v3 calcs'!$A$53:$D$108,2,FALSE)&gt;0,VLOOKUP(B55,'Mod Wolfe v3 calcs'!$A$53:$D$108,2,FALSE),""),"")</f>
        <v>12.770506485566248</v>
      </c>
      <c r="M55" s="292">
        <f>IFERROR(IF(VLOOKUP(B55,'Mod Wolfe v4 calcs'!$A$53:$D$108,2,FALSE)&gt;0,VLOOKUP(B55,'Mod Wolfe v4 calcs'!$A$53:$D$108,2,FALSE),""),"")</f>
        <v>12.770506485566248</v>
      </c>
    </row>
    <row r="56" spans="2:13" x14ac:dyDescent="0.3">
      <c r="B56" s="341" t="s">
        <v>410</v>
      </c>
      <c r="D56" s="332"/>
      <c r="E56" s="332"/>
      <c r="F56" s="332"/>
      <c r="G56" s="332"/>
      <c r="H56" s="332"/>
      <c r="I56" s="332"/>
      <c r="J56" s="332"/>
      <c r="K56" s="332"/>
      <c r="L56" s="332"/>
      <c r="M56" s="332"/>
    </row>
    <row r="57" spans="2:13" x14ac:dyDescent="0.3">
      <c r="B57" s="336" t="s">
        <v>345</v>
      </c>
      <c r="C57" s="307"/>
      <c r="D57" s="292">
        <f>IFERROR(IF(VLOOKUP(B57,'DSMZ 120 v1 calcs'!$A$53:$D$120,2,FALSE)&gt;0,VLOOKUP(B57,'DSMZ 120 v1 calcs'!$A$53:$D$120,2,FALSE),""),"")</f>
        <v>2000</v>
      </c>
      <c r="E57" s="292">
        <f>IFERROR(IF(VLOOKUP(B57,'DSMZ 120 v1.5 calcs'!$A$53:$D$120,2,FALSE)&gt;0,VLOOKUP(B57,'DSMZ 120 v1.5 calcs'!$A$53:$D$120,2,FALSE),""),"")</f>
        <v>2000</v>
      </c>
      <c r="F57" s="292">
        <f>IFERROR(IF(VLOOKUP(B57,'DSMZ 120 v2 calcs'!$A$53:$D$120,2,FALSE)&gt;0,VLOOKUP(B57,'DSMZ 120 v2 calcs'!$A$53:$D$120,2,FALSE),""),"")</f>
        <v>2000</v>
      </c>
      <c r="G57" s="292" t="str">
        <f>IFERROR(IF(VLOOKUP(B57,'DSMZ 120 v3 calcs'!$A$53:$D$120,2,FALSE)&gt;0,VLOOKUP(B57,'DSMZ 120 v3 calcs'!$A$53:$D$120,2,FALSE),""),"")</f>
        <v/>
      </c>
      <c r="H57" s="292" t="str">
        <f>IFERROR(IF(VLOOKUP(B57,'DSMZ 120 v4 calcs'!$A$53:$D$120,2,FALSE)&gt;0,VLOOKUP(B57,'DSMZ 120 v4 calcs'!$A$53:$D$120,2,FALSE),""),"")</f>
        <v/>
      </c>
      <c r="I57" s="292" t="str">
        <f>IFERROR(IF(VLOOKUP(B57,'RM 10.6 Speece 1996'!$A$57:$D$120,2,FALSE)&gt;0,VLOOKUP(B57,'RM 10.6 Speece 1996'!$A$57:$D$120,2,FALSE),""),"")</f>
        <v/>
      </c>
      <c r="J57" s="292"/>
      <c r="K57" s="292"/>
      <c r="L57" s="292"/>
      <c r="M57" s="292"/>
    </row>
    <row r="58" spans="2:13" x14ac:dyDescent="0.3">
      <c r="B58" s="336" t="s">
        <v>352</v>
      </c>
      <c r="C58" s="307"/>
      <c r="D58" s="292">
        <f>IFERROR(IF(VLOOKUP(B58,'DSMZ 120 v1 calcs'!$A$53:$D$120,2,FALSE)&gt;0,VLOOKUP(B58,'DSMZ 120 v1 calcs'!$A$53:$D$120,2,FALSE),""),"")</f>
        <v>2000</v>
      </c>
      <c r="E58" s="292">
        <f>IFERROR(IF(VLOOKUP(B58,'DSMZ 120 v1.5 calcs'!$A$53:$D$120,2,FALSE)&gt;0,VLOOKUP(B58,'DSMZ 120 v1.5 calcs'!$A$53:$D$120,2,FALSE),""),"")</f>
        <v>2000</v>
      </c>
      <c r="F58" s="292">
        <f>IFERROR(IF(VLOOKUP(B58,'DSMZ 120 v2 calcs'!$A$53:$D$120,2,FALSE)&gt;0,VLOOKUP(B58,'DSMZ 120 v2 calcs'!$A$53:$D$120,2,FALSE),""),"")</f>
        <v>2000</v>
      </c>
      <c r="G58" s="292" t="str">
        <f>IFERROR(IF(VLOOKUP(B58,'DSMZ 120 v3 calcs'!$A$53:$D$120,2,FALSE)&gt;0,VLOOKUP(B58,'DSMZ 120 v3 calcs'!$A$53:$D$120,2,FALSE),""),"")</f>
        <v/>
      </c>
      <c r="H58" s="292" t="str">
        <f>IFERROR(IF(VLOOKUP(B58,'DSMZ 120 v4 calcs'!$A$53:$D$120,2,FALSE)&gt;0,VLOOKUP(B58,'DSMZ 120 v4 calcs'!$A$53:$D$120,2,FALSE),""),"")</f>
        <v/>
      </c>
      <c r="I58" s="292" t="str">
        <f>IFERROR(IF(VLOOKUP(B58,'RM 10.6 Speece 1996'!$A$57:$D$120,2,FALSE)&gt;0,VLOOKUP(B58,'RM 10.6 Speece 1996'!$A$57:$D$120,2,FALSE),""),"")</f>
        <v/>
      </c>
      <c r="J58" s="292"/>
      <c r="K58" s="292"/>
      <c r="L58" s="292"/>
      <c r="M58" s="292"/>
    </row>
    <row r="59" spans="2:13" x14ac:dyDescent="0.3">
      <c r="B59" s="336" t="s">
        <v>347</v>
      </c>
      <c r="C59" s="307"/>
      <c r="D59" s="292">
        <f>IFERROR(IF(VLOOKUP(B59,'DSMZ 120 v1 calcs'!$A$53:$D$120,2,FALSE)&gt;0,VLOOKUP(B59,'DSMZ 120 v1 calcs'!$A$53:$D$120,2,FALSE),""),"")</f>
        <v>7917.9999999999991</v>
      </c>
      <c r="E59" s="292">
        <f>IFERROR(IF(VLOOKUP(B59,'DSMZ 120 v1.5 calcs'!$A$53:$D$120,2,FALSE)&gt;0,VLOOKUP(B59,'DSMZ 120 v1.5 calcs'!$A$53:$D$120,2,FALSE),""),"")</f>
        <v>7917.9999999999991</v>
      </c>
      <c r="F59" s="292">
        <f>IFERROR(IF(VLOOKUP(B59,'DSMZ 120 v2 calcs'!$A$53:$D$120,2,FALSE)&gt;0,VLOOKUP(B59,'DSMZ 120 v2 calcs'!$A$53:$D$120,2,FALSE),""),"")</f>
        <v>7917.9999999999991</v>
      </c>
      <c r="G59" s="292">
        <f>IFERROR(IF(VLOOKUP(B59,'DSMZ 120 v3 calcs'!$A$53:$D$120,2,FALSE)&gt;0,VLOOKUP(B59,'DSMZ 120 v3 calcs'!$A$53:$D$120,2,FALSE),""),"")</f>
        <v>7917.9999999999991</v>
      </c>
      <c r="H59" s="292" t="str">
        <f>IFERROR(IF(VLOOKUP(B59,'DSMZ 120 v4 calcs'!$A$53:$D$120,2,FALSE)&gt;0,VLOOKUP(B59,'DSMZ 120 v4 calcs'!$A$53:$D$120,2,FALSE),""),"")</f>
        <v/>
      </c>
      <c r="I59" s="292" t="str">
        <f>IFERROR(IF(VLOOKUP(B59,'RM 10.6 Speece 1996'!$A$57:$D$120,2,FALSE)&gt;0,VLOOKUP(B59,'RM 10.6 Speece 1996'!$A$57:$D$120,2,FALSE),""),"")</f>
        <v/>
      </c>
      <c r="J59" s="292"/>
      <c r="K59" s="292"/>
      <c r="L59" s="292"/>
      <c r="M59" s="292"/>
    </row>
    <row r="60" spans="2:13" ht="15" thickBot="1" x14ac:dyDescent="0.35">
      <c r="B60" s="348" t="s">
        <v>295</v>
      </c>
      <c r="C60" s="349"/>
      <c r="D60" s="350">
        <f>IFERROR(IF(VLOOKUP(B60,'DSMZ 120 v1 calcs'!$A$53:$D$120,2,FALSE)&gt;0,VLOOKUP(B60,'DSMZ 120 v1 calcs'!$A$53:$D$120,2,FALSE),""),"")</f>
        <v>2500</v>
      </c>
      <c r="E60" s="292">
        <f>IFERROR(IF(VLOOKUP(B60,'DSMZ 120 v1.5 calcs'!$A$53:$D$120,2,FALSE)&gt;0,VLOOKUP(B60,'DSMZ 120 v1.5 calcs'!$A$53:$D$120,2,FALSE),""),"")</f>
        <v>2500</v>
      </c>
      <c r="F60" s="350" t="str">
        <f>IFERROR(IF(VLOOKUP(B60,'DSMZ 120 v2 calcs'!$A$53:$D$120,2,FALSE)&gt;0,VLOOKUP(B60,'DSMZ 120 v2 calcs'!$A$53:$D$120,2,FALSE),""),"")</f>
        <v/>
      </c>
      <c r="G60" s="350" t="str">
        <f>IFERROR(IF(VLOOKUP(B60,'DSMZ 120 v3 calcs'!$A$53:$D$120,2,FALSE)&gt;0,VLOOKUP(B60,'DSMZ 120 v3 calcs'!$A$53:$D$120,2,FALSE),""),"")</f>
        <v/>
      </c>
      <c r="H60" s="350" t="str">
        <f>IFERROR(IF(VLOOKUP(B60,'DSMZ 120 v4 calcs'!$A$53:$D$120,2,FALSE)&gt;0,VLOOKUP(B60,'DSMZ 120 v4 calcs'!$A$53:$D$120,2,FALSE),""),"")</f>
        <v/>
      </c>
      <c r="I60" s="350" t="str">
        <f>IFERROR(IF(VLOOKUP(B60,'RM 10.6 Speece 1996'!$A$57:$D$120,2,FALSE)&gt;0,VLOOKUP(B60,'RM 10.6 Speece 1996'!$A$57:$D$120,2,FALSE),""),"")</f>
        <v/>
      </c>
      <c r="J60" s="350"/>
      <c r="K60" s="350"/>
      <c r="L60" s="350"/>
      <c r="M60" s="350"/>
    </row>
    <row r="61" spans="2:13" x14ac:dyDescent="0.3">
      <c r="D61" s="117" t="str">
        <f>IFERROR(IF(VLOOKUP(B61,'DSMZ 120 v1 calcs'!$A$53:$D$120,2,FALSE)&gt;0,VLOOKUP(B61,'DSMZ 120 v1 calcs'!$A$53:$D$120,2,FALSE),""),"")</f>
        <v/>
      </c>
      <c r="E61" s="117"/>
      <c r="F61" s="117"/>
      <c r="G61" s="117"/>
      <c r="H61" s="117"/>
      <c r="I61" s="117" t="str">
        <f>IFERROR(IF(VLOOKUP(B61,'RM 10.6 Speece 1996'!$A$57:$D$120,2,FALSE)&gt;0,VLOOKUP(B61,'RM 10.6 Speece 1996'!$A$57:$D$120,2,FALSE),""),"")</f>
        <v/>
      </c>
      <c r="J61" s="117"/>
      <c r="K61" s="117"/>
      <c r="L61" s="117"/>
      <c r="M61" s="117"/>
    </row>
    <row r="62" spans="2:13" x14ac:dyDescent="0.3">
      <c r="D62" s="117" t="str">
        <f>IFERROR(IF(VLOOKUP(B62,'DSMZ 120 v1 calcs'!$A$53:$D$120,2,FALSE)&gt;0,VLOOKUP(B62,'DSMZ 120 v1 calcs'!$A$53:$D$120,2,FALSE),""),"")</f>
        <v/>
      </c>
      <c r="E62" s="117"/>
      <c r="F62" s="117"/>
      <c r="G62" s="117"/>
      <c r="H62" s="117"/>
      <c r="I62" s="117" t="str">
        <f>IFERROR(IF(VLOOKUP(B62,'RM 10.6 Speece 1996'!$A$57:$D$120,2,FALSE)&gt;0,VLOOKUP(B62,'RM 10.6 Speece 1996'!$A$57:$D$120,2,FALSE),""),"")</f>
        <v/>
      </c>
      <c r="J62" s="117"/>
      <c r="K62" s="117"/>
      <c r="L62" s="117"/>
      <c r="M62" s="117"/>
    </row>
  </sheetData>
  <conditionalFormatting sqref="V6:V7">
    <cfRule type="cellIs" dxfId="51" priority="34" operator="greaterThan">
      <formula>$U$6</formula>
    </cfRule>
  </conditionalFormatting>
  <conditionalFormatting sqref="V10">
    <cfRule type="cellIs" dxfId="50" priority="30" operator="greaterThan">
      <formula>$U$10</formula>
    </cfRule>
  </conditionalFormatting>
  <conditionalFormatting sqref="V11">
    <cfRule type="cellIs" dxfId="49" priority="29" operator="greaterThan">
      <formula>$U$11</formula>
    </cfRule>
  </conditionalFormatting>
  <conditionalFormatting sqref="V12:V13">
    <cfRule type="cellIs" dxfId="48" priority="28" operator="greaterThan">
      <formula>$U$12</formula>
    </cfRule>
  </conditionalFormatting>
  <conditionalFormatting sqref="V14">
    <cfRule type="cellIs" dxfId="47" priority="27" operator="greaterThan">
      <formula>$U$14</formula>
    </cfRule>
  </conditionalFormatting>
  <conditionalFormatting sqref="V15">
    <cfRule type="cellIs" dxfId="46" priority="26" operator="greaterThan">
      <formula>$U$15</formula>
    </cfRule>
  </conditionalFormatting>
  <conditionalFormatting sqref="V16">
    <cfRule type="cellIs" dxfId="45" priority="25" operator="greaterThan">
      <formula>$U$16</formula>
    </cfRule>
  </conditionalFormatting>
  <conditionalFormatting sqref="V18">
    <cfRule type="cellIs" dxfId="44" priority="35" operator="greaterThan">
      <formula>$U$7</formula>
    </cfRule>
    <cfRule type="cellIs" dxfId="43" priority="36" operator="greaterThan">
      <formula>$U$6</formula>
    </cfRule>
  </conditionalFormatting>
  <conditionalFormatting sqref="V22">
    <cfRule type="cellIs" dxfId="42" priority="20" operator="greaterThan">
      <formula>$U$22</formula>
    </cfRule>
  </conditionalFormatting>
  <conditionalFormatting sqref="V23">
    <cfRule type="cellIs" dxfId="41" priority="19" operator="greaterThan">
      <formula>$U$23</formula>
    </cfRule>
  </conditionalFormatting>
  <conditionalFormatting sqref="V24">
    <cfRule type="cellIs" dxfId="40" priority="18" operator="greaterThan">
      <formula>$U$24</formula>
    </cfRule>
  </conditionalFormatting>
  <conditionalFormatting sqref="V25">
    <cfRule type="cellIs" dxfId="39" priority="17" operator="greaterThan">
      <formula>$U$25</formula>
    </cfRule>
  </conditionalFormatting>
  <conditionalFormatting sqref="V29">
    <cfRule type="cellIs" dxfId="38" priority="14" operator="greaterThan">
      <formula>$U$29</formula>
    </cfRule>
  </conditionalFormatting>
  <conditionalFormatting sqref="V7:AC7">
    <cfRule type="cellIs" dxfId="37" priority="33" operator="greaterThan">
      <formula>$U$7</formula>
    </cfRule>
  </conditionalFormatting>
  <conditionalFormatting sqref="V8:AC8">
    <cfRule type="cellIs" dxfId="36" priority="32" operator="greaterThan">
      <formula>$U$8</formula>
    </cfRule>
  </conditionalFormatting>
  <conditionalFormatting sqref="V9:AC9">
    <cfRule type="cellIs" dxfId="35" priority="31" operator="greaterThan">
      <formula>$U$9</formula>
    </cfRule>
  </conditionalFormatting>
  <conditionalFormatting sqref="V17:AC17">
    <cfRule type="cellIs" dxfId="34" priority="24" operator="greaterThan">
      <formula>$U$17</formula>
    </cfRule>
  </conditionalFormatting>
  <conditionalFormatting sqref="V18:AC18">
    <cfRule type="cellIs" dxfId="33" priority="23" operator="greaterThan">
      <formula>$U$18</formula>
    </cfRule>
  </conditionalFormatting>
  <conditionalFormatting sqref="V19:AC19">
    <cfRule type="cellIs" dxfId="32" priority="22" operator="greaterThan">
      <formula>$U$19</formula>
    </cfRule>
  </conditionalFormatting>
  <conditionalFormatting sqref="V20:AC21">
    <cfRule type="cellIs" dxfId="31" priority="21" operator="greaterThan">
      <formula>$U$20</formula>
    </cfRule>
  </conditionalFormatting>
  <conditionalFormatting sqref="V26:AC27">
    <cfRule type="cellIs" dxfId="30" priority="16" operator="greaterThan">
      <formula>$U$26</formula>
    </cfRule>
  </conditionalFormatting>
  <conditionalFormatting sqref="V28:AC28">
    <cfRule type="cellIs" dxfId="29" priority="15" operator="greaterThan">
      <formula>$U$28</formula>
    </cfRule>
  </conditionalFormatting>
  <conditionalFormatting sqref="V30:AC32">
    <cfRule type="cellIs" dxfId="28" priority="13" operator="greaterThan">
      <formula>$U$30</formula>
    </cfRule>
  </conditionalFormatting>
  <conditionalFormatting sqref="V33:AC35">
    <cfRule type="cellIs" dxfId="27" priority="12" operator="greaterThan">
      <formula>$U$33</formula>
    </cfRule>
  </conditionalFormatting>
  <conditionalFormatting sqref="V36:AC36">
    <cfRule type="cellIs" dxfId="26" priority="11" operator="greaterThan">
      <formula>$U$36</formula>
    </cfRule>
  </conditionalFormatting>
  <conditionalFormatting sqref="V37:AC37">
    <cfRule type="cellIs" dxfId="25" priority="5" operator="greaterThan">
      <formula>$U$37</formula>
    </cfRule>
  </conditionalFormatting>
  <conditionalFormatting sqref="V38:AC38">
    <cfRule type="cellIs" dxfId="24" priority="4" operator="greaterThan">
      <formula>$U$38</formula>
    </cfRule>
  </conditionalFormatting>
  <conditionalFormatting sqref="V39:AC39">
    <cfRule type="cellIs" dxfId="23" priority="3" operator="greaterThan">
      <formula>$U$39</formula>
    </cfRule>
  </conditionalFormatting>
  <conditionalFormatting sqref="V40:AC40">
    <cfRule type="cellIs" dxfId="22" priority="2" operator="greaterThan">
      <formula>$U$40</formula>
    </cfRule>
  </conditionalFormatting>
  <conditionalFormatting sqref="V41:AC41">
    <cfRule type="cellIs" dxfId="21" priority="1" operator="greaterThan">
      <formula>$U$41</formula>
    </cfRule>
  </conditionalFormatting>
  <conditionalFormatting sqref="W6">
    <cfRule type="cellIs" dxfId="20" priority="57" operator="greaterThan">
      <formula>$U$6</formula>
    </cfRule>
  </conditionalFormatting>
  <conditionalFormatting sqref="W6:AC6">
    <cfRule type="cellIs" dxfId="19" priority="56" operator="greaterThan">
      <formula>$U$6</formula>
    </cfRule>
  </conditionalFormatting>
  <pageMargins left="0.7" right="0.7" top="0.75" bottom="0.75" header="0.3" footer="0.3"/>
  <pageSetup scale="81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F3CAD-B15E-4A8A-8C48-7E202B614FE7}">
  <dimension ref="A3:X74"/>
  <sheetViews>
    <sheetView topLeftCell="A43" zoomScaleNormal="100" workbookViewId="0">
      <selection activeCell="B74" sqref="B74"/>
    </sheetView>
  </sheetViews>
  <sheetFormatPr defaultRowHeight="14.4" x14ac:dyDescent="0.3"/>
  <cols>
    <col min="2" max="2" width="19.21875" customWidth="1"/>
    <col min="3" max="3" width="11.44140625" customWidth="1"/>
    <col min="12" max="12" width="12.44140625" customWidth="1"/>
    <col min="16" max="16" width="18.21875" customWidth="1"/>
    <col min="17" max="17" width="11.33203125" customWidth="1"/>
  </cols>
  <sheetData>
    <row r="3" spans="1:24" x14ac:dyDescent="0.3">
      <c r="A3" t="s">
        <v>333</v>
      </c>
      <c r="B3" s="20" t="s">
        <v>304</v>
      </c>
      <c r="C3" s="7" t="s">
        <v>100</v>
      </c>
      <c r="D3" s="7" t="s">
        <v>51</v>
      </c>
      <c r="E3" s="7" t="s">
        <v>47</v>
      </c>
      <c r="F3" s="7" t="s">
        <v>44</v>
      </c>
      <c r="G3" s="7" t="s">
        <v>196</v>
      </c>
      <c r="K3" s="20" t="s">
        <v>60</v>
      </c>
      <c r="L3" s="40" t="s">
        <v>100</v>
      </c>
      <c r="M3" s="71" t="s">
        <v>127</v>
      </c>
      <c r="N3" s="71" t="s">
        <v>332</v>
      </c>
      <c r="P3" s="7" t="s">
        <v>11</v>
      </c>
      <c r="Q3" s="7" t="s">
        <v>100</v>
      </c>
      <c r="R3" s="7" t="s">
        <v>328</v>
      </c>
      <c r="T3" s="7" t="s">
        <v>317</v>
      </c>
      <c r="U3" s="7" t="s">
        <v>100</v>
      </c>
      <c r="W3" s="7" t="s">
        <v>404</v>
      </c>
    </row>
    <row r="4" spans="1:24" x14ac:dyDescent="0.3">
      <c r="A4" t="s">
        <v>305</v>
      </c>
      <c r="B4" s="25" t="s">
        <v>307</v>
      </c>
      <c r="C4">
        <v>136.09</v>
      </c>
      <c r="D4">
        <v>0</v>
      </c>
      <c r="E4">
        <v>0</v>
      </c>
      <c r="F4">
        <v>1</v>
      </c>
      <c r="G4">
        <v>0</v>
      </c>
      <c r="K4" s="25" t="s">
        <v>63</v>
      </c>
      <c r="L4" s="119">
        <v>28.989768999999999</v>
      </c>
      <c r="M4" s="70">
        <v>1</v>
      </c>
      <c r="N4" s="70">
        <v>0</v>
      </c>
      <c r="P4" s="181" t="s">
        <v>15</v>
      </c>
      <c r="Q4">
        <v>244.31</v>
      </c>
      <c r="R4">
        <v>10</v>
      </c>
      <c r="T4" t="s">
        <v>44</v>
      </c>
      <c r="U4">
        <v>30.97</v>
      </c>
      <c r="W4" s="70" t="s">
        <v>293</v>
      </c>
    </row>
    <row r="5" spans="1:24" x14ac:dyDescent="0.3">
      <c r="A5" t="s">
        <v>306</v>
      </c>
      <c r="B5" s="25" t="s">
        <v>308</v>
      </c>
      <c r="C5">
        <v>174.18</v>
      </c>
      <c r="D5">
        <v>0</v>
      </c>
      <c r="E5">
        <v>0</v>
      </c>
      <c r="F5">
        <v>1</v>
      </c>
      <c r="G5">
        <v>0</v>
      </c>
      <c r="K5" s="25" t="s">
        <v>64</v>
      </c>
      <c r="L5" s="119">
        <v>24.305</v>
      </c>
      <c r="M5" s="70">
        <v>2</v>
      </c>
      <c r="N5" s="70">
        <v>0</v>
      </c>
      <c r="P5" s="181" t="s">
        <v>19</v>
      </c>
      <c r="Q5">
        <v>441.4</v>
      </c>
      <c r="R5">
        <v>19</v>
      </c>
      <c r="T5" t="s">
        <v>47</v>
      </c>
      <c r="U5">
        <v>14.01</v>
      </c>
      <c r="W5" s="70" t="s">
        <v>294</v>
      </c>
    </row>
    <row r="6" spans="1:24" x14ac:dyDescent="0.3">
      <c r="B6" s="25" t="s">
        <v>25</v>
      </c>
      <c r="C6">
        <v>203.3</v>
      </c>
      <c r="D6">
        <v>0</v>
      </c>
      <c r="E6">
        <v>0</v>
      </c>
      <c r="F6">
        <v>0</v>
      </c>
      <c r="G6">
        <v>0</v>
      </c>
      <c r="K6" s="25" t="s">
        <v>65</v>
      </c>
      <c r="L6" s="119">
        <v>40.078000000000003</v>
      </c>
      <c r="M6" s="70">
        <v>2</v>
      </c>
      <c r="N6" s="70">
        <v>0</v>
      </c>
      <c r="P6" s="181" t="s">
        <v>120</v>
      </c>
      <c r="Q6">
        <v>205.64</v>
      </c>
      <c r="R6">
        <v>8</v>
      </c>
      <c r="T6" t="s">
        <v>196</v>
      </c>
      <c r="U6">
        <v>32.07</v>
      </c>
      <c r="W6" s="70"/>
    </row>
    <row r="7" spans="1:24" x14ac:dyDescent="0.3">
      <c r="B7" s="25" t="s">
        <v>77</v>
      </c>
      <c r="C7">
        <v>59.043999999999997</v>
      </c>
      <c r="D7">
        <v>2</v>
      </c>
      <c r="E7">
        <v>0</v>
      </c>
      <c r="F7">
        <v>0</v>
      </c>
      <c r="G7">
        <v>0</v>
      </c>
      <c r="K7" s="25" t="s">
        <v>66</v>
      </c>
      <c r="L7" s="119">
        <v>39.093800000000002</v>
      </c>
      <c r="M7" s="70">
        <v>1</v>
      </c>
      <c r="N7" s="70">
        <v>0</v>
      </c>
      <c r="P7" s="181" t="s">
        <v>121</v>
      </c>
      <c r="Q7">
        <v>337.27</v>
      </c>
      <c r="R7">
        <v>12</v>
      </c>
      <c r="T7" t="s">
        <v>51</v>
      </c>
      <c r="U7">
        <v>12.01</v>
      </c>
      <c r="W7" s="70" t="s">
        <v>48</v>
      </c>
    </row>
    <row r="8" spans="1:24" x14ac:dyDescent="0.3">
      <c r="B8" s="25" t="s">
        <v>29</v>
      </c>
      <c r="C8">
        <v>147.01</v>
      </c>
      <c r="D8">
        <v>0</v>
      </c>
      <c r="E8">
        <v>0</v>
      </c>
      <c r="F8">
        <v>0</v>
      </c>
      <c r="G8">
        <v>0</v>
      </c>
      <c r="K8" s="25" t="s">
        <v>67</v>
      </c>
      <c r="L8" s="119">
        <v>61.016800000000003</v>
      </c>
      <c r="M8" s="70">
        <v>-1</v>
      </c>
      <c r="N8" s="70">
        <v>1</v>
      </c>
      <c r="P8" s="181" t="s">
        <v>30</v>
      </c>
      <c r="Q8">
        <v>376.37</v>
      </c>
      <c r="R8">
        <v>17</v>
      </c>
      <c r="W8" s="69"/>
    </row>
    <row r="9" spans="1:24" x14ac:dyDescent="0.3">
      <c r="B9" s="30" t="s">
        <v>335</v>
      </c>
      <c r="C9">
        <v>161.9</v>
      </c>
      <c r="D9">
        <v>0</v>
      </c>
      <c r="E9">
        <v>0</v>
      </c>
      <c r="F9">
        <v>0</v>
      </c>
      <c r="G9">
        <v>0</v>
      </c>
      <c r="K9" s="25" t="s">
        <v>68</v>
      </c>
      <c r="L9" s="119">
        <v>79.903999999999996</v>
      </c>
      <c r="M9" s="70">
        <v>-1</v>
      </c>
      <c r="N9" s="70">
        <v>0</v>
      </c>
      <c r="P9" s="181" t="s">
        <v>34</v>
      </c>
      <c r="Q9">
        <v>123.11</v>
      </c>
      <c r="R9">
        <v>6</v>
      </c>
      <c r="W9" s="70" t="s">
        <v>296</v>
      </c>
      <c r="X9">
        <v>32.04</v>
      </c>
    </row>
    <row r="10" spans="1:24" x14ac:dyDescent="0.3">
      <c r="B10" s="30" t="s">
        <v>35</v>
      </c>
      <c r="C10">
        <v>237.93</v>
      </c>
      <c r="D10">
        <v>0</v>
      </c>
      <c r="E10">
        <v>0</v>
      </c>
      <c r="F10">
        <v>0</v>
      </c>
      <c r="G10">
        <v>0</v>
      </c>
      <c r="K10" s="25" t="s">
        <v>113</v>
      </c>
      <c r="L10" s="119">
        <v>58.81</v>
      </c>
      <c r="M10" s="70">
        <v>-3</v>
      </c>
      <c r="N10" s="70">
        <v>0</v>
      </c>
      <c r="P10" s="181" t="s">
        <v>122</v>
      </c>
      <c r="Q10">
        <v>476.53</v>
      </c>
      <c r="R10">
        <v>9</v>
      </c>
      <c r="T10" s="8"/>
    </row>
    <row r="11" spans="1:24" x14ac:dyDescent="0.3">
      <c r="B11" s="70" t="s">
        <v>176</v>
      </c>
      <c r="C11">
        <v>134.44999999999999</v>
      </c>
      <c r="D11">
        <v>0</v>
      </c>
      <c r="E11">
        <v>0</v>
      </c>
      <c r="F11">
        <v>0</v>
      </c>
      <c r="G11">
        <v>0</v>
      </c>
      <c r="K11" s="25" t="s">
        <v>69</v>
      </c>
      <c r="L11" s="119">
        <v>96.06</v>
      </c>
      <c r="M11" s="70">
        <v>-2</v>
      </c>
      <c r="N11" s="70">
        <v>0</v>
      </c>
      <c r="P11" s="181" t="s">
        <v>42</v>
      </c>
      <c r="Q11">
        <v>1355.37</v>
      </c>
      <c r="R11">
        <v>70</v>
      </c>
      <c r="S11" t="s">
        <v>329</v>
      </c>
      <c r="T11" s="8"/>
    </row>
    <row r="12" spans="1:24" x14ac:dyDescent="0.3">
      <c r="B12" s="70" t="s">
        <v>179</v>
      </c>
      <c r="C12">
        <v>170.48</v>
      </c>
      <c r="D12">
        <v>0</v>
      </c>
      <c r="E12">
        <v>0</v>
      </c>
      <c r="F12">
        <v>0</v>
      </c>
      <c r="G12">
        <v>0</v>
      </c>
      <c r="K12" s="25" t="s">
        <v>70</v>
      </c>
      <c r="L12" s="119">
        <v>35.453000000000003</v>
      </c>
      <c r="M12" s="70">
        <v>-1</v>
      </c>
      <c r="N12" s="70">
        <v>0</v>
      </c>
      <c r="P12" s="181" t="s">
        <v>45</v>
      </c>
      <c r="Q12">
        <v>137.13999999999999</v>
      </c>
      <c r="R12">
        <v>7</v>
      </c>
      <c r="T12" s="8"/>
    </row>
    <row r="13" spans="1:24" x14ac:dyDescent="0.3">
      <c r="B13" s="70" t="s">
        <v>39</v>
      </c>
      <c r="C13">
        <v>249.68</v>
      </c>
      <c r="D13">
        <v>0</v>
      </c>
      <c r="E13">
        <v>0</v>
      </c>
      <c r="F13">
        <v>0</v>
      </c>
      <c r="G13">
        <v>1</v>
      </c>
      <c r="K13" s="25" t="s">
        <v>71</v>
      </c>
      <c r="L13" s="119">
        <v>87.62</v>
      </c>
      <c r="M13" s="70">
        <v>2</v>
      </c>
      <c r="N13" s="70">
        <v>0</v>
      </c>
      <c r="P13" s="181" t="s">
        <v>123</v>
      </c>
      <c r="Q13">
        <v>206.33</v>
      </c>
      <c r="R13">
        <v>8</v>
      </c>
      <c r="T13" s="8"/>
    </row>
    <row r="14" spans="1:24" x14ac:dyDescent="0.3">
      <c r="B14" s="70" t="s">
        <v>358</v>
      </c>
      <c r="C14">
        <v>121.16</v>
      </c>
      <c r="D14">
        <v>3</v>
      </c>
      <c r="E14">
        <v>1</v>
      </c>
      <c r="F14">
        <v>0</v>
      </c>
      <c r="G14">
        <v>1</v>
      </c>
      <c r="K14" s="25" t="s">
        <v>112</v>
      </c>
      <c r="L14" s="119">
        <v>247.84</v>
      </c>
      <c r="M14" s="70">
        <v>-1</v>
      </c>
      <c r="N14" s="70">
        <v>0</v>
      </c>
      <c r="P14" s="25" t="s">
        <v>22</v>
      </c>
      <c r="Q14">
        <v>169.18</v>
      </c>
      <c r="R14">
        <v>8</v>
      </c>
      <c r="T14" s="8"/>
    </row>
    <row r="15" spans="1:24" x14ac:dyDescent="0.3">
      <c r="B15" s="70" t="s">
        <v>195</v>
      </c>
      <c r="C15">
        <v>175.63</v>
      </c>
      <c r="D15">
        <v>3</v>
      </c>
      <c r="E15">
        <v>1</v>
      </c>
      <c r="F15">
        <v>0</v>
      </c>
      <c r="G15">
        <v>1</v>
      </c>
      <c r="K15" s="25" t="s">
        <v>363</v>
      </c>
      <c r="L15" s="119">
        <v>247.84</v>
      </c>
      <c r="M15" s="70">
        <v>-2</v>
      </c>
      <c r="N15" s="70">
        <v>0</v>
      </c>
      <c r="P15" s="25" t="s">
        <v>26</v>
      </c>
      <c r="Q15">
        <v>265.36</v>
      </c>
      <c r="R15">
        <v>12</v>
      </c>
      <c r="T15" s="8"/>
    </row>
    <row r="16" spans="1:24" x14ac:dyDescent="0.3">
      <c r="B16" s="70" t="s">
        <v>85</v>
      </c>
      <c r="C16">
        <v>292.24</v>
      </c>
      <c r="D16">
        <v>10</v>
      </c>
      <c r="E16">
        <v>2</v>
      </c>
      <c r="F16">
        <v>0</v>
      </c>
      <c r="G16">
        <v>0</v>
      </c>
      <c r="K16" s="25" t="s">
        <v>72</v>
      </c>
      <c r="L16" s="119">
        <v>58.692999999999998</v>
      </c>
      <c r="M16" s="70">
        <v>2</v>
      </c>
      <c r="N16" s="70">
        <v>0</v>
      </c>
      <c r="P16" s="25" t="s">
        <v>38</v>
      </c>
      <c r="Q16">
        <v>476.53</v>
      </c>
      <c r="R16">
        <v>9</v>
      </c>
      <c r="T16" s="8"/>
    </row>
    <row r="17" spans="2:20" x14ac:dyDescent="0.3">
      <c r="B17" s="70" t="s">
        <v>359</v>
      </c>
      <c r="C17">
        <v>169.93</v>
      </c>
      <c r="D17">
        <v>0</v>
      </c>
      <c r="E17">
        <v>0</v>
      </c>
      <c r="F17">
        <v>0</v>
      </c>
      <c r="G17">
        <v>1</v>
      </c>
      <c r="K17" s="25" t="s">
        <v>73</v>
      </c>
      <c r="L17" s="119">
        <v>65.926034000000001</v>
      </c>
      <c r="M17" s="70">
        <v>2</v>
      </c>
      <c r="N17" s="70">
        <v>0</v>
      </c>
      <c r="P17" s="25" t="s">
        <v>49</v>
      </c>
      <c r="Q17">
        <v>206.33</v>
      </c>
      <c r="R17">
        <v>8</v>
      </c>
      <c r="T17" s="8"/>
    </row>
    <row r="18" spans="2:20" x14ac:dyDescent="0.3">
      <c r="B18" s="70" t="s">
        <v>59</v>
      </c>
      <c r="C18">
        <v>392.14</v>
      </c>
      <c r="D18">
        <v>0</v>
      </c>
      <c r="E18">
        <v>0</v>
      </c>
      <c r="F18">
        <v>0</v>
      </c>
      <c r="G18">
        <v>1</v>
      </c>
      <c r="K18" s="25" t="s">
        <v>74</v>
      </c>
      <c r="L18" s="119">
        <v>54.94</v>
      </c>
      <c r="M18" s="70">
        <v>2</v>
      </c>
      <c r="N18" s="70">
        <v>0</v>
      </c>
      <c r="P18" s="182" t="s">
        <v>288</v>
      </c>
      <c r="Q18">
        <v>206.33</v>
      </c>
      <c r="R18">
        <v>8</v>
      </c>
      <c r="T18" s="8"/>
    </row>
    <row r="19" spans="2:20" x14ac:dyDescent="0.3">
      <c r="B19" s="70" t="s">
        <v>389</v>
      </c>
      <c r="C19">
        <v>392.1388</v>
      </c>
      <c r="D19">
        <v>0</v>
      </c>
      <c r="E19">
        <v>2</v>
      </c>
      <c r="F19">
        <v>0</v>
      </c>
      <c r="G19">
        <v>2</v>
      </c>
      <c r="K19" s="25" t="s">
        <v>75</v>
      </c>
      <c r="L19" s="119">
        <v>58.933190000000003</v>
      </c>
      <c r="M19" s="70">
        <v>2</v>
      </c>
      <c r="N19" s="70">
        <v>0</v>
      </c>
      <c r="T19" s="8"/>
    </row>
    <row r="20" spans="2:20" x14ac:dyDescent="0.3">
      <c r="B20" s="70" t="s">
        <v>17</v>
      </c>
      <c r="C20">
        <v>392.14</v>
      </c>
      <c r="D20">
        <v>0</v>
      </c>
      <c r="E20">
        <v>2</v>
      </c>
      <c r="F20">
        <v>0</v>
      </c>
      <c r="G20">
        <v>2</v>
      </c>
      <c r="K20" s="25" t="s">
        <v>339</v>
      </c>
      <c r="L20" s="119">
        <v>1.0078400000000001</v>
      </c>
      <c r="M20" s="70">
        <v>1</v>
      </c>
      <c r="N20" s="70">
        <v>0</v>
      </c>
      <c r="P20" s="7"/>
      <c r="T20" s="8"/>
    </row>
    <row r="21" spans="2:20" x14ac:dyDescent="0.3">
      <c r="B21" s="35" t="s">
        <v>164</v>
      </c>
      <c r="C21">
        <v>198.81</v>
      </c>
      <c r="D21">
        <v>0</v>
      </c>
      <c r="E21">
        <v>0</v>
      </c>
      <c r="F21">
        <v>0</v>
      </c>
      <c r="G21">
        <v>0</v>
      </c>
      <c r="K21" s="25" t="s">
        <v>76</v>
      </c>
      <c r="L21" s="119">
        <v>159.94999999999999</v>
      </c>
      <c r="M21" s="70">
        <v>-2</v>
      </c>
      <c r="N21" s="70">
        <v>0</v>
      </c>
      <c r="T21" s="8"/>
    </row>
    <row r="22" spans="2:20" x14ac:dyDescent="0.3">
      <c r="B22" s="25" t="s">
        <v>158</v>
      </c>
      <c r="C22">
        <v>270.3</v>
      </c>
      <c r="D22">
        <v>0</v>
      </c>
      <c r="E22">
        <v>0</v>
      </c>
      <c r="F22">
        <v>0</v>
      </c>
      <c r="G22">
        <v>0</v>
      </c>
      <c r="K22" s="25" t="s">
        <v>77</v>
      </c>
      <c r="L22" s="119">
        <v>59.043999999999997</v>
      </c>
      <c r="M22" s="70">
        <v>-1</v>
      </c>
      <c r="N22" s="70">
        <v>2</v>
      </c>
      <c r="T22" s="8"/>
    </row>
    <row r="23" spans="2:20" x14ac:dyDescent="0.3">
      <c r="B23" s="25" t="s">
        <v>124</v>
      </c>
      <c r="C23">
        <v>36.46</v>
      </c>
      <c r="D23">
        <v>0</v>
      </c>
      <c r="E23">
        <v>0</v>
      </c>
      <c r="F23">
        <v>0</v>
      </c>
      <c r="G23">
        <v>0</v>
      </c>
      <c r="K23" s="25" t="s">
        <v>78</v>
      </c>
      <c r="L23" s="119">
        <v>18.04</v>
      </c>
      <c r="M23" s="70">
        <v>1</v>
      </c>
      <c r="N23" s="70">
        <v>0</v>
      </c>
      <c r="T23" s="8"/>
    </row>
    <row r="24" spans="2:20" x14ac:dyDescent="0.3">
      <c r="B24" s="25" t="s">
        <v>348</v>
      </c>
      <c r="C24">
        <v>98.085999999999999</v>
      </c>
      <c r="D24">
        <v>0</v>
      </c>
      <c r="E24">
        <v>0</v>
      </c>
      <c r="F24">
        <v>0</v>
      </c>
      <c r="G24">
        <v>1</v>
      </c>
      <c r="K24" s="30" t="s">
        <v>79</v>
      </c>
      <c r="L24" s="120">
        <v>18.998403162999999</v>
      </c>
      <c r="M24" s="70">
        <v>-1</v>
      </c>
      <c r="N24" s="70">
        <v>0</v>
      </c>
      <c r="T24" s="8"/>
    </row>
    <row r="25" spans="2:20" x14ac:dyDescent="0.3">
      <c r="B25" s="25" t="s">
        <v>31</v>
      </c>
      <c r="C25">
        <v>61.83</v>
      </c>
      <c r="D25">
        <v>0</v>
      </c>
      <c r="E25">
        <v>0</v>
      </c>
      <c r="F25">
        <v>0</v>
      </c>
      <c r="G25">
        <v>0</v>
      </c>
      <c r="K25" s="70" t="s">
        <v>80</v>
      </c>
      <c r="L25" s="121">
        <v>55.844999999999999</v>
      </c>
      <c r="M25" s="70">
        <v>2</v>
      </c>
      <c r="N25" s="70">
        <v>0</v>
      </c>
      <c r="T25" s="8"/>
    </row>
    <row r="26" spans="2:20" x14ac:dyDescent="0.3">
      <c r="B26" s="25" t="s">
        <v>337</v>
      </c>
      <c r="C26">
        <v>74.551299999999998</v>
      </c>
      <c r="D26">
        <v>0</v>
      </c>
      <c r="E26">
        <v>0</v>
      </c>
      <c r="F26">
        <v>0</v>
      </c>
      <c r="G26">
        <v>0</v>
      </c>
      <c r="K26" s="70" t="s">
        <v>114</v>
      </c>
      <c r="L26" s="121">
        <v>55.85</v>
      </c>
      <c r="M26" s="70">
        <v>3</v>
      </c>
      <c r="N26" s="70">
        <v>0</v>
      </c>
      <c r="T26" s="8"/>
    </row>
    <row r="27" spans="2:20" x14ac:dyDescent="0.3">
      <c r="B27" s="25" t="s">
        <v>347</v>
      </c>
      <c r="C27">
        <v>32.04</v>
      </c>
      <c r="D27">
        <v>1</v>
      </c>
      <c r="E27">
        <v>0</v>
      </c>
      <c r="F27">
        <v>0</v>
      </c>
      <c r="G27">
        <v>0</v>
      </c>
      <c r="K27" s="70" t="s">
        <v>118</v>
      </c>
      <c r="L27" s="121">
        <v>95.95</v>
      </c>
      <c r="M27" s="70">
        <v>6</v>
      </c>
      <c r="N27" s="70">
        <v>0</v>
      </c>
      <c r="T27" s="8"/>
    </row>
    <row r="28" spans="2:20" x14ac:dyDescent="0.3">
      <c r="B28" s="25" t="s">
        <v>338</v>
      </c>
      <c r="C28">
        <v>95.210999999999999</v>
      </c>
      <c r="D28">
        <v>0</v>
      </c>
      <c r="E28">
        <v>0</v>
      </c>
      <c r="F28">
        <v>0</v>
      </c>
      <c r="G28">
        <v>0</v>
      </c>
      <c r="K28" s="70" t="s">
        <v>114</v>
      </c>
      <c r="L28" s="121">
        <v>55.84</v>
      </c>
      <c r="M28" s="70">
        <v>3</v>
      </c>
      <c r="N28" s="70">
        <v>0</v>
      </c>
      <c r="T28" s="8"/>
    </row>
    <row r="29" spans="2:20" x14ac:dyDescent="0.3">
      <c r="B29" s="25" t="s">
        <v>25</v>
      </c>
      <c r="C29">
        <v>203.3</v>
      </c>
      <c r="D29">
        <v>0</v>
      </c>
      <c r="E29">
        <v>0</v>
      </c>
      <c r="F29">
        <v>0</v>
      </c>
      <c r="G29">
        <v>0</v>
      </c>
      <c r="K29" s="70" t="s">
        <v>81</v>
      </c>
      <c r="L29" s="121">
        <v>187.56</v>
      </c>
      <c r="M29" s="70">
        <v>2</v>
      </c>
      <c r="N29" s="70">
        <v>0</v>
      </c>
      <c r="T29" s="8"/>
    </row>
    <row r="30" spans="2:20" x14ac:dyDescent="0.3">
      <c r="B30" s="25" t="s">
        <v>290</v>
      </c>
      <c r="C30">
        <v>246.48</v>
      </c>
      <c r="D30">
        <v>0</v>
      </c>
      <c r="E30">
        <v>0</v>
      </c>
      <c r="F30">
        <v>0</v>
      </c>
      <c r="G30">
        <v>1</v>
      </c>
      <c r="K30" s="70" t="s">
        <v>111</v>
      </c>
      <c r="L30" s="121">
        <v>191.14</v>
      </c>
      <c r="M30" s="70">
        <v>-3</v>
      </c>
      <c r="N30" s="70">
        <v>6</v>
      </c>
      <c r="T30" s="8"/>
    </row>
    <row r="31" spans="2:20" x14ac:dyDescent="0.3">
      <c r="B31" s="25" t="s">
        <v>163</v>
      </c>
      <c r="C31">
        <v>197.91</v>
      </c>
      <c r="D31">
        <v>0</v>
      </c>
      <c r="E31">
        <v>0</v>
      </c>
      <c r="F31">
        <v>0</v>
      </c>
      <c r="G31">
        <v>0</v>
      </c>
      <c r="K31" s="70" t="s">
        <v>115</v>
      </c>
      <c r="L31" s="121">
        <v>126.968</v>
      </c>
      <c r="M31" s="70">
        <v>-2</v>
      </c>
      <c r="N31" s="70">
        <v>0</v>
      </c>
      <c r="T31" s="8"/>
    </row>
    <row r="32" spans="2:20" x14ac:dyDescent="0.3">
      <c r="B32" s="25" t="s">
        <v>46</v>
      </c>
      <c r="C32">
        <v>169.02</v>
      </c>
      <c r="D32">
        <v>0</v>
      </c>
      <c r="E32">
        <v>0</v>
      </c>
      <c r="F32">
        <v>0</v>
      </c>
      <c r="G32">
        <v>0</v>
      </c>
      <c r="K32" s="70" t="s">
        <v>299</v>
      </c>
      <c r="L32" s="121">
        <v>292.24380000000002</v>
      </c>
      <c r="M32" s="70">
        <v>-2</v>
      </c>
      <c r="N32" s="70">
        <v>10</v>
      </c>
      <c r="T32" s="8"/>
    </row>
    <row r="33" spans="1:20" x14ac:dyDescent="0.3">
      <c r="B33" s="25" t="s">
        <v>50</v>
      </c>
      <c r="C33">
        <v>241.95</v>
      </c>
      <c r="D33">
        <v>0</v>
      </c>
      <c r="E33">
        <v>0</v>
      </c>
      <c r="F33">
        <v>0</v>
      </c>
      <c r="G33">
        <v>0</v>
      </c>
      <c r="K33" s="70" t="s">
        <v>116</v>
      </c>
      <c r="L33" s="121">
        <v>78.959999999999994</v>
      </c>
      <c r="M33" s="70">
        <v>4</v>
      </c>
      <c r="N33" s="70">
        <v>0</v>
      </c>
      <c r="T33" s="8"/>
    </row>
    <row r="34" spans="1:20" x14ac:dyDescent="0.3">
      <c r="B34" s="25" t="s">
        <v>285</v>
      </c>
      <c r="C34">
        <v>82.03</v>
      </c>
      <c r="D34">
        <v>3</v>
      </c>
      <c r="E34">
        <v>0</v>
      </c>
      <c r="F34">
        <v>0</v>
      </c>
      <c r="G34">
        <v>0</v>
      </c>
      <c r="K34" s="70" t="s">
        <v>82</v>
      </c>
      <c r="L34" s="121">
        <v>94.97</v>
      </c>
      <c r="M34" s="70">
        <v>-3</v>
      </c>
      <c r="N34" s="70">
        <v>0</v>
      </c>
      <c r="T34" s="8"/>
    </row>
    <row r="35" spans="1:20" x14ac:dyDescent="0.3">
      <c r="B35" s="25" t="s">
        <v>33</v>
      </c>
      <c r="C35">
        <v>58.44</v>
      </c>
      <c r="D35">
        <v>0</v>
      </c>
      <c r="E35">
        <v>0</v>
      </c>
      <c r="F35">
        <v>0</v>
      </c>
      <c r="G35">
        <v>0</v>
      </c>
      <c r="K35" s="70" t="s">
        <v>84</v>
      </c>
      <c r="L35" s="121">
        <v>32.064999999999998</v>
      </c>
      <c r="M35" s="70">
        <v>-2</v>
      </c>
      <c r="N35" s="70">
        <v>0</v>
      </c>
      <c r="T35" s="8"/>
    </row>
    <row r="36" spans="1:20" x14ac:dyDescent="0.3">
      <c r="B36" s="25" t="s">
        <v>52</v>
      </c>
      <c r="C36">
        <v>84.01</v>
      </c>
      <c r="D36">
        <v>1</v>
      </c>
      <c r="E36">
        <v>0</v>
      </c>
      <c r="F36">
        <v>0</v>
      </c>
      <c r="G36">
        <v>0</v>
      </c>
      <c r="K36" s="70" t="s">
        <v>119</v>
      </c>
      <c r="L36" s="121">
        <v>60.01</v>
      </c>
      <c r="M36" s="70">
        <v>-2</v>
      </c>
      <c r="N36" s="70">
        <v>1</v>
      </c>
      <c r="T36" s="8"/>
    </row>
    <row r="37" spans="1:20" x14ac:dyDescent="0.3">
      <c r="B37" s="25" t="s">
        <v>286</v>
      </c>
      <c r="C37">
        <v>105.99</v>
      </c>
      <c r="D37">
        <v>1</v>
      </c>
      <c r="E37">
        <v>0</v>
      </c>
      <c r="F37">
        <v>0</v>
      </c>
      <c r="G37">
        <v>0</v>
      </c>
    </row>
    <row r="38" spans="1:20" x14ac:dyDescent="0.3">
      <c r="B38" s="25" t="s">
        <v>311</v>
      </c>
      <c r="C38">
        <v>336.21</v>
      </c>
      <c r="D38">
        <v>10</v>
      </c>
      <c r="E38">
        <v>2</v>
      </c>
      <c r="F38">
        <v>0</v>
      </c>
      <c r="G38">
        <v>0</v>
      </c>
      <c r="T38" s="7"/>
    </row>
    <row r="39" spans="1:20" x14ac:dyDescent="0.3">
      <c r="B39" s="25" t="s">
        <v>300</v>
      </c>
      <c r="C39">
        <v>257.08</v>
      </c>
      <c r="D39">
        <v>6</v>
      </c>
      <c r="E39">
        <v>1</v>
      </c>
      <c r="F39">
        <v>0</v>
      </c>
      <c r="G39">
        <v>0</v>
      </c>
    </row>
    <row r="40" spans="1:20" x14ac:dyDescent="0.3">
      <c r="B40" s="30" t="s">
        <v>125</v>
      </c>
      <c r="C40">
        <v>40</v>
      </c>
      <c r="D40">
        <v>0</v>
      </c>
      <c r="E40">
        <v>0</v>
      </c>
      <c r="F40">
        <v>0</v>
      </c>
      <c r="G40">
        <v>0</v>
      </c>
    </row>
    <row r="41" spans="1:20" x14ac:dyDescent="0.3">
      <c r="A41" t="s">
        <v>310</v>
      </c>
      <c r="B41" s="70" t="s">
        <v>309</v>
      </c>
      <c r="C41">
        <v>177.99</v>
      </c>
      <c r="D41">
        <v>0</v>
      </c>
      <c r="E41">
        <v>0</v>
      </c>
      <c r="F41">
        <v>1</v>
      </c>
      <c r="G41">
        <v>0</v>
      </c>
      <c r="T41" s="7"/>
    </row>
    <row r="42" spans="1:20" x14ac:dyDescent="0.3">
      <c r="B42" s="70" t="s">
        <v>362</v>
      </c>
      <c r="C42">
        <v>78.05</v>
      </c>
      <c r="D42">
        <v>0</v>
      </c>
      <c r="E42">
        <v>0</v>
      </c>
      <c r="F42">
        <v>0</v>
      </c>
      <c r="G42">
        <v>1</v>
      </c>
    </row>
    <row r="43" spans="1:20" x14ac:dyDescent="0.3">
      <c r="B43" s="70" t="s">
        <v>298</v>
      </c>
      <c r="C43">
        <v>240.18</v>
      </c>
      <c r="D43">
        <v>0</v>
      </c>
      <c r="E43">
        <v>0</v>
      </c>
      <c r="F43">
        <v>0</v>
      </c>
      <c r="G43">
        <v>1</v>
      </c>
    </row>
    <row r="44" spans="1:20" x14ac:dyDescent="0.3">
      <c r="A44" t="s">
        <v>303</v>
      </c>
      <c r="B44" s="70" t="s">
        <v>336</v>
      </c>
      <c r="C44">
        <v>172.94</v>
      </c>
      <c r="D44">
        <v>0</v>
      </c>
      <c r="E44">
        <v>0</v>
      </c>
      <c r="F44">
        <v>0</v>
      </c>
      <c r="G44">
        <v>0</v>
      </c>
    </row>
    <row r="45" spans="1:20" x14ac:dyDescent="0.3">
      <c r="B45" s="70" t="s">
        <v>192</v>
      </c>
      <c r="C45">
        <v>263.01</v>
      </c>
      <c r="D45">
        <v>0</v>
      </c>
      <c r="E45">
        <v>0</v>
      </c>
      <c r="F45">
        <v>0</v>
      </c>
      <c r="G45">
        <v>0</v>
      </c>
    </row>
    <row r="46" spans="1:20" x14ac:dyDescent="0.3">
      <c r="B46" s="70" t="s">
        <v>360</v>
      </c>
      <c r="C46">
        <v>293.82</v>
      </c>
      <c r="D46">
        <v>0</v>
      </c>
      <c r="E46">
        <v>0</v>
      </c>
      <c r="F46">
        <v>0</v>
      </c>
      <c r="G46">
        <v>0</v>
      </c>
    </row>
    <row r="47" spans="1:20" x14ac:dyDescent="0.3">
      <c r="A47" t="s">
        <v>301</v>
      </c>
      <c r="B47" s="70" t="s">
        <v>21</v>
      </c>
      <c r="C47">
        <v>53.49</v>
      </c>
      <c r="D47">
        <v>0</v>
      </c>
      <c r="E47">
        <v>1</v>
      </c>
      <c r="F47">
        <v>0</v>
      </c>
      <c r="G47">
        <v>0</v>
      </c>
    </row>
    <row r="48" spans="1:20" x14ac:dyDescent="0.3">
      <c r="B48" s="70" t="s">
        <v>302</v>
      </c>
      <c r="C48">
        <v>1235.8599999999999</v>
      </c>
      <c r="D48">
        <v>0</v>
      </c>
      <c r="E48">
        <v>6</v>
      </c>
      <c r="F48">
        <v>0</v>
      </c>
      <c r="G48">
        <v>0</v>
      </c>
    </row>
    <row r="49" spans="2:20" x14ac:dyDescent="0.3">
      <c r="B49" s="70" t="s">
        <v>43</v>
      </c>
      <c r="C49">
        <v>237.69</v>
      </c>
      <c r="D49">
        <v>0</v>
      </c>
      <c r="E49">
        <v>0</v>
      </c>
      <c r="F49">
        <v>0</v>
      </c>
      <c r="G49">
        <v>0</v>
      </c>
    </row>
    <row r="50" spans="2:20" x14ac:dyDescent="0.3">
      <c r="B50" s="35" t="s">
        <v>312</v>
      </c>
      <c r="C50">
        <v>191.14</v>
      </c>
      <c r="D50">
        <v>6</v>
      </c>
      <c r="E50">
        <v>1</v>
      </c>
      <c r="F50">
        <v>0</v>
      </c>
      <c r="G50">
        <v>0</v>
      </c>
    </row>
    <row r="51" spans="2:20" x14ac:dyDescent="0.3">
      <c r="B51" s="25" t="s">
        <v>168</v>
      </c>
      <c r="C51">
        <v>136.29</v>
      </c>
      <c r="D51">
        <v>0</v>
      </c>
      <c r="E51">
        <v>0</v>
      </c>
      <c r="F51">
        <v>0</v>
      </c>
      <c r="G51">
        <v>0</v>
      </c>
    </row>
    <row r="52" spans="2:20" x14ac:dyDescent="0.3">
      <c r="B52" s="25" t="s">
        <v>23</v>
      </c>
      <c r="C52">
        <v>287.52999999999997</v>
      </c>
      <c r="D52">
        <v>0</v>
      </c>
      <c r="E52">
        <v>0</v>
      </c>
      <c r="F52">
        <v>0</v>
      </c>
      <c r="G52">
        <v>1</v>
      </c>
    </row>
    <row r="53" spans="2:20" x14ac:dyDescent="0.3">
      <c r="B53" s="180" t="s">
        <v>27</v>
      </c>
      <c r="C53">
        <v>329.85</v>
      </c>
      <c r="D53">
        <v>0</v>
      </c>
      <c r="E53">
        <v>0</v>
      </c>
      <c r="F53">
        <v>0</v>
      </c>
      <c r="G53">
        <v>0</v>
      </c>
    </row>
    <row r="54" spans="2:20" x14ac:dyDescent="0.3">
      <c r="B54" s="7" t="s">
        <v>11</v>
      </c>
      <c r="C54" s="7" t="s">
        <v>100</v>
      </c>
      <c r="D54" s="7"/>
      <c r="E54" s="7"/>
      <c r="F54" s="7"/>
      <c r="G54" s="7"/>
    </row>
    <row r="55" spans="2:20" x14ac:dyDescent="0.3">
      <c r="B55" s="70" t="s">
        <v>15</v>
      </c>
      <c r="C55">
        <v>244.31</v>
      </c>
      <c r="D55">
        <v>10</v>
      </c>
      <c r="E55">
        <v>2</v>
      </c>
      <c r="F55">
        <v>0</v>
      </c>
      <c r="G55">
        <v>1</v>
      </c>
    </row>
    <row r="56" spans="2:20" x14ac:dyDescent="0.3">
      <c r="B56" s="70" t="s">
        <v>19</v>
      </c>
      <c r="C56">
        <v>441.4</v>
      </c>
      <c r="D56">
        <v>19</v>
      </c>
      <c r="E56">
        <v>7</v>
      </c>
      <c r="F56">
        <v>0</v>
      </c>
      <c r="G56">
        <v>0</v>
      </c>
    </row>
    <row r="57" spans="2:20" x14ac:dyDescent="0.3">
      <c r="B57" s="70" t="s">
        <v>120</v>
      </c>
      <c r="C57">
        <v>205.64</v>
      </c>
      <c r="D57">
        <v>8</v>
      </c>
      <c r="E57">
        <v>1</v>
      </c>
      <c r="F57">
        <v>0</v>
      </c>
      <c r="G57">
        <v>0</v>
      </c>
    </row>
    <row r="58" spans="2:20" x14ac:dyDescent="0.3">
      <c r="B58" s="70" t="s">
        <v>121</v>
      </c>
      <c r="C58">
        <v>337.27</v>
      </c>
      <c r="D58">
        <v>12</v>
      </c>
      <c r="E58">
        <v>2</v>
      </c>
      <c r="F58">
        <v>0</v>
      </c>
      <c r="G58">
        <v>1</v>
      </c>
    </row>
    <row r="59" spans="2:20" x14ac:dyDescent="0.3">
      <c r="B59" s="70" t="s">
        <v>30</v>
      </c>
      <c r="C59">
        <v>376.37</v>
      </c>
      <c r="D59">
        <v>17</v>
      </c>
      <c r="E59">
        <v>4</v>
      </c>
      <c r="F59">
        <v>0</v>
      </c>
      <c r="G59">
        <v>0</v>
      </c>
    </row>
    <row r="60" spans="2:20" x14ac:dyDescent="0.3">
      <c r="B60" s="70" t="s">
        <v>34</v>
      </c>
      <c r="C60">
        <v>123.11</v>
      </c>
      <c r="D60">
        <v>6</v>
      </c>
      <c r="E60">
        <v>1</v>
      </c>
      <c r="F60">
        <v>0</v>
      </c>
      <c r="G60">
        <v>0</v>
      </c>
    </row>
    <row r="61" spans="2:20" x14ac:dyDescent="0.3">
      <c r="B61" s="70" t="s">
        <v>122</v>
      </c>
      <c r="C61">
        <v>476.53</v>
      </c>
      <c r="D61">
        <v>9</v>
      </c>
      <c r="E61">
        <v>1</v>
      </c>
      <c r="F61">
        <v>0</v>
      </c>
      <c r="G61">
        <v>0</v>
      </c>
    </row>
    <row r="62" spans="2:20" x14ac:dyDescent="0.3">
      <c r="B62" s="70" t="s">
        <v>42</v>
      </c>
      <c r="C62">
        <v>1355.37</v>
      </c>
      <c r="D62">
        <v>70</v>
      </c>
      <c r="E62">
        <v>14</v>
      </c>
      <c r="F62">
        <v>0</v>
      </c>
      <c r="G62">
        <v>1</v>
      </c>
    </row>
    <row r="63" spans="2:20" x14ac:dyDescent="0.3">
      <c r="B63" s="70" t="s">
        <v>45</v>
      </c>
      <c r="C63">
        <v>137.13999999999999</v>
      </c>
      <c r="D63">
        <v>7</v>
      </c>
      <c r="E63">
        <v>1</v>
      </c>
      <c r="F63">
        <v>0</v>
      </c>
      <c r="G63">
        <v>0</v>
      </c>
    </row>
    <row r="64" spans="2:20" x14ac:dyDescent="0.3">
      <c r="B64" s="70" t="s">
        <v>123</v>
      </c>
      <c r="C64">
        <v>206.33</v>
      </c>
      <c r="D64">
        <v>8</v>
      </c>
      <c r="E64">
        <v>0</v>
      </c>
      <c r="F64">
        <v>0</v>
      </c>
      <c r="G64">
        <v>2</v>
      </c>
      <c r="T64" s="35"/>
    </row>
    <row r="65" spans="2:20" x14ac:dyDescent="0.3">
      <c r="B65" s="70" t="s">
        <v>22</v>
      </c>
      <c r="C65">
        <v>169.18</v>
      </c>
      <c r="D65">
        <v>8</v>
      </c>
      <c r="E65">
        <v>1</v>
      </c>
      <c r="F65">
        <v>0</v>
      </c>
      <c r="G65">
        <v>0</v>
      </c>
      <c r="T65" s="20" t="s">
        <v>287</v>
      </c>
    </row>
    <row r="66" spans="2:20" x14ac:dyDescent="0.3">
      <c r="B66" s="70" t="s">
        <v>26</v>
      </c>
      <c r="C66">
        <v>265.36</v>
      </c>
      <c r="D66">
        <v>12</v>
      </c>
      <c r="E66">
        <v>2</v>
      </c>
      <c r="F66">
        <v>0</v>
      </c>
      <c r="G66">
        <v>1</v>
      </c>
      <c r="T66" s="25" t="s">
        <v>15</v>
      </c>
    </row>
    <row r="67" spans="2:20" x14ac:dyDescent="0.3">
      <c r="B67" s="70" t="s">
        <v>38</v>
      </c>
      <c r="C67">
        <v>476.53</v>
      </c>
      <c r="D67">
        <v>9</v>
      </c>
      <c r="E67">
        <v>1</v>
      </c>
      <c r="F67">
        <v>0</v>
      </c>
      <c r="G67">
        <v>0</v>
      </c>
      <c r="T67" s="25" t="s">
        <v>19</v>
      </c>
    </row>
    <row r="68" spans="2:20" x14ac:dyDescent="0.3">
      <c r="B68" s="70" t="s">
        <v>49</v>
      </c>
      <c r="C68">
        <v>206.33</v>
      </c>
      <c r="D68">
        <v>8</v>
      </c>
      <c r="E68">
        <v>0</v>
      </c>
      <c r="F68">
        <v>0</v>
      </c>
      <c r="G68">
        <v>2</v>
      </c>
      <c r="T68" s="25" t="s">
        <v>120</v>
      </c>
    </row>
    <row r="69" spans="2:20" x14ac:dyDescent="0.3">
      <c r="B69" s="70" t="s">
        <v>288</v>
      </c>
      <c r="C69">
        <v>206.33</v>
      </c>
      <c r="D69">
        <v>8</v>
      </c>
      <c r="E69">
        <v>0</v>
      </c>
      <c r="F69">
        <v>0</v>
      </c>
      <c r="G69">
        <v>2</v>
      </c>
      <c r="T69" s="25" t="s">
        <v>121</v>
      </c>
    </row>
    <row r="70" spans="2:20" x14ac:dyDescent="0.3">
      <c r="B70" s="7" t="s">
        <v>408</v>
      </c>
      <c r="D70" s="7" t="s">
        <v>51</v>
      </c>
      <c r="E70" s="7" t="s">
        <v>47</v>
      </c>
      <c r="F70" s="7" t="s">
        <v>44</v>
      </c>
      <c r="G70" s="7" t="s">
        <v>196</v>
      </c>
      <c r="T70" s="25" t="s">
        <v>30</v>
      </c>
    </row>
    <row r="71" spans="2:20" x14ac:dyDescent="0.3">
      <c r="B71" s="70" t="s">
        <v>293</v>
      </c>
      <c r="T71" s="25" t="s">
        <v>34</v>
      </c>
    </row>
    <row r="72" spans="2:20" x14ac:dyDescent="0.3">
      <c r="B72" s="70" t="s">
        <v>409</v>
      </c>
      <c r="T72" s="25" t="s">
        <v>122</v>
      </c>
    </row>
    <row r="73" spans="2:20" x14ac:dyDescent="0.3">
      <c r="B73" s="70" t="s">
        <v>295</v>
      </c>
      <c r="T73" s="25" t="s">
        <v>42</v>
      </c>
    </row>
    <row r="74" spans="2:20" x14ac:dyDescent="0.3">
      <c r="B74" s="70" t="s">
        <v>296</v>
      </c>
      <c r="C74">
        <v>32.04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2D546-003D-4FAC-8EEB-A65EB9248CA5}">
  <sheetPr>
    <tabColor rgb="FFFF0000"/>
    <pageSetUpPr fitToPage="1"/>
  </sheetPr>
  <dimension ref="A1:AE129"/>
  <sheetViews>
    <sheetView workbookViewId="0">
      <selection activeCell="H36" sqref="H36"/>
    </sheetView>
  </sheetViews>
  <sheetFormatPr defaultColWidth="9.109375" defaultRowHeight="15" customHeight="1" x14ac:dyDescent="0.3"/>
  <cols>
    <col min="1" max="1" width="48.109375" customWidth="1"/>
    <col min="2" max="2" width="12.44140625" customWidth="1"/>
    <col min="3" max="3" width="11.44140625" customWidth="1"/>
    <col min="4" max="4" width="7.5546875" customWidth="1"/>
    <col min="5" max="5" width="11.109375" customWidth="1"/>
    <col min="6" max="6" width="10.44140625" customWidth="1"/>
    <col min="7" max="7" width="10.33203125" customWidth="1"/>
    <col min="8" max="8" width="12" customWidth="1"/>
    <col min="9" max="9" width="15.109375" customWidth="1"/>
    <col min="10" max="11" width="16.44140625" customWidth="1"/>
    <col min="12" max="13" width="11.88671875" customWidth="1"/>
    <col min="14" max="16" width="9.109375" bestFit="1" customWidth="1"/>
    <col min="20" max="20" width="12.109375" customWidth="1"/>
    <col min="21" max="21" width="11.88671875" customWidth="1"/>
    <col min="27" max="27" width="12" bestFit="1" customWidth="1"/>
  </cols>
  <sheetData>
    <row r="1" spans="1:31" ht="14.4" customHeight="1" x14ac:dyDescent="0.35">
      <c r="A1" s="47" t="s">
        <v>90</v>
      </c>
    </row>
    <row r="2" spans="1:31" ht="14.4" x14ac:dyDescent="0.3"/>
    <row r="3" spans="1:31" ht="14.4" x14ac:dyDescent="0.3">
      <c r="A3" s="7" t="s">
        <v>91</v>
      </c>
      <c r="B3" s="7" t="s">
        <v>92</v>
      </c>
      <c r="C3" s="7" t="s">
        <v>3</v>
      </c>
      <c r="D3" s="7" t="s">
        <v>93</v>
      </c>
    </row>
    <row r="4" spans="1:31" ht="14.4" x14ac:dyDescent="0.3">
      <c r="A4" t="s">
        <v>94</v>
      </c>
      <c r="B4">
        <v>995</v>
      </c>
      <c r="C4" s="8">
        <f>B69</f>
        <v>195.35409810752253</v>
      </c>
      <c r="D4" s="9">
        <f>B4/1000</f>
        <v>0.995</v>
      </c>
    </row>
    <row r="5" spans="1:31" ht="14.4" x14ac:dyDescent="0.3">
      <c r="A5" t="s">
        <v>95</v>
      </c>
      <c r="B5">
        <v>5</v>
      </c>
      <c r="C5" s="8" t="e">
        <f>#REF!</f>
        <v>#REF!</v>
      </c>
      <c r="D5" s="9">
        <f>B5/1000</f>
        <v>5.0000000000000001E-3</v>
      </c>
    </row>
    <row r="6" spans="1:31" thickBot="1" x14ac:dyDescent="0.35"/>
    <row r="7" spans="1:31" ht="15" customHeight="1" thickBot="1" x14ac:dyDescent="0.35">
      <c r="F7" s="136" t="s">
        <v>98</v>
      </c>
      <c r="G7" s="137"/>
      <c r="H7" s="137"/>
      <c r="I7" s="137"/>
      <c r="J7" s="137"/>
      <c r="K7" s="137"/>
      <c r="L7" s="137"/>
      <c r="M7" s="194" t="s">
        <v>99</v>
      </c>
      <c r="N7" s="195"/>
      <c r="O7" s="196"/>
      <c r="P7" s="196"/>
      <c r="Q7" s="196"/>
      <c r="R7" s="196"/>
      <c r="S7" s="197"/>
      <c r="T7" s="52" t="s">
        <v>51</v>
      </c>
      <c r="U7" s="221" t="s">
        <v>47</v>
      </c>
      <c r="V7" s="221" t="s">
        <v>44</v>
      </c>
      <c r="W7" s="222" t="s">
        <v>196</v>
      </c>
      <c r="X7" s="52" t="s">
        <v>51</v>
      </c>
      <c r="Y7" s="221" t="s">
        <v>47</v>
      </c>
      <c r="Z7" s="221" t="s">
        <v>44</v>
      </c>
      <c r="AA7" s="222" t="s">
        <v>196</v>
      </c>
      <c r="AB7" s="52" t="s">
        <v>51</v>
      </c>
      <c r="AC7" s="221" t="s">
        <v>47</v>
      </c>
      <c r="AD7" s="221" t="s">
        <v>44</v>
      </c>
      <c r="AE7" s="222" t="s">
        <v>196</v>
      </c>
    </row>
    <row r="8" spans="1:31" ht="14.4" x14ac:dyDescent="0.3">
      <c r="A8" s="13" t="s">
        <v>341</v>
      </c>
      <c r="B8" s="14" t="s">
        <v>100</v>
      </c>
      <c r="C8" s="15" t="s">
        <v>102</v>
      </c>
      <c r="D8" s="16" t="s">
        <v>8</v>
      </c>
      <c r="E8" s="16" t="s">
        <v>103</v>
      </c>
      <c r="F8" s="17" t="s">
        <v>98</v>
      </c>
      <c r="G8" s="17" t="s">
        <v>104</v>
      </c>
      <c r="H8" s="17" t="s">
        <v>105</v>
      </c>
      <c r="I8" s="17" t="s">
        <v>106</v>
      </c>
      <c r="J8" s="179" t="s">
        <v>107</v>
      </c>
      <c r="K8" s="179" t="s">
        <v>318</v>
      </c>
      <c r="L8" s="37" t="s">
        <v>108</v>
      </c>
      <c r="M8" s="198" t="s">
        <v>99</v>
      </c>
      <c r="N8" s="85" t="s">
        <v>104</v>
      </c>
      <c r="O8" s="20" t="s">
        <v>105</v>
      </c>
      <c r="P8" s="40" t="s">
        <v>109</v>
      </c>
      <c r="Q8" s="40" t="s">
        <v>107</v>
      </c>
      <c r="R8" s="179" t="s">
        <v>318</v>
      </c>
      <c r="S8" s="199" t="s">
        <v>110</v>
      </c>
      <c r="T8" s="215" t="s">
        <v>104</v>
      </c>
      <c r="U8" s="184"/>
      <c r="V8" s="184"/>
      <c r="W8" s="216"/>
      <c r="X8" s="215" t="s">
        <v>61</v>
      </c>
      <c r="Y8" s="184"/>
      <c r="Z8" s="184"/>
      <c r="AA8" s="216"/>
      <c r="AB8" s="215" t="s">
        <v>334</v>
      </c>
      <c r="AC8" s="184"/>
      <c r="AD8" s="184"/>
      <c r="AE8" s="216"/>
    </row>
    <row r="9" spans="1:31" ht="14.4" x14ac:dyDescent="0.3">
      <c r="A9" s="20" t="s">
        <v>342</v>
      </c>
      <c r="B9" s="25"/>
      <c r="C9" s="26"/>
      <c r="D9" s="26"/>
      <c r="E9" s="26"/>
      <c r="F9" s="25"/>
      <c r="G9" s="25"/>
      <c r="H9" s="25"/>
      <c r="I9" s="25"/>
      <c r="J9" s="178"/>
      <c r="K9" s="183"/>
      <c r="L9" s="28"/>
      <c r="M9" s="86"/>
      <c r="N9" s="27"/>
      <c r="O9" s="25"/>
      <c r="P9" s="25"/>
      <c r="Q9" s="25"/>
      <c r="R9" s="25"/>
      <c r="S9" s="200"/>
      <c r="T9" s="217"/>
      <c r="U9" s="185"/>
      <c r="V9" s="185"/>
      <c r="W9" s="218"/>
      <c r="X9" s="217"/>
      <c r="Y9" s="185"/>
      <c r="Z9" s="185"/>
      <c r="AA9" s="218"/>
      <c r="AB9" s="217"/>
      <c r="AC9" s="185"/>
      <c r="AD9" s="185"/>
      <c r="AE9" s="218"/>
    </row>
    <row r="10" spans="1:31" ht="14.4" x14ac:dyDescent="0.3">
      <c r="A10" s="25" t="s">
        <v>307</v>
      </c>
      <c r="B10" s="25">
        <f>IFERROR(VLOOKUP(A10,Library!$B$4:$G$69,2,FALSE),"")</f>
        <v>136.09</v>
      </c>
      <c r="C10" s="26">
        <f>VLOOKUP(A10,'DSMZ 120 v1'!$F$5:$G$21,2,FALSE)*1000/'DSMZ 120 v1'!$G$23</f>
        <v>0.35</v>
      </c>
      <c r="D10" s="26" t="s">
        <v>97</v>
      </c>
      <c r="E10" s="26">
        <f>IF(D10="g/L",C10/B10,IF(D10="mg/L",C10/(1000*B10),IF(D10="ug/L",C10/(1000000*B10),"error")))</f>
        <v>2.5718274671173488E-3</v>
      </c>
      <c r="F10" s="25" t="s">
        <v>66</v>
      </c>
      <c r="G10" s="25">
        <v>1</v>
      </c>
      <c r="H10" s="25">
        <f>VLOOKUP(F10,Library!$K$4:$N$36,3,FALSE)</f>
        <v>1</v>
      </c>
      <c r="I10" s="25">
        <f>E10*G10</f>
        <v>2.5718274671173488E-3</v>
      </c>
      <c r="J10" s="178">
        <f>IF(F10="N/A",0,VLOOKUP(F10,Library!$K$4:$M$36,2,FALSE))</f>
        <v>39.093800000000002</v>
      </c>
      <c r="K10" s="183">
        <f>I10*(H10^2)</f>
        <v>2.5718274671173488E-3</v>
      </c>
      <c r="L10" s="28">
        <f>I10*J10</f>
        <v>0.10054250863399221</v>
      </c>
      <c r="M10" s="86" t="s">
        <v>82</v>
      </c>
      <c r="N10" s="27">
        <v>1</v>
      </c>
      <c r="O10" s="25">
        <f>IFERROR(VLOOKUP(M10,Library!$K$4:$M$36,3,FALSE),"")</f>
        <v>-3</v>
      </c>
      <c r="P10" s="25">
        <f>E10*N10</f>
        <v>2.5718274671173488E-3</v>
      </c>
      <c r="Q10" s="25">
        <f>IFERROR(IF(M10="N/A",0,VLOOKUP(M10,Library!$K$4:$N$36,2,FALSE)),"")</f>
        <v>94.97</v>
      </c>
      <c r="R10" s="25">
        <f>IFERROR(P10*(O10^2),"")</f>
        <v>2.3146447204056141E-2</v>
      </c>
      <c r="S10" s="200">
        <f>IFERROR(P10*Q10,"")</f>
        <v>0.24424645455213462</v>
      </c>
      <c r="T10" s="217">
        <f>VLOOKUP(A10,Library!$B$4:$G$69,3,FALSE)</f>
        <v>0</v>
      </c>
      <c r="U10" s="185">
        <f>VLOOKUP(A10,Library!$B$4:$G$69,4,FALSE)</f>
        <v>0</v>
      </c>
      <c r="V10" s="185">
        <f>VLOOKUP(A10,Library!$B$4:$G$69,5,FALSE)</f>
        <v>1</v>
      </c>
      <c r="W10" s="218">
        <f>VLOOKUP(A10,Library!$B$4:$G$69,6,FALSE)</f>
        <v>0</v>
      </c>
      <c r="X10" s="217">
        <f>T10*E10</f>
        <v>0</v>
      </c>
      <c r="Y10" s="185">
        <f>U10*E10</f>
        <v>0</v>
      </c>
      <c r="Z10" s="185">
        <f>V10*E10</f>
        <v>2.5718274671173488E-3</v>
      </c>
      <c r="AA10" s="218">
        <f>W10*E10</f>
        <v>0</v>
      </c>
      <c r="AB10" s="217">
        <f>X10*VLOOKUP($AB$7,Library!$T$4:$U$7,2,FALSE)</f>
        <v>0</v>
      </c>
      <c r="AC10" s="185">
        <f>Y10*VLOOKUP($AC$7,Library!$T$4:$U$7,2,FALSE)</f>
        <v>0</v>
      </c>
      <c r="AD10" s="185">
        <f>Z10*VLOOKUP($AD$7,Library!$T$4:$U$7,2,FALSE)</f>
        <v>7.9649496656624283E-2</v>
      </c>
      <c r="AE10" s="218">
        <f>AA10*VLOOKUP($AE$7,Library!$T$4:$U$7,2,FALSE)</f>
        <v>0</v>
      </c>
    </row>
    <row r="11" spans="1:31" ht="14.4" x14ac:dyDescent="0.3">
      <c r="A11" s="25" t="s">
        <v>308</v>
      </c>
      <c r="B11" s="25">
        <f>IFERROR(VLOOKUP(A11,Library!$B$4:$G$69,2,FALSE),"")</f>
        <v>174.18</v>
      </c>
      <c r="C11" s="26">
        <f>VLOOKUP(A11,'DSMZ 120 v1'!$F$5:$G$21,2,FALSE)*1000/'DSMZ 120 v1'!$G$23</f>
        <v>0.23</v>
      </c>
      <c r="D11" s="41" t="s">
        <v>97</v>
      </c>
      <c r="E11" s="26">
        <f t="shared" ref="E11:E49" si="0">IF(D11="g/L",C11/B11,IF(D11="mg/L",C11/(1000*B11),IF(D11="ug/L",C11/(1000000*B11),"error")))</f>
        <v>1.3204730738316684E-3</v>
      </c>
      <c r="F11" s="25" t="s">
        <v>66</v>
      </c>
      <c r="G11" s="28">
        <v>2</v>
      </c>
      <c r="H11" s="25">
        <f>VLOOKUP(F11,Library!$K$4:$N$36,3,FALSE)</f>
        <v>1</v>
      </c>
      <c r="I11" s="25">
        <f t="shared" ref="I11:I37" si="1">E11*G11</f>
        <v>2.6409461476633368E-3</v>
      </c>
      <c r="J11" s="178">
        <f>IF(F11="N/A",0,VLOOKUP(F11,Library!$K$4:$M$36,2,FALSE))</f>
        <v>39.093800000000002</v>
      </c>
      <c r="K11" s="183">
        <f t="shared" ref="K11:K31" si="2">I11*(H11^2)</f>
        <v>2.6409461476633368E-3</v>
      </c>
      <c r="L11" s="28">
        <f t="shared" ref="L11:L31" si="3">I11*J11</f>
        <v>0.10324462050752096</v>
      </c>
      <c r="M11" s="86" t="s">
        <v>82</v>
      </c>
      <c r="N11" s="25">
        <v>1</v>
      </c>
      <c r="O11" s="25">
        <f>IFERROR(VLOOKUP(M11,Library!$K$4:$M$36,3,FALSE),"")</f>
        <v>-3</v>
      </c>
      <c r="P11" s="25">
        <f t="shared" ref="P11:P37" si="4">E11*N11</f>
        <v>1.3204730738316684E-3</v>
      </c>
      <c r="Q11" s="25">
        <f>IFERROR(IF(M11="N/A",0,VLOOKUP(M11,Library!$K$4:$N$36,2,FALSE)),"")</f>
        <v>94.97</v>
      </c>
      <c r="R11" s="25">
        <f t="shared" ref="R11:R37" si="5">IFERROR(P11*(O11^2),"")</f>
        <v>1.1884257664485016E-2</v>
      </c>
      <c r="S11" s="200">
        <f t="shared" ref="S11:S37" si="6">IFERROR(P11*Q11,"")</f>
        <v>0.12540532782179353</v>
      </c>
      <c r="T11" s="217">
        <f>VLOOKUP(A11,Library!$B$4:$G$69,3,FALSE)</f>
        <v>0</v>
      </c>
      <c r="U11" s="185">
        <f>VLOOKUP(A11,Library!$B$4:$G$69,4,FALSE)</f>
        <v>0</v>
      </c>
      <c r="V11" s="185">
        <f>VLOOKUP(A11,Library!$B$4:$G$69,5,FALSE)</f>
        <v>1</v>
      </c>
      <c r="W11" s="218">
        <f>VLOOKUP(A11,Library!$B$4:$G$69,6,FALSE)</f>
        <v>0</v>
      </c>
      <c r="X11" s="217">
        <f t="shared" ref="X11:X15" si="7">T11*E11</f>
        <v>0</v>
      </c>
      <c r="Y11" s="185">
        <f t="shared" ref="Y11:Y15" si="8">U11*E11</f>
        <v>0</v>
      </c>
      <c r="Z11" s="185">
        <f t="shared" ref="Z11:Z15" si="9">V11*E11</f>
        <v>1.3204730738316684E-3</v>
      </c>
      <c r="AA11" s="218">
        <f t="shared" ref="AA11:AA15" si="10">W11*E11</f>
        <v>0</v>
      </c>
      <c r="AB11" s="217">
        <f>X11*VLOOKUP($AB$7,Library!$T$4:$U$7,2,FALSE)</f>
        <v>0</v>
      </c>
      <c r="AC11" s="185">
        <f>Y11*VLOOKUP($AC$7,Library!$T$4:$U$7,2,FALSE)</f>
        <v>0</v>
      </c>
      <c r="AD11" s="185">
        <f>Z11*VLOOKUP($AD$7,Library!$T$4:$U$7,2,FALSE)</f>
        <v>4.089505109656677E-2</v>
      </c>
      <c r="AE11" s="218">
        <f>AA11*VLOOKUP($AE$7,Library!$T$4:$U$7,2,FALSE)</f>
        <v>0</v>
      </c>
    </row>
    <row r="12" spans="1:31" ht="14.4" x14ac:dyDescent="0.3">
      <c r="A12" s="25" t="s">
        <v>21</v>
      </c>
      <c r="B12" s="25">
        <f>IFERROR(VLOOKUP(A12,Library!$B$4:$G$69,2,FALSE),"")</f>
        <v>53.49</v>
      </c>
      <c r="C12" s="26">
        <f>VLOOKUP(A12,'DSMZ 120 v1'!$F$5:$G$21,2,FALSE)*1000/'DSMZ 120 v1'!$G$23</f>
        <v>0.5</v>
      </c>
      <c r="D12" s="41" t="s">
        <v>97</v>
      </c>
      <c r="E12" s="26">
        <f t="shared" si="0"/>
        <v>9.3475415965601043E-3</v>
      </c>
      <c r="F12" s="25" t="s">
        <v>78</v>
      </c>
      <c r="G12" s="28">
        <v>1</v>
      </c>
      <c r="H12" s="25">
        <f>VLOOKUP(F12,Library!$K$4:$N$36,3,FALSE)</f>
        <v>1</v>
      </c>
      <c r="I12" s="25">
        <f t="shared" si="1"/>
        <v>9.3475415965601043E-3</v>
      </c>
      <c r="J12" s="178">
        <f>IF(F12="N/A",0,VLOOKUP(F12,Library!$K$4:$M$36,2,FALSE))</f>
        <v>18.04</v>
      </c>
      <c r="K12" s="183">
        <f t="shared" si="2"/>
        <v>9.3475415965601043E-3</v>
      </c>
      <c r="L12" s="28">
        <f t="shared" si="3"/>
        <v>0.16862965040194428</v>
      </c>
      <c r="M12" s="25" t="s">
        <v>70</v>
      </c>
      <c r="N12" s="25">
        <v>1</v>
      </c>
      <c r="O12" s="25">
        <f>IFERROR(VLOOKUP(M12,Library!$K$4:$M$36,3,FALSE),"")</f>
        <v>-1</v>
      </c>
      <c r="P12" s="25">
        <f t="shared" si="4"/>
        <v>9.3475415965601043E-3</v>
      </c>
      <c r="Q12" s="25">
        <f>IFERROR(IF(M12="N/A",0,VLOOKUP(M12,Library!$K$4:$N$36,2,FALSE)),"")</f>
        <v>35.453000000000003</v>
      </c>
      <c r="R12" s="25">
        <f t="shared" si="5"/>
        <v>9.3475415965601043E-3</v>
      </c>
      <c r="S12" s="200">
        <f t="shared" si="6"/>
        <v>0.33139839222284539</v>
      </c>
      <c r="T12" s="217">
        <f>VLOOKUP(A12,Library!$B$4:$G$69,3,FALSE)</f>
        <v>0</v>
      </c>
      <c r="U12" s="185">
        <f>VLOOKUP(A12,Library!$B$4:$G$69,4,FALSE)</f>
        <v>1</v>
      </c>
      <c r="V12" s="185">
        <f>VLOOKUP(A12,Library!$B$4:$G$69,5,FALSE)</f>
        <v>0</v>
      </c>
      <c r="W12" s="218">
        <f>VLOOKUP(A12,Library!$B$4:$G$69,6,FALSE)</f>
        <v>0</v>
      </c>
      <c r="X12" s="217">
        <f t="shared" si="7"/>
        <v>0</v>
      </c>
      <c r="Y12" s="185">
        <f t="shared" si="8"/>
        <v>9.3475415965601043E-3</v>
      </c>
      <c r="Z12" s="185">
        <f t="shared" si="9"/>
        <v>0</v>
      </c>
      <c r="AA12" s="218">
        <f t="shared" si="10"/>
        <v>0</v>
      </c>
      <c r="AB12" s="217">
        <f>X12*VLOOKUP($AB$7,Library!$T$4:$U$7,2,FALSE)</f>
        <v>0</v>
      </c>
      <c r="AC12" s="185">
        <f>Y12*VLOOKUP($AC$7,Library!$T$4:$U$7,2,FALSE)</f>
        <v>0.13095905776780706</v>
      </c>
      <c r="AD12" s="185">
        <f>Z12*VLOOKUP($AD$7,Library!$T$4:$U$7,2,FALSE)</f>
        <v>0</v>
      </c>
      <c r="AE12" s="218">
        <f>AA12*VLOOKUP($AE$7,Library!$T$4:$U$7,2,FALSE)</f>
        <v>0</v>
      </c>
    </row>
    <row r="13" spans="1:31" ht="14.4" x14ac:dyDescent="0.3">
      <c r="A13" s="25" t="s">
        <v>290</v>
      </c>
      <c r="B13" s="25">
        <f>IFERROR(VLOOKUP(A13,Library!$B$4:$G$69,2,FALSE),"")</f>
        <v>246.48</v>
      </c>
      <c r="C13" s="26">
        <f>VLOOKUP(A13,'DSMZ 120 v1'!$F$5:$G$21,2,FALSE)*1000/'DSMZ 120 v1'!$G$23</f>
        <v>0.5</v>
      </c>
      <c r="D13" s="41" t="s">
        <v>97</v>
      </c>
      <c r="E13" s="26">
        <f t="shared" si="0"/>
        <v>2.0285621551444336E-3</v>
      </c>
      <c r="F13" s="25" t="s">
        <v>64</v>
      </c>
      <c r="G13" s="28">
        <v>1</v>
      </c>
      <c r="H13" s="25">
        <f>VLOOKUP(F13,Library!$K$4:$N$36,3,FALSE)</f>
        <v>2</v>
      </c>
      <c r="I13" s="25">
        <f t="shared" si="1"/>
        <v>2.0285621551444336E-3</v>
      </c>
      <c r="J13" s="178">
        <f>IF(F13="N/A",0,VLOOKUP(F13,Library!$K$4:$M$36,2,FALSE))</f>
        <v>24.305</v>
      </c>
      <c r="K13" s="183">
        <f t="shared" si="2"/>
        <v>8.1142486205777343E-3</v>
      </c>
      <c r="L13" s="28">
        <f t="shared" si="3"/>
        <v>4.9304203180785461E-2</v>
      </c>
      <c r="M13" s="25" t="s">
        <v>69</v>
      </c>
      <c r="N13" s="25">
        <v>1</v>
      </c>
      <c r="O13" s="25">
        <f>IFERROR(VLOOKUP(M13,Library!$K$4:$M$36,3,FALSE),"")</f>
        <v>-2</v>
      </c>
      <c r="P13" s="25">
        <f t="shared" si="4"/>
        <v>2.0285621551444336E-3</v>
      </c>
      <c r="Q13" s="25">
        <f>IFERROR(IF(M13="N/A",0,VLOOKUP(M13,Library!$K$4:$N$36,2,FALSE)),"")</f>
        <v>96.06</v>
      </c>
      <c r="R13" s="25">
        <f t="shared" si="5"/>
        <v>8.1142486205777343E-3</v>
      </c>
      <c r="S13" s="200">
        <f t="shared" si="6"/>
        <v>0.1948636806231743</v>
      </c>
      <c r="T13" s="217">
        <f>VLOOKUP(A13,Library!$B$4:$G$69,3,FALSE)</f>
        <v>0</v>
      </c>
      <c r="U13" s="185">
        <f>VLOOKUP(A13,Library!$B$4:$G$69,4,FALSE)</f>
        <v>0</v>
      </c>
      <c r="V13" s="185">
        <f>VLOOKUP(A13,Library!$B$4:$G$69,5,FALSE)</f>
        <v>0</v>
      </c>
      <c r="W13" s="218">
        <f>VLOOKUP(A13,Library!$B$4:$G$69,6,FALSE)</f>
        <v>1</v>
      </c>
      <c r="X13" s="217">
        <f t="shared" si="7"/>
        <v>0</v>
      </c>
      <c r="Y13" s="185">
        <f t="shared" si="8"/>
        <v>0</v>
      </c>
      <c r="Z13" s="185">
        <f t="shared" si="9"/>
        <v>0</v>
      </c>
      <c r="AA13" s="218">
        <f t="shared" si="10"/>
        <v>2.0285621551444336E-3</v>
      </c>
      <c r="AB13" s="217">
        <f>X13*VLOOKUP($AB$7,Library!$T$4:$U$7,2,FALSE)</f>
        <v>0</v>
      </c>
      <c r="AC13" s="185">
        <f>Y13*VLOOKUP($AC$7,Library!$T$4:$U$7,2,FALSE)</f>
        <v>0</v>
      </c>
      <c r="AD13" s="185">
        <f>Z13*VLOOKUP($AD$7,Library!$T$4:$U$7,2,FALSE)</f>
        <v>0</v>
      </c>
      <c r="AE13" s="218">
        <f>AA13*VLOOKUP($AE$7,Library!$T$4:$U$7,2,FALSE)</f>
        <v>6.5055988315481983E-2</v>
      </c>
    </row>
    <row r="14" spans="1:31" ht="14.4" x14ac:dyDescent="0.3">
      <c r="A14" s="25" t="s">
        <v>29</v>
      </c>
      <c r="B14" s="25">
        <f>IFERROR(VLOOKUP(A14,Library!$B$4:$G$69,2,FALSE),"")</f>
        <v>147.01</v>
      </c>
      <c r="C14" s="26">
        <f>VLOOKUP(A14,'DSMZ 120 v1'!$F$5:$G$21,2,FALSE)*1000/'DSMZ 120 v1'!$G$23</f>
        <v>0.25</v>
      </c>
      <c r="D14" s="41" t="s">
        <v>97</v>
      </c>
      <c r="E14" s="26">
        <f t="shared" si="0"/>
        <v>1.7005645874430312E-3</v>
      </c>
      <c r="F14" s="25" t="s">
        <v>65</v>
      </c>
      <c r="G14" s="28">
        <v>1</v>
      </c>
      <c r="H14" s="25">
        <f>VLOOKUP(F14,Library!$K$4:$N$36,3,FALSE)</f>
        <v>2</v>
      </c>
      <c r="I14" s="25">
        <f t="shared" si="1"/>
        <v>1.7005645874430312E-3</v>
      </c>
      <c r="J14" s="178">
        <f>IF(F14="N/A",0,VLOOKUP(F14,Library!$K$4:$M$36,2,FALSE))</f>
        <v>40.078000000000003</v>
      </c>
      <c r="K14" s="183">
        <f t="shared" si="2"/>
        <v>6.8022583497721247E-3</v>
      </c>
      <c r="L14" s="28">
        <f t="shared" si="3"/>
        <v>6.8155227535541804E-2</v>
      </c>
      <c r="M14" s="25" t="s">
        <v>70</v>
      </c>
      <c r="N14" s="25">
        <v>2</v>
      </c>
      <c r="O14" s="25">
        <f>IFERROR(VLOOKUP(M14,Library!$K$4:$M$36,3,FALSE),"")</f>
        <v>-1</v>
      </c>
      <c r="P14" s="25">
        <f t="shared" si="4"/>
        <v>3.4011291748860624E-3</v>
      </c>
      <c r="Q14" s="25">
        <f>IFERROR(IF(M14="N/A",0,VLOOKUP(M14,Library!$K$4:$N$36,2,FALSE)),"")</f>
        <v>35.453000000000003</v>
      </c>
      <c r="R14" s="25">
        <f t="shared" si="5"/>
        <v>3.4011291748860624E-3</v>
      </c>
      <c r="S14" s="200">
        <f t="shared" si="6"/>
        <v>0.12058023263723558</v>
      </c>
      <c r="T14" s="217">
        <f>VLOOKUP(A14,Library!$B$4:$G$69,3,FALSE)</f>
        <v>0</v>
      </c>
      <c r="U14" s="185">
        <f>VLOOKUP(A14,Library!$B$4:$G$69,4,FALSE)</f>
        <v>0</v>
      </c>
      <c r="V14" s="185">
        <f>VLOOKUP(A14,Library!$B$4:$G$69,5,FALSE)</f>
        <v>0</v>
      </c>
      <c r="W14" s="218">
        <f>VLOOKUP(A14,Library!$B$4:$G$69,6,FALSE)</f>
        <v>0</v>
      </c>
      <c r="X14" s="217">
        <f t="shared" si="7"/>
        <v>0</v>
      </c>
      <c r="Y14" s="185">
        <f t="shared" si="8"/>
        <v>0</v>
      </c>
      <c r="Z14" s="185">
        <f t="shared" si="9"/>
        <v>0</v>
      </c>
      <c r="AA14" s="218">
        <f t="shared" si="10"/>
        <v>0</v>
      </c>
      <c r="AB14" s="217">
        <f>X14*VLOOKUP($AB$7,Library!$T$4:$U$7,2,FALSE)</f>
        <v>0</v>
      </c>
      <c r="AC14" s="185">
        <f>Y14*VLOOKUP($AC$7,Library!$T$4:$U$7,2,FALSE)</f>
        <v>0</v>
      </c>
      <c r="AD14" s="185">
        <f>Z14*VLOOKUP($AD$7,Library!$T$4:$U$7,2,FALSE)</f>
        <v>0</v>
      </c>
      <c r="AE14" s="218">
        <f>AA14*VLOOKUP($AE$7,Library!$T$4:$U$7,2,FALSE)</f>
        <v>0</v>
      </c>
    </row>
    <row r="15" spans="1:31" ht="14.4" x14ac:dyDescent="0.3">
      <c r="A15" s="25" t="s">
        <v>33</v>
      </c>
      <c r="B15" s="25">
        <f>IFERROR(VLOOKUP(A15,Library!$B$4:$G$69,2,FALSE),"")</f>
        <v>58.44</v>
      </c>
      <c r="C15" s="26">
        <f>VLOOKUP(A15,'DSMZ 120 v1'!$F$5:$G$21,2,FALSE)*1000/'DSMZ 120 v1'!$G$23</f>
        <v>2.25</v>
      </c>
      <c r="D15" s="41" t="s">
        <v>97</v>
      </c>
      <c r="E15" s="26">
        <f t="shared" si="0"/>
        <v>3.8501026694045176E-2</v>
      </c>
      <c r="F15" s="25" t="s">
        <v>63</v>
      </c>
      <c r="G15" s="28">
        <v>1</v>
      </c>
      <c r="H15" s="25">
        <f>VLOOKUP(F15,Library!$K$4:$N$36,3,FALSE)</f>
        <v>1</v>
      </c>
      <c r="I15" s="25">
        <f t="shared" si="1"/>
        <v>3.8501026694045176E-2</v>
      </c>
      <c r="J15" s="178">
        <f>IF(F15="N/A",0,VLOOKUP(F15,Library!$K$4:$M$36,2,FALSE))</f>
        <v>28.989768999999999</v>
      </c>
      <c r="K15" s="183">
        <f t="shared" si="2"/>
        <v>3.8501026694045176E-2</v>
      </c>
      <c r="L15" s="28">
        <f t="shared" si="3"/>
        <v>1.1161358701232034</v>
      </c>
      <c r="M15" s="25" t="s">
        <v>70</v>
      </c>
      <c r="N15" s="25">
        <v>1</v>
      </c>
      <c r="O15" s="25">
        <f>IFERROR(VLOOKUP(M15,Library!$K$4:$M$36,3,FALSE),"")</f>
        <v>-1</v>
      </c>
      <c r="P15" s="25">
        <f t="shared" si="4"/>
        <v>3.8501026694045176E-2</v>
      </c>
      <c r="Q15" s="25">
        <f>IFERROR(IF(M15="N/A",0,VLOOKUP(M15,Library!$K$4:$N$36,2,FALSE)),"")</f>
        <v>35.453000000000003</v>
      </c>
      <c r="R15" s="25">
        <f t="shared" si="5"/>
        <v>3.8501026694045176E-2</v>
      </c>
      <c r="S15" s="200">
        <f t="shared" si="6"/>
        <v>1.3649768993839837</v>
      </c>
      <c r="T15" s="217">
        <f>VLOOKUP(A15,Library!$B$4:$G$69,3,FALSE)</f>
        <v>0</v>
      </c>
      <c r="U15" s="185">
        <f>VLOOKUP(A15,Library!$B$4:$G$69,4,FALSE)</f>
        <v>0</v>
      </c>
      <c r="V15" s="185">
        <f>VLOOKUP(A15,Library!$B$4:$G$69,5,FALSE)</f>
        <v>0</v>
      </c>
      <c r="W15" s="218">
        <f>VLOOKUP(A15,Library!$B$4:$G$69,6,FALSE)</f>
        <v>0</v>
      </c>
      <c r="X15" s="217">
        <f t="shared" si="7"/>
        <v>0</v>
      </c>
      <c r="Y15" s="185">
        <f t="shared" si="8"/>
        <v>0</v>
      </c>
      <c r="Z15" s="185">
        <f t="shared" si="9"/>
        <v>0</v>
      </c>
      <c r="AA15" s="218">
        <f t="shared" si="10"/>
        <v>0</v>
      </c>
      <c r="AB15" s="217">
        <f>X15*VLOOKUP($AB$7,Library!$T$4:$U$7,2,FALSE)</f>
        <v>0</v>
      </c>
      <c r="AC15" s="185">
        <f>Y15*VLOOKUP($AC$7,Library!$T$4:$U$7,2,FALSE)</f>
        <v>0</v>
      </c>
      <c r="AD15" s="185">
        <f>Z15*VLOOKUP($AD$7,Library!$T$4:$U$7,2,FALSE)</f>
        <v>0</v>
      </c>
      <c r="AE15" s="218">
        <f>AA15*VLOOKUP($AE$7,Library!$T$4:$U$7,2,FALSE)</f>
        <v>0</v>
      </c>
    </row>
    <row r="16" spans="1:31" ht="14.4" x14ac:dyDescent="0.3">
      <c r="A16" s="20" t="s">
        <v>291</v>
      </c>
      <c r="B16" s="253"/>
      <c r="C16" s="267"/>
      <c r="D16" s="267"/>
      <c r="E16" s="262"/>
      <c r="F16" s="253"/>
      <c r="G16" s="257"/>
      <c r="H16" s="253"/>
      <c r="I16" s="253"/>
      <c r="J16" s="263"/>
      <c r="K16" s="264"/>
      <c r="L16" s="257"/>
      <c r="M16" s="253"/>
      <c r="N16" s="253"/>
      <c r="O16" s="253"/>
      <c r="P16" s="253"/>
      <c r="Q16" s="253"/>
      <c r="R16" s="253"/>
      <c r="S16" s="265"/>
      <c r="T16" s="259"/>
      <c r="U16" s="260"/>
      <c r="V16" s="260"/>
      <c r="W16" s="261"/>
      <c r="X16" s="259"/>
      <c r="Y16" s="260"/>
      <c r="Z16" s="260"/>
      <c r="AA16" s="261"/>
      <c r="AB16" s="259"/>
      <c r="AC16" s="260"/>
      <c r="AD16" s="260"/>
      <c r="AE16" s="261"/>
    </row>
    <row r="17" spans="1:31" ht="14.4" x14ac:dyDescent="0.3">
      <c r="A17" s="25" t="s">
        <v>59</v>
      </c>
      <c r="B17" s="25">
        <f>IFERROR(VLOOKUP(A17,Library!$B$4:$G$69,2,FALSE),"")</f>
        <v>392.14</v>
      </c>
      <c r="C17" s="26">
        <f>VLOOKUP(A17,'DSMZ 120 v1'!I20:J22,2,FALSE)*(1000/'DSMZ 120 v1'!$J$22)*('DSMZ 120 v1'!$G$11/'DSMZ 120 v1'!$G$23)</f>
        <v>2.0020020020020024E-3</v>
      </c>
      <c r="D17" s="41" t="s">
        <v>97</v>
      </c>
      <c r="E17" s="26">
        <f t="shared" si="0"/>
        <v>5.1053246340643714E-6</v>
      </c>
      <c r="F17" s="25" t="s">
        <v>80</v>
      </c>
      <c r="G17" s="28">
        <v>1</v>
      </c>
      <c r="H17" s="25">
        <f>VLOOKUP(F17,Library!$K$4:$N$36,3,FALSE)</f>
        <v>2</v>
      </c>
      <c r="I17" s="25">
        <f>E17*G17</f>
        <v>5.1053246340643714E-6</v>
      </c>
      <c r="J17" s="178">
        <f>IF(F17="N/A",0,VLOOKUP(F17,Library!$K$4:$M$36,2,FALSE))</f>
        <v>55.844999999999999</v>
      </c>
      <c r="K17" s="183">
        <f t="shared" si="2"/>
        <v>2.0421298536257486E-5</v>
      </c>
      <c r="L17" s="28">
        <f t="shared" si="3"/>
        <v>2.8510685418932483E-4</v>
      </c>
      <c r="M17" s="25" t="s">
        <v>69</v>
      </c>
      <c r="N17" s="25">
        <v>1</v>
      </c>
      <c r="O17" s="25">
        <f>IFERROR(VLOOKUP(M17,Library!$K$4:$M$36,3,FALSE),"")</f>
        <v>-2</v>
      </c>
      <c r="P17" s="25">
        <f>E17*N17</f>
        <v>5.1053246340643714E-6</v>
      </c>
      <c r="Q17" s="25">
        <f>IFERROR(IF(M17="N/A",0,VLOOKUP(M17,Library!$K$4:$N$36,2,FALSE)),"")</f>
        <v>96.06</v>
      </c>
      <c r="R17" s="25">
        <f>IFERROR(P17*(O17^2),"")</f>
        <v>2.0421298536257486E-5</v>
      </c>
      <c r="S17" s="200">
        <f>IFERROR(P17*Q17,"")</f>
        <v>4.9041748434822357E-4</v>
      </c>
      <c r="T17" s="217">
        <f>VLOOKUP(A17,Library!$B$4:$G$69,3,FALSE)</f>
        <v>0</v>
      </c>
      <c r="U17" s="185">
        <f>VLOOKUP(A17,Library!$B$4:$G$69,4,FALSE)</f>
        <v>0</v>
      </c>
      <c r="V17" s="185">
        <f>VLOOKUP(A17,Library!$B$4:$G$69,5,FALSE)</f>
        <v>0</v>
      </c>
      <c r="W17" s="218">
        <f>VLOOKUP(A17,Library!$B$4:$G$69,6,FALSE)</f>
        <v>1</v>
      </c>
      <c r="X17" s="217">
        <f t="shared" ref="X17" si="11">T17*E17</f>
        <v>0</v>
      </c>
      <c r="Y17" s="185">
        <f>U17*E17</f>
        <v>0</v>
      </c>
      <c r="Z17" s="185">
        <f>V17*E17</f>
        <v>0</v>
      </c>
      <c r="AA17" s="218">
        <f>W17*E17</f>
        <v>5.1053246340643714E-6</v>
      </c>
      <c r="AB17" s="217">
        <f>X17*VLOOKUP($AB$7,Library!$T$4:$U$7,2,FALSE)</f>
        <v>0</v>
      </c>
      <c r="AC17" s="185">
        <f>Y17*VLOOKUP($AC$7,Library!$T$4:$U$7,2,FALSE)</f>
        <v>0</v>
      </c>
      <c r="AD17" s="185">
        <f>Z17*VLOOKUP($AD$7,Library!$T$4:$U$7,2,FALSE)</f>
        <v>0</v>
      </c>
      <c r="AE17" s="218">
        <f>AA17*VLOOKUP($AE$7,Library!$T$4:$U$7,2,FALSE)</f>
        <v>1.637277610144444E-4</v>
      </c>
    </row>
    <row r="18" spans="1:31" ht="14.4" x14ac:dyDescent="0.3">
      <c r="A18" s="25" t="s">
        <v>348</v>
      </c>
      <c r="B18" s="25">
        <f>IFERROR(VLOOKUP(A18,Library!$B$4:$G$69,2,FALSE),"")</f>
        <v>98.085999999999999</v>
      </c>
      <c r="C18" s="26">
        <f>'DSMZ 120 v1'!$M$20*('DSMZ 120 v1'!J22/1000)*('DSMZ 120 v1'!$G$11/'DSMZ 120 v1'!$G$23)</f>
        <v>9.7902000000000006E-3</v>
      </c>
      <c r="D18" s="41" t="s">
        <v>97</v>
      </c>
      <c r="E18" s="26">
        <f t="shared" si="0"/>
        <v>9.981240951817794E-5</v>
      </c>
      <c r="F18" s="25" t="s">
        <v>339</v>
      </c>
      <c r="G18" s="28">
        <v>2</v>
      </c>
      <c r="H18" s="25">
        <f>VLOOKUP(F18,Library!$K$4:$N$36,3,FALSE)</f>
        <v>1</v>
      </c>
      <c r="I18" s="25">
        <f>E18*G18</f>
        <v>1.9962481903635588E-4</v>
      </c>
      <c r="J18" s="178">
        <f>IF(F18="N/A",0,VLOOKUP(F18,Library!$K$4:$M$36,2,FALSE))</f>
        <v>1.0078400000000001</v>
      </c>
      <c r="K18" s="183">
        <f t="shared" si="2"/>
        <v>1.9962481903635588E-4</v>
      </c>
      <c r="L18" s="28">
        <f t="shared" si="3"/>
        <v>2.0118987761760093E-4</v>
      </c>
      <c r="M18" s="25" t="s">
        <v>69</v>
      </c>
      <c r="N18" s="25">
        <v>1</v>
      </c>
      <c r="O18" s="25">
        <f>IFERROR(VLOOKUP(M18,Library!$K$4:$M$36,3,FALSE),"")</f>
        <v>-2</v>
      </c>
      <c r="P18" s="25">
        <f>E18*N18</f>
        <v>9.981240951817794E-5</v>
      </c>
      <c r="Q18" s="25"/>
      <c r="R18" s="25">
        <f>IFERROR(P18*(O18^2),"")</f>
        <v>3.9924963807271176E-4</v>
      </c>
      <c r="S18" s="200"/>
      <c r="T18" s="217">
        <f>VLOOKUP(A18,Library!$B$4:$G$69,3,FALSE)</f>
        <v>0</v>
      </c>
      <c r="U18" s="185">
        <f>VLOOKUP(A18,Library!$B$4:$G$69,4,FALSE)</f>
        <v>0</v>
      </c>
      <c r="V18" s="185">
        <f>VLOOKUP(A18,Library!$B$4:$G$69,5,FALSE)</f>
        <v>0</v>
      </c>
      <c r="W18" s="218">
        <f>VLOOKUP(A18,Library!$B$4:$G$69,6,FALSE)</f>
        <v>1</v>
      </c>
      <c r="X18" s="217">
        <f t="shared" ref="X18:X49" si="12">T18*E18</f>
        <v>0</v>
      </c>
      <c r="Y18" s="185">
        <f t="shared" ref="Y18:Y49" si="13">U18*E18</f>
        <v>0</v>
      </c>
      <c r="Z18" s="185">
        <f t="shared" ref="Z18:Z49" si="14">V18*E18</f>
        <v>0</v>
      </c>
      <c r="AA18" s="218">
        <f t="shared" ref="AA18:AA49" si="15">W18*E18</f>
        <v>9.981240951817794E-5</v>
      </c>
      <c r="AB18" s="217">
        <f>X18*VLOOKUP($AB$7,Library!$T$4:$U$7,2,FALSE)</f>
        <v>0</v>
      </c>
      <c r="AC18" s="185">
        <f>Y18*VLOOKUP($AC$7,Library!$T$4:$U$7,2,FALSE)</f>
        <v>0</v>
      </c>
      <c r="AD18" s="185">
        <f>Z18*VLOOKUP($AD$7,Library!$T$4:$U$7,2,FALSE)</f>
        <v>0</v>
      </c>
      <c r="AE18" s="218">
        <f>AA18*VLOOKUP($AE$7,Library!$T$4:$U$7,2,FALSE)</f>
        <v>3.2009839732479667E-3</v>
      </c>
    </row>
    <row r="19" spans="1:31" ht="14.4" x14ac:dyDescent="0.3">
      <c r="A19" s="20" t="s">
        <v>327</v>
      </c>
      <c r="B19" s="253"/>
      <c r="C19" s="262"/>
      <c r="D19" s="267"/>
      <c r="E19" s="262"/>
      <c r="F19" s="253"/>
      <c r="G19" s="257"/>
      <c r="H19" s="253"/>
      <c r="I19" s="253"/>
      <c r="J19" s="263"/>
      <c r="K19" s="264"/>
      <c r="L19" s="257"/>
      <c r="M19" s="253"/>
      <c r="N19" s="253"/>
      <c r="O19" s="253"/>
      <c r="P19" s="253"/>
      <c r="Q19" s="253"/>
      <c r="R19" s="253"/>
      <c r="S19" s="265"/>
      <c r="T19" s="259"/>
      <c r="U19" s="260"/>
      <c r="V19" s="260"/>
      <c r="W19" s="261"/>
      <c r="X19" s="259">
        <f t="shared" si="12"/>
        <v>0</v>
      </c>
      <c r="Y19" s="260">
        <f t="shared" si="13"/>
        <v>0</v>
      </c>
      <c r="Z19" s="260">
        <f t="shared" si="14"/>
        <v>0</v>
      </c>
      <c r="AA19" s="261">
        <f t="shared" si="15"/>
        <v>0</v>
      </c>
      <c r="AB19" s="259"/>
      <c r="AC19" s="260"/>
      <c r="AD19" s="260"/>
      <c r="AE19" s="261"/>
    </row>
    <row r="20" spans="1:31" ht="14.4" x14ac:dyDescent="0.3">
      <c r="A20" s="25" t="s">
        <v>124</v>
      </c>
      <c r="B20" s="25">
        <f>IFERROR(VLOOKUP(A20,Library!$B$4:$G$69,2,FALSE),"")</f>
        <v>36.46</v>
      </c>
      <c r="C20" s="26">
        <f>'DSMZ 120 v1'!P20*('DSMZ 120 v1'!$M$4/'DSMZ 120 v1'!$M$14)*('DSMZ 120 v1'!$G$12/'DSMZ 120 v1'!$G$23)</f>
        <v>2.9500000000000004E-3</v>
      </c>
      <c r="D20" s="41" t="s">
        <v>97</v>
      </c>
      <c r="E20" s="26">
        <f t="shared" si="0"/>
        <v>8.091058694459683E-5</v>
      </c>
      <c r="F20" s="25" t="s">
        <v>339</v>
      </c>
      <c r="G20" s="28">
        <v>1</v>
      </c>
      <c r="H20" s="25">
        <f>VLOOKUP(F20,Library!$K$4:$N$36,3,FALSE)</f>
        <v>1</v>
      </c>
      <c r="I20" s="25">
        <f t="shared" si="1"/>
        <v>8.091058694459683E-5</v>
      </c>
      <c r="J20" s="178">
        <f>IF(F20="N/A",0,VLOOKUP(F20,Library!$K$4:$M$36,2,FALSE))</f>
        <v>1.0078400000000001</v>
      </c>
      <c r="K20" s="183">
        <f t="shared" si="2"/>
        <v>8.091058694459683E-5</v>
      </c>
      <c r="L20" s="28">
        <f t="shared" si="3"/>
        <v>8.1544925946242482E-5</v>
      </c>
      <c r="M20" s="25" t="s">
        <v>70</v>
      </c>
      <c r="N20" s="25">
        <v>1</v>
      </c>
      <c r="O20" s="25">
        <f>IFERROR(VLOOKUP(M20,Library!$K$4:$M$36,3,FALSE),"")</f>
        <v>-1</v>
      </c>
      <c r="P20" s="25">
        <f t="shared" si="4"/>
        <v>8.091058694459683E-5</v>
      </c>
      <c r="Q20" s="25">
        <f>IFERROR(IF(M20="N/A",0,VLOOKUP(M20,Library!$K$4:$N$36,2,FALSE)),"")</f>
        <v>35.453000000000003</v>
      </c>
      <c r="R20" s="25">
        <f t="shared" si="5"/>
        <v>8.091058694459683E-5</v>
      </c>
      <c r="S20" s="200">
        <f t="shared" si="6"/>
        <v>2.8685230389467915E-3</v>
      </c>
      <c r="T20" s="217">
        <f>VLOOKUP(A20,Library!$B$4:$G$69,3,FALSE)</f>
        <v>0</v>
      </c>
      <c r="U20" s="185">
        <f>VLOOKUP(A20,Library!$B$4:$G$69,4,FALSE)</f>
        <v>0</v>
      </c>
      <c r="V20" s="185">
        <f>VLOOKUP(A20,Library!$B$4:$G$69,5,FALSE)</f>
        <v>0</v>
      </c>
      <c r="W20" s="218">
        <f>VLOOKUP(A20,Library!$B$4:$G$69,6,FALSE)</f>
        <v>0</v>
      </c>
      <c r="X20" s="217">
        <f t="shared" si="12"/>
        <v>0</v>
      </c>
      <c r="Y20" s="185">
        <f t="shared" si="13"/>
        <v>0</v>
      </c>
      <c r="Z20" s="185">
        <f t="shared" si="14"/>
        <v>0</v>
      </c>
      <c r="AA20" s="218">
        <f t="shared" si="15"/>
        <v>0</v>
      </c>
      <c r="AB20" s="217">
        <f>X20*VLOOKUP($AB$7,Library!$T$4:$U$7,2,FALSE)</f>
        <v>0</v>
      </c>
      <c r="AC20" s="185">
        <f>Y20*VLOOKUP($AC$7,Library!$T$4:$U$7,2,FALSE)</f>
        <v>0</v>
      </c>
      <c r="AD20" s="185">
        <f>Z20*VLOOKUP($AD$7,Library!$T$4:$U$7,2,FALSE)</f>
        <v>0</v>
      </c>
      <c r="AE20" s="218">
        <f>AA20*VLOOKUP($AE$7,Library!$T$4:$U$7,2,FALSE)</f>
        <v>0</v>
      </c>
    </row>
    <row r="21" spans="1:31" ht="14.4" x14ac:dyDescent="0.3">
      <c r="A21" s="25" t="s">
        <v>164</v>
      </c>
      <c r="B21" s="25">
        <f>IFERROR(VLOOKUP(A21,Library!$B$4:$G$69,2,FALSE),"")</f>
        <v>198.81</v>
      </c>
      <c r="C21" s="26">
        <f>VLOOKUP(A21,'DSMZ 120 v1'!$L$4:$M$13,2,FALSE)*('DSMZ 120 v1'!$G$12/'DSMZ 120 v1'!$G$23)</f>
        <v>1.5E-3</v>
      </c>
      <c r="D21" s="41" t="s">
        <v>97</v>
      </c>
      <c r="E21" s="26">
        <f t="shared" si="0"/>
        <v>7.5448921080428549E-6</v>
      </c>
      <c r="F21" s="25" t="s">
        <v>80</v>
      </c>
      <c r="G21" s="28">
        <v>1</v>
      </c>
      <c r="H21" s="25">
        <f>VLOOKUP(F21,Library!$K$4:$N$36,3,FALSE)</f>
        <v>2</v>
      </c>
      <c r="I21" s="25">
        <f t="shared" si="1"/>
        <v>7.5448921080428549E-6</v>
      </c>
      <c r="J21" s="178">
        <f>IF(F21="N/A",0,VLOOKUP(F21,Library!$K$4:$M$36,2,FALSE))</f>
        <v>55.844999999999999</v>
      </c>
      <c r="K21" s="183">
        <f t="shared" si="2"/>
        <v>3.017956843217142E-5</v>
      </c>
      <c r="L21" s="28">
        <f t="shared" si="3"/>
        <v>4.2134449977365322E-4</v>
      </c>
      <c r="M21" s="25" t="s">
        <v>70</v>
      </c>
      <c r="N21" s="25">
        <v>2</v>
      </c>
      <c r="O21" s="25">
        <f>IFERROR(VLOOKUP(M21,Library!$K$4:$M$36,3,FALSE),"")</f>
        <v>-1</v>
      </c>
      <c r="P21" s="25">
        <f t="shared" si="4"/>
        <v>1.508978421608571E-5</v>
      </c>
      <c r="Q21" s="25">
        <f>IFERROR(IF(M21="N/A",0,VLOOKUP(M21,Library!$K$4:$N$36,2,FALSE)),"")</f>
        <v>35.453000000000003</v>
      </c>
      <c r="R21" s="25">
        <f t="shared" si="5"/>
        <v>1.508978421608571E-5</v>
      </c>
      <c r="S21" s="200">
        <f t="shared" si="6"/>
        <v>5.3497811981288669E-4</v>
      </c>
      <c r="T21" s="217">
        <f>VLOOKUP(A21,Library!$B$4:$G$69,3,FALSE)</f>
        <v>0</v>
      </c>
      <c r="U21" s="185">
        <f>VLOOKUP(A21,Library!$B$4:$G$69,4,FALSE)</f>
        <v>0</v>
      </c>
      <c r="V21" s="185">
        <f>VLOOKUP(A21,Library!$B$4:$G$69,5,FALSE)</f>
        <v>0</v>
      </c>
      <c r="W21" s="218">
        <f>VLOOKUP(A21,Library!$B$4:$G$69,6,FALSE)</f>
        <v>0</v>
      </c>
      <c r="X21" s="217">
        <f t="shared" si="12"/>
        <v>0</v>
      </c>
      <c r="Y21" s="185">
        <f t="shared" si="13"/>
        <v>0</v>
      </c>
      <c r="Z21" s="185">
        <f t="shared" si="14"/>
        <v>0</v>
      </c>
      <c r="AA21" s="218">
        <f t="shared" si="15"/>
        <v>0</v>
      </c>
      <c r="AB21" s="217">
        <f>X21*VLOOKUP($AB$7,Library!$T$4:$U$7,2,FALSE)</f>
        <v>0</v>
      </c>
      <c r="AC21" s="185">
        <f>Y21*VLOOKUP($AC$7,Library!$T$4:$U$7,2,FALSE)</f>
        <v>0</v>
      </c>
      <c r="AD21" s="185">
        <f>Z21*VLOOKUP($AD$7,Library!$T$4:$U$7,2,FALSE)</f>
        <v>0</v>
      </c>
      <c r="AE21" s="218">
        <f>AA21*VLOOKUP($AE$7,Library!$T$4:$U$7,2,FALSE)</f>
        <v>0</v>
      </c>
    </row>
    <row r="22" spans="1:31" ht="14.4" x14ac:dyDescent="0.3">
      <c r="A22" s="25" t="s">
        <v>168</v>
      </c>
      <c r="B22" s="25">
        <f>IFERROR(VLOOKUP(A22,Library!$B$4:$G$69,2,FALSE),"")</f>
        <v>136.29</v>
      </c>
      <c r="C22" s="26">
        <f>VLOOKUP(A22,'DSMZ 120 v1'!$L$4:$M$13,2,FALSE)*('DSMZ 120 v1'!$G$12/'DSMZ 120 v1'!$G$23)</f>
        <v>7.0000000000000007E-2</v>
      </c>
      <c r="D22" s="41" t="s">
        <v>16</v>
      </c>
      <c r="E22" s="26">
        <f t="shared" si="0"/>
        <v>5.1361068310220855E-7</v>
      </c>
      <c r="F22" s="25" t="s">
        <v>73</v>
      </c>
      <c r="G22" s="28">
        <v>1</v>
      </c>
      <c r="H22" s="25">
        <f>VLOOKUP(F22,Library!$K$4:$N$36,3,FALSE)</f>
        <v>2</v>
      </c>
      <c r="I22" s="25">
        <f t="shared" si="1"/>
        <v>5.1361068310220855E-7</v>
      </c>
      <c r="J22" s="178">
        <f>IF(F22="N/A",0,VLOOKUP(F22,Library!$K$4:$M$36,2,FALSE))</f>
        <v>65.926034000000001</v>
      </c>
      <c r="K22" s="183">
        <f t="shared" si="2"/>
        <v>2.0544427324088342E-6</v>
      </c>
      <c r="L22" s="28">
        <f t="shared" si="3"/>
        <v>3.3860315356959429E-5</v>
      </c>
      <c r="M22" s="25" t="s">
        <v>70</v>
      </c>
      <c r="N22" s="25">
        <v>2</v>
      </c>
      <c r="O22" s="25">
        <f>IFERROR(VLOOKUP(M22,Library!$K$4:$M$36,3,FALSE),"")</f>
        <v>-1</v>
      </c>
      <c r="P22" s="25">
        <f t="shared" si="4"/>
        <v>1.0272213662044171E-6</v>
      </c>
      <c r="Q22" s="25">
        <f>IFERROR(IF(M22="N/A",0,VLOOKUP(M22,Library!$K$4:$N$36,2,FALSE)),"")</f>
        <v>35.453000000000003</v>
      </c>
      <c r="R22" s="25">
        <f t="shared" si="5"/>
        <v>1.0272213662044171E-6</v>
      </c>
      <c r="S22" s="200">
        <f t="shared" si="6"/>
        <v>3.64180790960452E-5</v>
      </c>
      <c r="T22" s="217">
        <f>VLOOKUP(A22,Library!$B$4:$G$69,3,FALSE)</f>
        <v>0</v>
      </c>
      <c r="U22" s="185">
        <f>VLOOKUP(A22,Library!$B$4:$G$69,4,FALSE)</f>
        <v>0</v>
      </c>
      <c r="V22" s="185">
        <f>VLOOKUP(A22,Library!$B$4:$G$69,5,FALSE)</f>
        <v>0</v>
      </c>
      <c r="W22" s="218">
        <f>VLOOKUP(A22,Library!$B$4:$G$69,6,FALSE)</f>
        <v>0</v>
      </c>
      <c r="X22" s="217">
        <f t="shared" si="12"/>
        <v>0</v>
      </c>
      <c r="Y22" s="185">
        <f t="shared" si="13"/>
        <v>0</v>
      </c>
      <c r="Z22" s="185">
        <f t="shared" si="14"/>
        <v>0</v>
      </c>
      <c r="AA22" s="218">
        <f t="shared" si="15"/>
        <v>0</v>
      </c>
      <c r="AB22" s="217">
        <f>X22*VLOOKUP($AB$7,Library!$T$4:$U$7,2,FALSE)</f>
        <v>0</v>
      </c>
      <c r="AC22" s="185">
        <f>Y22*VLOOKUP($AC$7,Library!$T$4:$U$7,2,FALSE)</f>
        <v>0</v>
      </c>
      <c r="AD22" s="185">
        <f>Z22*VLOOKUP($AD$7,Library!$T$4:$U$7,2,FALSE)</f>
        <v>0</v>
      </c>
      <c r="AE22" s="218">
        <f>AA22*VLOOKUP($AE$7,Library!$T$4:$U$7,2,FALSE)</f>
        <v>0</v>
      </c>
    </row>
    <row r="23" spans="1:31" ht="14.4" x14ac:dyDescent="0.3">
      <c r="A23" s="25" t="s">
        <v>163</v>
      </c>
      <c r="B23" s="25">
        <f>IFERROR(VLOOKUP(A23,Library!$B$4:$G$69,2,FALSE),"")</f>
        <v>197.91</v>
      </c>
      <c r="C23" s="26">
        <f>VLOOKUP(A23,'DSMZ 120 v1'!$L$4:$M$13,2,FALSE)*('DSMZ 120 v1'!$G$12/'DSMZ 120 v1'!$G$23)</f>
        <v>0.1</v>
      </c>
      <c r="D23" s="41" t="s">
        <v>16</v>
      </c>
      <c r="E23" s="26">
        <f t="shared" si="0"/>
        <v>5.0528017785862262E-7</v>
      </c>
      <c r="F23" s="25" t="s">
        <v>74</v>
      </c>
      <c r="G23" s="28">
        <v>1</v>
      </c>
      <c r="H23" s="25">
        <f>VLOOKUP(F23,Library!$K$4:$N$36,3,FALSE)</f>
        <v>2</v>
      </c>
      <c r="I23" s="25">
        <f t="shared" si="1"/>
        <v>5.0528017785862262E-7</v>
      </c>
      <c r="J23" s="178">
        <f>IF(F23="N/A",0,VLOOKUP(F23,Library!$K$4:$M$36,2,FALSE))</f>
        <v>54.94</v>
      </c>
      <c r="K23" s="183">
        <f t="shared" si="2"/>
        <v>2.0211207114344905E-6</v>
      </c>
      <c r="L23" s="28">
        <f t="shared" si="3"/>
        <v>2.7760092971552727E-5</v>
      </c>
      <c r="M23" s="25" t="s">
        <v>70</v>
      </c>
      <c r="N23" s="25">
        <v>2</v>
      </c>
      <c r="O23" s="25">
        <f>IFERROR(VLOOKUP(M23,Library!$K$4:$M$36,3,FALSE),"")</f>
        <v>-1</v>
      </c>
      <c r="P23" s="25">
        <f t="shared" si="4"/>
        <v>1.0105603557172452E-6</v>
      </c>
      <c r="Q23" s="25">
        <f>IFERROR(IF(M23="N/A",0,VLOOKUP(M23,Library!$K$4:$N$36,2,FALSE)),"")</f>
        <v>35.453000000000003</v>
      </c>
      <c r="R23" s="25">
        <f t="shared" si="5"/>
        <v>1.0105603557172452E-6</v>
      </c>
      <c r="S23" s="200">
        <f t="shared" si="6"/>
        <v>3.5827396291243501E-5</v>
      </c>
      <c r="T23" s="217">
        <f>VLOOKUP(A23,Library!$B$4:$G$69,3,FALSE)</f>
        <v>0</v>
      </c>
      <c r="U23" s="185">
        <f>VLOOKUP(A23,Library!$B$4:$G$69,4,FALSE)</f>
        <v>0</v>
      </c>
      <c r="V23" s="185">
        <f>VLOOKUP(A23,Library!$B$4:$G$69,5,FALSE)</f>
        <v>0</v>
      </c>
      <c r="W23" s="218">
        <f>VLOOKUP(A23,Library!$B$4:$G$69,6,FALSE)</f>
        <v>0</v>
      </c>
      <c r="X23" s="217">
        <f t="shared" si="12"/>
        <v>0</v>
      </c>
      <c r="Y23" s="185">
        <f t="shared" si="13"/>
        <v>0</v>
      </c>
      <c r="Z23" s="185">
        <f t="shared" si="14"/>
        <v>0</v>
      </c>
      <c r="AA23" s="218">
        <f t="shared" si="15"/>
        <v>0</v>
      </c>
      <c r="AB23" s="217">
        <f>X23*VLOOKUP($AB$7,Library!$T$4:$U$7,2,FALSE)</f>
        <v>0</v>
      </c>
      <c r="AC23" s="185">
        <f>Y23*VLOOKUP($AC$7,Library!$T$4:$U$7,2,FALSE)</f>
        <v>0</v>
      </c>
      <c r="AD23" s="185">
        <f>Z23*VLOOKUP($AD$7,Library!$T$4:$U$7,2,FALSE)</f>
        <v>0</v>
      </c>
      <c r="AE23" s="218">
        <f>AA23*VLOOKUP($AE$7,Library!$T$4:$U$7,2,FALSE)</f>
        <v>0</v>
      </c>
    </row>
    <row r="24" spans="1:31" ht="14.4" x14ac:dyDescent="0.3">
      <c r="A24" s="25" t="s">
        <v>31</v>
      </c>
      <c r="B24" s="25">
        <f>IFERROR(VLOOKUP(A24,Library!$B$4:$G$69,2,FALSE),"")</f>
        <v>61.83</v>
      </c>
      <c r="C24" s="26">
        <f>VLOOKUP(A24,'DSMZ 120 v1'!$L$4:$M$13,2,FALSE)*('DSMZ 120 v1'!$G$12/'DSMZ 120 v1'!$G$23)</f>
        <v>6.0000000000000001E-3</v>
      </c>
      <c r="D24" s="41" t="s">
        <v>16</v>
      </c>
      <c r="E24" s="26">
        <f t="shared" si="0"/>
        <v>9.7040271712760799E-8</v>
      </c>
      <c r="F24" s="25" t="s">
        <v>339</v>
      </c>
      <c r="G24" s="28">
        <v>3</v>
      </c>
      <c r="H24" s="25">
        <f>VLOOKUP(F24,Library!$K$4:$N$36,3,FALSE)</f>
        <v>1</v>
      </c>
      <c r="I24" s="25">
        <f t="shared" si="1"/>
        <v>2.9112081513828238E-7</v>
      </c>
      <c r="J24" s="178">
        <f>IF(F24="N/A",0,VLOOKUP(F24,Library!$K$4:$M$36,2,FALSE))</f>
        <v>1.0078400000000001</v>
      </c>
      <c r="K24" s="183">
        <f t="shared" si="2"/>
        <v>2.9112081513828238E-7</v>
      </c>
      <c r="L24" s="28">
        <f t="shared" si="3"/>
        <v>2.9340320232896652E-7</v>
      </c>
      <c r="M24" s="25" t="s">
        <v>113</v>
      </c>
      <c r="N24" s="25">
        <v>1</v>
      </c>
      <c r="O24" s="25">
        <f>IFERROR(VLOOKUP(M24,Library!$K$4:$M$36,3,FALSE),"")</f>
        <v>-3</v>
      </c>
      <c r="P24" s="25">
        <f t="shared" si="4"/>
        <v>9.7040271712760799E-8</v>
      </c>
      <c r="Q24" s="25">
        <f>IFERROR(IF(M24="N/A",0,VLOOKUP(M24,Library!$K$4:$N$36,2,FALSE)),"")</f>
        <v>58.81</v>
      </c>
      <c r="R24" s="25">
        <f t="shared" si="5"/>
        <v>8.7336244541484721E-7</v>
      </c>
      <c r="S24" s="200">
        <f t="shared" si="6"/>
        <v>5.7069383794274627E-6</v>
      </c>
      <c r="T24" s="217">
        <f>VLOOKUP(A24,Library!$B$4:$G$69,3,FALSE)</f>
        <v>0</v>
      </c>
      <c r="U24" s="185">
        <f>VLOOKUP(A24,Library!$B$4:$G$69,4,FALSE)</f>
        <v>0</v>
      </c>
      <c r="V24" s="185">
        <f>VLOOKUP(A24,Library!$B$4:$G$69,5,FALSE)</f>
        <v>0</v>
      </c>
      <c r="W24" s="218">
        <f>VLOOKUP(A24,Library!$B$4:$G$69,6,FALSE)</f>
        <v>0</v>
      </c>
      <c r="X24" s="217">
        <f t="shared" si="12"/>
        <v>0</v>
      </c>
      <c r="Y24" s="185">
        <f t="shared" si="13"/>
        <v>0</v>
      </c>
      <c r="Z24" s="185">
        <f t="shared" si="14"/>
        <v>0</v>
      </c>
      <c r="AA24" s="218">
        <f t="shared" si="15"/>
        <v>0</v>
      </c>
      <c r="AB24" s="217">
        <f>X24*VLOOKUP($AB$7,Library!$T$4:$U$7,2,FALSE)</f>
        <v>0</v>
      </c>
      <c r="AC24" s="185">
        <f>Y24*VLOOKUP($AC$7,Library!$T$4:$U$7,2,FALSE)</f>
        <v>0</v>
      </c>
      <c r="AD24" s="185">
        <f>Z24*VLOOKUP($AD$7,Library!$T$4:$U$7,2,FALSE)</f>
        <v>0</v>
      </c>
      <c r="AE24" s="218">
        <f>AA24*VLOOKUP($AE$7,Library!$T$4:$U$7,2,FALSE)</f>
        <v>0</v>
      </c>
    </row>
    <row r="25" spans="1:31" ht="14.4" x14ac:dyDescent="0.3">
      <c r="A25" s="25" t="s">
        <v>35</v>
      </c>
      <c r="B25" s="25">
        <f>IFERROR(VLOOKUP(A25,Library!$B$4:$G$69,2,FALSE),"")</f>
        <v>237.93</v>
      </c>
      <c r="C25" s="26">
        <f>VLOOKUP(A25,'DSMZ 120 v1'!$L$4:$M$13,2,FALSE)*('DSMZ 120 v1'!$G$12/'DSMZ 120 v1'!$G$23)</f>
        <v>0.19</v>
      </c>
      <c r="D25" s="41" t="s">
        <v>16</v>
      </c>
      <c r="E25" s="26">
        <f t="shared" si="0"/>
        <v>7.9855419661244901E-7</v>
      </c>
      <c r="F25" s="25" t="s">
        <v>75</v>
      </c>
      <c r="G25" s="28">
        <v>1</v>
      </c>
      <c r="H25" s="25">
        <f>VLOOKUP(F25,Library!$K$4:$N$36,3,FALSE)</f>
        <v>2</v>
      </c>
      <c r="I25" s="25">
        <f t="shared" si="1"/>
        <v>7.9855419661244901E-7</v>
      </c>
      <c r="J25" s="178">
        <f>IF(F25="N/A",0,VLOOKUP(F25,Library!$K$4:$M$36,2,FALSE))</f>
        <v>58.933190000000003</v>
      </c>
      <c r="K25" s="183">
        <f t="shared" si="2"/>
        <v>3.1942167864497961E-6</v>
      </c>
      <c r="L25" s="28">
        <f t="shared" si="3"/>
        <v>4.7061346194258816E-5</v>
      </c>
      <c r="M25" s="25" t="s">
        <v>70</v>
      </c>
      <c r="N25" s="25">
        <v>2</v>
      </c>
      <c r="O25" s="25">
        <f>IFERROR(VLOOKUP(M25,Library!$K$4:$M$36,3,FALSE),"")</f>
        <v>-1</v>
      </c>
      <c r="P25" s="25">
        <f t="shared" si="4"/>
        <v>1.597108393224898E-6</v>
      </c>
      <c r="Q25" s="25">
        <f>IFERROR(IF(M25="N/A",0,VLOOKUP(M25,Library!$K$4:$N$36,2,FALSE)),"")</f>
        <v>35.453000000000003</v>
      </c>
      <c r="R25" s="25">
        <f t="shared" si="5"/>
        <v>1.597108393224898E-6</v>
      </c>
      <c r="S25" s="200">
        <f t="shared" si="6"/>
        <v>5.6622283865002313E-5</v>
      </c>
      <c r="T25" s="217">
        <f>VLOOKUP(A25,Library!$B$4:$G$69,3,FALSE)</f>
        <v>0</v>
      </c>
      <c r="U25" s="185">
        <f>VLOOKUP(A25,Library!$B$4:$G$69,4,FALSE)</f>
        <v>0</v>
      </c>
      <c r="V25" s="185">
        <f>VLOOKUP(A25,Library!$B$4:$G$69,5,FALSE)</f>
        <v>0</v>
      </c>
      <c r="W25" s="218">
        <f>VLOOKUP(A25,Library!$B$4:$G$69,6,FALSE)</f>
        <v>0</v>
      </c>
      <c r="X25" s="217">
        <f t="shared" si="12"/>
        <v>0</v>
      </c>
      <c r="Y25" s="185">
        <f t="shared" si="13"/>
        <v>0</v>
      </c>
      <c r="Z25" s="185">
        <f t="shared" si="14"/>
        <v>0</v>
      </c>
      <c r="AA25" s="218">
        <f t="shared" si="15"/>
        <v>0</v>
      </c>
      <c r="AB25" s="217">
        <f>X25*VLOOKUP($AB$7,Library!$T$4:$U$7,2,FALSE)</f>
        <v>0</v>
      </c>
      <c r="AC25" s="185">
        <f>Y25*VLOOKUP($AC$7,Library!$T$4:$U$7,2,FALSE)</f>
        <v>0</v>
      </c>
      <c r="AD25" s="185">
        <f>Z25*VLOOKUP($AD$7,Library!$T$4:$U$7,2,FALSE)</f>
        <v>0</v>
      </c>
      <c r="AE25" s="218">
        <f>AA25*VLOOKUP($AE$7,Library!$T$4:$U$7,2,FALSE)</f>
        <v>0</v>
      </c>
    </row>
    <row r="26" spans="1:31" ht="14.4" x14ac:dyDescent="0.3">
      <c r="A26" s="25" t="s">
        <v>179</v>
      </c>
      <c r="B26" s="25">
        <f>IFERROR(VLOOKUP(A26,Library!$B$4:$G$69,2,FALSE),"")</f>
        <v>170.48</v>
      </c>
      <c r="C26" s="26">
        <f>VLOOKUP(A26,'DSMZ 120 v1'!$L$4:$M$13,2,FALSE)*('DSMZ 120 v1'!$G$12/'DSMZ 120 v1'!$G$23)</f>
        <v>2E-3</v>
      </c>
      <c r="D26" s="41" t="s">
        <v>16</v>
      </c>
      <c r="E26" s="26">
        <f t="shared" si="0"/>
        <v>1.1731581417175035E-8</v>
      </c>
      <c r="F26" s="25" t="s">
        <v>81</v>
      </c>
      <c r="G26" s="28">
        <v>1</v>
      </c>
      <c r="H26" s="25">
        <f>VLOOKUP(F26,Library!$K$4:$N$36,3,FALSE)</f>
        <v>2</v>
      </c>
      <c r="I26" s="25">
        <f t="shared" si="1"/>
        <v>1.1731581417175035E-8</v>
      </c>
      <c r="J26" s="178">
        <f>IF(F26="N/A",0,VLOOKUP(F26,Library!$K$4:$M$36,2,FALSE))</f>
        <v>187.56</v>
      </c>
      <c r="K26" s="183">
        <f t="shared" si="2"/>
        <v>4.692632566870014E-8</v>
      </c>
      <c r="L26" s="28">
        <f t="shared" si="3"/>
        <v>2.2003754106053496E-6</v>
      </c>
      <c r="M26" s="25" t="s">
        <v>70</v>
      </c>
      <c r="N26" s="25">
        <v>2</v>
      </c>
      <c r="O26" s="25">
        <f>IFERROR(VLOOKUP(M26,Library!$K$4:$M$36,3,FALSE),"")</f>
        <v>-1</v>
      </c>
      <c r="P26" s="25">
        <f t="shared" si="4"/>
        <v>2.346316283435007E-8</v>
      </c>
      <c r="Q26" s="25">
        <f>IFERROR(IF(M26="N/A",0,VLOOKUP(M26,Library!$K$4:$N$36,2,FALSE)),"")</f>
        <v>35.453000000000003</v>
      </c>
      <c r="R26" s="25">
        <f t="shared" si="5"/>
        <v>2.346316283435007E-8</v>
      </c>
      <c r="S26" s="200">
        <f t="shared" si="6"/>
        <v>8.3183951196621312E-7</v>
      </c>
      <c r="T26" s="217">
        <f>VLOOKUP(A26,Library!$B$4:$G$69,3,FALSE)</f>
        <v>0</v>
      </c>
      <c r="U26" s="185">
        <f>VLOOKUP(A26,Library!$B$4:$G$69,4,FALSE)</f>
        <v>0</v>
      </c>
      <c r="V26" s="185">
        <f>VLOOKUP(A26,Library!$B$4:$G$69,5,FALSE)</f>
        <v>0</v>
      </c>
      <c r="W26" s="218">
        <f>VLOOKUP(A26,Library!$B$4:$G$69,6,FALSE)</f>
        <v>0</v>
      </c>
      <c r="X26" s="217">
        <f t="shared" si="12"/>
        <v>0</v>
      </c>
      <c r="Y26" s="185">
        <f t="shared" si="13"/>
        <v>0</v>
      </c>
      <c r="Z26" s="185">
        <f t="shared" si="14"/>
        <v>0</v>
      </c>
      <c r="AA26" s="218">
        <f t="shared" si="15"/>
        <v>0</v>
      </c>
      <c r="AB26" s="217">
        <f>X26*VLOOKUP($AB$7,Library!$T$4:$U$7,2,FALSE)</f>
        <v>0</v>
      </c>
      <c r="AC26" s="185">
        <f>Y26*VLOOKUP($AC$7,Library!$T$4:$U$7,2,FALSE)</f>
        <v>0</v>
      </c>
      <c r="AD26" s="185">
        <f>Z26*VLOOKUP($AD$7,Library!$T$4:$U$7,2,FALSE)</f>
        <v>0</v>
      </c>
      <c r="AE26" s="218">
        <f>AA26*VLOOKUP($AE$7,Library!$T$4:$U$7,2,FALSE)</f>
        <v>0</v>
      </c>
    </row>
    <row r="27" spans="1:31" ht="14.4" x14ac:dyDescent="0.3">
      <c r="A27" s="25" t="s">
        <v>43</v>
      </c>
      <c r="B27" s="25">
        <f>IFERROR(VLOOKUP(A27,Library!$B$4:$G$69,2,FALSE),"")</f>
        <v>237.69</v>
      </c>
      <c r="C27" s="26">
        <f>VLOOKUP(A27,'DSMZ 120 v1'!$L$4:$M$13,2,FALSE)*('DSMZ 120 v1'!$G$12/'DSMZ 120 v1'!$G$23)</f>
        <v>2.4E-2</v>
      </c>
      <c r="D27" s="41" t="s">
        <v>16</v>
      </c>
      <c r="E27" s="26">
        <f t="shared" si="0"/>
        <v>1.0097185409567084E-7</v>
      </c>
      <c r="F27" s="25" t="s">
        <v>72</v>
      </c>
      <c r="G27" s="28">
        <v>1</v>
      </c>
      <c r="H27" s="25">
        <f>VLOOKUP(F27,Library!$K$4:$N$36,3,FALSE)</f>
        <v>2</v>
      </c>
      <c r="I27" s="25">
        <f t="shared" si="1"/>
        <v>1.0097185409567084E-7</v>
      </c>
      <c r="J27" s="178">
        <f>IF(F27="N/A",0,VLOOKUP(F27,Library!$K$4:$M$36,2,FALSE))</f>
        <v>58.692999999999998</v>
      </c>
      <c r="K27" s="183">
        <f t="shared" si="2"/>
        <v>4.0388741638268334E-7</v>
      </c>
      <c r="L27" s="28">
        <f t="shared" si="3"/>
        <v>5.926341032437208E-6</v>
      </c>
      <c r="M27" s="25" t="s">
        <v>70</v>
      </c>
      <c r="N27" s="25">
        <v>2</v>
      </c>
      <c r="O27" s="25">
        <f>IFERROR(VLOOKUP(M27,Library!$K$4:$M$36,3,FALSE),"")</f>
        <v>-1</v>
      </c>
      <c r="P27" s="25">
        <f t="shared" si="4"/>
        <v>2.0194370819134167E-7</v>
      </c>
      <c r="Q27" s="25">
        <f>IFERROR(IF(M27="N/A",0,VLOOKUP(M27,Library!$K$4:$N$36,2,FALSE)),"")</f>
        <v>35.453000000000003</v>
      </c>
      <c r="R27" s="25">
        <f t="shared" si="5"/>
        <v>2.0194370819134167E-7</v>
      </c>
      <c r="S27" s="200">
        <f t="shared" si="6"/>
        <v>7.1595102865076371E-6</v>
      </c>
      <c r="T27" s="217">
        <f>VLOOKUP(A27,Library!$B$4:$G$69,3,FALSE)</f>
        <v>0</v>
      </c>
      <c r="U27" s="185">
        <f>VLOOKUP(A27,Library!$B$4:$G$69,4,FALSE)</f>
        <v>0</v>
      </c>
      <c r="V27" s="185">
        <f>VLOOKUP(A27,Library!$B$4:$G$69,5,FALSE)</f>
        <v>0</v>
      </c>
      <c r="W27" s="218">
        <f>VLOOKUP(A27,Library!$B$4:$G$69,6,FALSE)</f>
        <v>0</v>
      </c>
      <c r="X27" s="217">
        <f t="shared" si="12"/>
        <v>0</v>
      </c>
      <c r="Y27" s="185">
        <f t="shared" si="13"/>
        <v>0</v>
      </c>
      <c r="Z27" s="185">
        <f t="shared" si="14"/>
        <v>0</v>
      </c>
      <c r="AA27" s="218">
        <f t="shared" si="15"/>
        <v>0</v>
      </c>
      <c r="AB27" s="217">
        <f>X27*VLOOKUP($AB$7,Library!$T$4:$U$7,2,FALSE)</f>
        <v>0</v>
      </c>
      <c r="AC27" s="185">
        <f>Y27*VLOOKUP($AC$7,Library!$T$4:$U$7,2,FALSE)</f>
        <v>0</v>
      </c>
      <c r="AD27" s="185">
        <f>Z27*VLOOKUP($AD$7,Library!$T$4:$U$7,2,FALSE)</f>
        <v>0</v>
      </c>
      <c r="AE27" s="218">
        <f>AA27*VLOOKUP($AE$7,Library!$T$4:$U$7,2,FALSE)</f>
        <v>0</v>
      </c>
    </row>
    <row r="28" spans="1:31" ht="14.4" x14ac:dyDescent="0.3">
      <c r="A28" s="25" t="s">
        <v>50</v>
      </c>
      <c r="B28" s="25">
        <f>IFERROR(VLOOKUP(A28,Library!$B$4:$G$69,2,FALSE),"")</f>
        <v>241.95</v>
      </c>
      <c r="C28" s="26">
        <f>VLOOKUP(A28,'DSMZ 120 v1'!$L$4:$M$13,2,FALSE)*('DSMZ 120 v1'!$G$12/'DSMZ 120 v1'!$G$23)</f>
        <v>3.6000000000000004E-2</v>
      </c>
      <c r="D28" s="41" t="s">
        <v>16</v>
      </c>
      <c r="E28" s="26">
        <f t="shared" si="0"/>
        <v>1.4879107253564788E-7</v>
      </c>
      <c r="F28" s="25" t="s">
        <v>63</v>
      </c>
      <c r="G28" s="28">
        <v>2</v>
      </c>
      <c r="H28" s="25">
        <f>VLOOKUP(F28,Library!$K$4:$N$36,3,FALSE)</f>
        <v>1</v>
      </c>
      <c r="I28" s="25">
        <f t="shared" si="1"/>
        <v>2.9758214507129576E-7</v>
      </c>
      <c r="J28" s="178">
        <f>IF(F28="N/A",0,VLOOKUP(F28,Library!$K$4:$M$36,2,FALSE))</f>
        <v>28.989768999999999</v>
      </c>
      <c r="K28" s="183">
        <f t="shared" si="2"/>
        <v>2.9758214507129576E-7</v>
      </c>
      <c r="L28" s="28">
        <f t="shared" si="3"/>
        <v>8.6268376441413528E-6</v>
      </c>
      <c r="M28" s="25" t="s">
        <v>76</v>
      </c>
      <c r="N28" s="25">
        <v>1</v>
      </c>
      <c r="O28" s="25">
        <f>IFERROR(VLOOKUP(M28,Library!$K$4:$M$36,3,FALSE),"")</f>
        <v>-2</v>
      </c>
      <c r="P28" s="25">
        <f t="shared" si="4"/>
        <v>1.4879107253564788E-7</v>
      </c>
      <c r="Q28" s="25">
        <f>IFERROR(IF(M28="N/A",0,VLOOKUP(M28,Library!$K$4:$N$36,2,FALSE)),"")</f>
        <v>159.94999999999999</v>
      </c>
      <c r="R28" s="25">
        <f t="shared" si="5"/>
        <v>5.9516429014259153E-7</v>
      </c>
      <c r="S28" s="200">
        <f t="shared" si="6"/>
        <v>2.3799132052076878E-5</v>
      </c>
      <c r="T28" s="217">
        <f>VLOOKUP(A28,Library!$B$4:$G$69,3,FALSE)</f>
        <v>0</v>
      </c>
      <c r="U28" s="185">
        <f>VLOOKUP(A28,Library!$B$4:$G$69,4,FALSE)</f>
        <v>0</v>
      </c>
      <c r="V28" s="185">
        <f>VLOOKUP(A28,Library!$B$4:$G$69,5,FALSE)</f>
        <v>0</v>
      </c>
      <c r="W28" s="218">
        <f>VLOOKUP(A28,Library!$B$4:$G$69,6,FALSE)</f>
        <v>0</v>
      </c>
      <c r="X28" s="217">
        <f t="shared" si="12"/>
        <v>0</v>
      </c>
      <c r="Y28" s="185">
        <f t="shared" si="13"/>
        <v>0</v>
      </c>
      <c r="Z28" s="185">
        <f t="shared" si="14"/>
        <v>0</v>
      </c>
      <c r="AA28" s="218">
        <f t="shared" si="15"/>
        <v>0</v>
      </c>
      <c r="AB28" s="217">
        <f>X28*VLOOKUP($AB$7,Library!$T$4:$U$7,2,FALSE)</f>
        <v>0</v>
      </c>
      <c r="AC28" s="185">
        <f>Y28*VLOOKUP($AC$7,Library!$T$4:$U$7,2,FALSE)</f>
        <v>0</v>
      </c>
      <c r="AD28" s="185">
        <f>Z28*VLOOKUP($AD$7,Library!$T$4:$U$7,2,FALSE)</f>
        <v>0</v>
      </c>
      <c r="AE28" s="218">
        <f>AA28*VLOOKUP($AE$7,Library!$T$4:$U$7,2,FALSE)</f>
        <v>0</v>
      </c>
    </row>
    <row r="29" spans="1:31" ht="14.4" x14ac:dyDescent="0.3">
      <c r="A29" s="20" t="s">
        <v>346</v>
      </c>
      <c r="B29" s="253"/>
      <c r="C29" s="262"/>
      <c r="D29" s="262"/>
      <c r="E29" s="262"/>
      <c r="F29" s="253"/>
      <c r="G29" s="257"/>
      <c r="H29" s="253"/>
      <c r="I29" s="253"/>
      <c r="J29" s="263"/>
      <c r="K29" s="264"/>
      <c r="L29" s="257"/>
      <c r="M29" s="253"/>
      <c r="N29" s="253"/>
      <c r="O29" s="253"/>
      <c r="P29" s="253"/>
      <c r="Q29" s="253"/>
      <c r="R29" s="253"/>
      <c r="S29" s="265"/>
      <c r="T29" s="259"/>
      <c r="U29" s="260"/>
      <c r="V29" s="260"/>
      <c r="W29" s="261"/>
      <c r="X29" s="259"/>
      <c r="Y29" s="260"/>
      <c r="Z29" s="260"/>
      <c r="AA29" s="261"/>
      <c r="AB29" s="259"/>
      <c r="AC29" s="260"/>
      <c r="AD29" s="260"/>
      <c r="AE29" s="261"/>
    </row>
    <row r="30" spans="1:31" ht="14.4" x14ac:dyDescent="0.3">
      <c r="A30" s="70" t="s">
        <v>195</v>
      </c>
      <c r="B30" s="25">
        <f>IFERROR(VLOOKUP(A30,Library!$B$4:$G$69,2,FALSE),"")</f>
        <v>175.63</v>
      </c>
      <c r="C30" s="26">
        <f>VLOOKUP(A30,'DSMZ 120 v1'!$F$5:$G$22,2,FALSE)*1000/'DSMZ 120 v1'!$G$23</f>
        <v>0.3</v>
      </c>
      <c r="D30" s="26" t="s">
        <v>97</v>
      </c>
      <c r="E30" s="26">
        <f t="shared" si="0"/>
        <v>1.7081364231623299E-3</v>
      </c>
      <c r="F30" s="25" t="s">
        <v>339</v>
      </c>
      <c r="G30" s="28">
        <v>1</v>
      </c>
      <c r="H30" s="25">
        <f>VLOOKUP(F30,Library!$K$4:$N$36,3,FALSE)</f>
        <v>1</v>
      </c>
      <c r="I30" s="25">
        <f t="shared" si="1"/>
        <v>1.7081364231623299E-3</v>
      </c>
      <c r="J30" s="178">
        <f>IF(F30="N/A",0,VLOOKUP(F30,Library!$K$4:$M$36,2,FALSE))</f>
        <v>1.0078400000000001</v>
      </c>
      <c r="K30" s="183">
        <f t="shared" si="2"/>
        <v>1.7081364231623299E-3</v>
      </c>
      <c r="L30" s="28">
        <f t="shared" si="3"/>
        <v>1.7215282127199228E-3</v>
      </c>
      <c r="M30" s="25" t="s">
        <v>70</v>
      </c>
      <c r="N30" s="25">
        <v>1</v>
      </c>
      <c r="O30" s="25">
        <f>IFERROR(VLOOKUP(M30,Library!$K$4:$M$36,3,FALSE),"")</f>
        <v>-1</v>
      </c>
      <c r="P30" s="25">
        <f t="shared" si="4"/>
        <v>1.7081364231623299E-3</v>
      </c>
      <c r="Q30" s="25">
        <f>IFERROR(IF(M30="N/A",0,VLOOKUP(M30,Library!$K$4:$N$36,2,FALSE)),"")</f>
        <v>35.453000000000003</v>
      </c>
      <c r="R30" s="25">
        <f t="shared" si="5"/>
        <v>1.7081364231623299E-3</v>
      </c>
      <c r="S30" s="200">
        <f t="shared" si="6"/>
        <v>6.0558560610374089E-2</v>
      </c>
      <c r="T30" s="217">
        <f>VLOOKUP(A30,Library!$B$4:$G$69,3,FALSE)</f>
        <v>3</v>
      </c>
      <c r="U30" s="185">
        <f>VLOOKUP(A30,Library!$B$4:$G$69,4,FALSE)</f>
        <v>1</v>
      </c>
      <c r="V30" s="185">
        <f>VLOOKUP(A30,Library!$B$4:$G$69,5,FALSE)</f>
        <v>0</v>
      </c>
      <c r="W30" s="218">
        <f>VLOOKUP(A30,Library!$B$4:$G$69,6,FALSE)</f>
        <v>1</v>
      </c>
      <c r="X30" s="217">
        <f t="shared" si="12"/>
        <v>5.1244092694869899E-3</v>
      </c>
      <c r="Y30" s="185">
        <f t="shared" si="13"/>
        <v>1.7081364231623299E-3</v>
      </c>
      <c r="Z30" s="185">
        <f t="shared" si="14"/>
        <v>0</v>
      </c>
      <c r="AA30" s="218">
        <f t="shared" si="15"/>
        <v>1.7081364231623299E-3</v>
      </c>
      <c r="AB30" s="217">
        <f>X30*VLOOKUP($AB$7,Library!$T$4:$U$7,2,FALSE)</f>
        <v>6.1544155326538751E-2</v>
      </c>
      <c r="AC30" s="185">
        <f>Y30*VLOOKUP($AC$7,Library!$T$4:$U$7,2,FALSE)</f>
        <v>2.393099128850424E-2</v>
      </c>
      <c r="AD30" s="185">
        <f>Z30*VLOOKUP($AD$7,Library!$T$4:$U$7,2,FALSE)</f>
        <v>0</v>
      </c>
      <c r="AE30" s="218">
        <f>AA30*VLOOKUP($AE$7,Library!$T$4:$U$7,2,FALSE)</f>
        <v>5.4779935090815919E-2</v>
      </c>
    </row>
    <row r="31" spans="1:31" ht="14.4" x14ac:dyDescent="0.3">
      <c r="A31" s="70" t="s">
        <v>298</v>
      </c>
      <c r="B31" s="25">
        <f>IFERROR(VLOOKUP(A31,Library!$B$4:$G$69,2,FALSE),"")</f>
        <v>240.18</v>
      </c>
      <c r="C31" s="26">
        <f>VLOOKUP(A31,'DSMZ 120 v1'!$F$5:$G$22,2,FALSE)*1000/'DSMZ 120 v1'!$G$23</f>
        <v>0.3</v>
      </c>
      <c r="D31" s="26" t="s">
        <v>97</v>
      </c>
      <c r="E31" s="26">
        <f t="shared" si="0"/>
        <v>1.2490632025980513E-3</v>
      </c>
      <c r="F31" s="25" t="s">
        <v>63</v>
      </c>
      <c r="G31" s="28">
        <v>2</v>
      </c>
      <c r="H31" s="25">
        <f>VLOOKUP(F31,Library!$K$4:$N$36,3,FALSE)</f>
        <v>1</v>
      </c>
      <c r="I31" s="25">
        <f t="shared" si="1"/>
        <v>2.4981264051961026E-3</v>
      </c>
      <c r="J31" s="178">
        <f>IF(F31="N/A",0,VLOOKUP(F31,Library!$K$4:$M$36,2,FALSE))</f>
        <v>28.989768999999999</v>
      </c>
      <c r="K31" s="183">
        <f t="shared" si="2"/>
        <v>2.4981264051961026E-3</v>
      </c>
      <c r="L31" s="28">
        <f t="shared" si="3"/>
        <v>7.2420107419435414E-2</v>
      </c>
      <c r="M31" s="25" t="s">
        <v>84</v>
      </c>
      <c r="N31" s="25">
        <v>1</v>
      </c>
      <c r="O31" s="25">
        <f>IFERROR(VLOOKUP(M31,Library!$K$4:$M$36,3,FALSE),"")</f>
        <v>-2</v>
      </c>
      <c r="P31" s="25">
        <f t="shared" si="4"/>
        <v>1.2490632025980513E-3</v>
      </c>
      <c r="Q31" s="25">
        <f>IFERROR(IF(M31="N/A",0,VLOOKUP(M31,Library!$K$4:$N$36,2,FALSE)),"")</f>
        <v>32.064999999999998</v>
      </c>
      <c r="R31" s="25">
        <f t="shared" si="5"/>
        <v>4.9962528103922052E-3</v>
      </c>
      <c r="S31" s="200">
        <f t="shared" si="6"/>
        <v>4.0051211591306514E-2</v>
      </c>
      <c r="T31" s="217">
        <f>VLOOKUP(A31,Library!$B$4:$G$69,3,FALSE)</f>
        <v>0</v>
      </c>
      <c r="U31" s="185">
        <f>VLOOKUP(A31,Library!$B$4:$G$69,4,FALSE)</f>
        <v>0</v>
      </c>
      <c r="V31" s="185">
        <f>VLOOKUP(A31,Library!$B$4:$G$69,5,FALSE)</f>
        <v>0</v>
      </c>
      <c r="W31" s="218">
        <f>VLOOKUP(A31,Library!$B$4:$G$69,6,FALSE)</f>
        <v>1</v>
      </c>
      <c r="X31" s="217">
        <f t="shared" si="12"/>
        <v>0</v>
      </c>
      <c r="Y31" s="185">
        <f t="shared" si="13"/>
        <v>0</v>
      </c>
      <c r="Z31" s="185">
        <f t="shared" si="14"/>
        <v>0</v>
      </c>
      <c r="AA31" s="218">
        <f t="shared" si="15"/>
        <v>1.2490632025980513E-3</v>
      </c>
      <c r="AB31" s="217">
        <f>X31*VLOOKUP($AB$7,Library!$T$4:$U$7,2,FALSE)</f>
        <v>0</v>
      </c>
      <c r="AC31" s="185">
        <f>Y31*VLOOKUP($AC$7,Library!$T$4:$U$7,2,FALSE)</f>
        <v>0</v>
      </c>
      <c r="AD31" s="185">
        <f>Z31*VLOOKUP($AD$7,Library!$T$4:$U$7,2,FALSE)</f>
        <v>0</v>
      </c>
      <c r="AE31" s="218">
        <f>AA31*VLOOKUP($AE$7,Library!$T$4:$U$7,2,FALSE)</f>
        <v>4.0057456907319502E-2</v>
      </c>
    </row>
    <row r="32" spans="1:31" ht="14.4" x14ac:dyDescent="0.3">
      <c r="A32" s="20" t="s">
        <v>344</v>
      </c>
      <c r="B32" s="253"/>
      <c r="C32" s="262"/>
      <c r="D32" s="262"/>
      <c r="E32" s="262"/>
      <c r="F32" s="253"/>
      <c r="G32" s="257"/>
      <c r="H32" s="253"/>
      <c r="I32" s="253"/>
      <c r="J32" s="263"/>
      <c r="K32" s="264"/>
      <c r="L32" s="257"/>
      <c r="M32" s="253"/>
      <c r="N32" s="253"/>
      <c r="O32" s="253"/>
      <c r="P32" s="253"/>
      <c r="Q32" s="253"/>
      <c r="R32" s="253"/>
      <c r="S32" s="265"/>
      <c r="T32" s="259"/>
      <c r="U32" s="260"/>
      <c r="V32" s="260"/>
      <c r="W32" s="261"/>
      <c r="X32" s="259"/>
      <c r="Y32" s="260"/>
      <c r="Z32" s="260"/>
      <c r="AA32" s="261"/>
      <c r="AB32" s="259"/>
      <c r="AC32" s="260"/>
      <c r="AD32" s="260"/>
      <c r="AE32" s="261"/>
    </row>
    <row r="33" spans="1:31" ht="14.4" x14ac:dyDescent="0.3">
      <c r="A33" s="70" t="s">
        <v>345</v>
      </c>
      <c r="B33" s="25"/>
      <c r="C33" s="26">
        <f>VLOOKUP(A33,'DSMZ 120 v1'!$F$5:$G$22,2,FALSE)*1000/'DSMZ 120 v1'!$G$23</f>
        <v>2</v>
      </c>
      <c r="D33" s="26" t="s">
        <v>97</v>
      </c>
      <c r="E33" s="26"/>
      <c r="F33" s="25"/>
      <c r="G33" s="28"/>
      <c r="H33" s="25"/>
      <c r="I33" s="25"/>
      <c r="J33" s="178"/>
      <c r="K33" s="183"/>
      <c r="L33" s="28"/>
      <c r="M33" s="25"/>
      <c r="N33" s="25"/>
      <c r="O33" s="25"/>
      <c r="P33" s="25"/>
      <c r="Q33" s="25"/>
      <c r="R33" s="25"/>
      <c r="S33" s="200"/>
      <c r="T33" s="217"/>
      <c r="U33" s="185"/>
      <c r="V33" s="185"/>
      <c r="W33" s="218"/>
      <c r="X33" s="217"/>
      <c r="Y33" s="185"/>
      <c r="Z33" s="185"/>
      <c r="AA33" s="218"/>
      <c r="AB33" s="217"/>
      <c r="AC33" s="185"/>
      <c r="AD33" s="185"/>
      <c r="AE33" s="218"/>
    </row>
    <row r="34" spans="1:31" ht="14.4" x14ac:dyDescent="0.3">
      <c r="A34" s="70" t="s">
        <v>352</v>
      </c>
      <c r="B34" s="25"/>
      <c r="C34" s="26">
        <f>VLOOKUP(A34,'DSMZ 120 v1'!$F$5:$G$22,2,FALSE)*1000/'DSMZ 120 v1'!$G$23</f>
        <v>2</v>
      </c>
      <c r="D34" s="26" t="s">
        <v>97</v>
      </c>
      <c r="E34" s="26"/>
      <c r="F34" s="25"/>
      <c r="G34" s="28"/>
      <c r="H34" s="25"/>
      <c r="I34" s="25"/>
      <c r="J34" s="178"/>
      <c r="K34" s="183"/>
      <c r="L34" s="28"/>
      <c r="M34" s="25"/>
      <c r="N34" s="25"/>
      <c r="O34" s="25"/>
      <c r="P34" s="25"/>
      <c r="Q34" s="25"/>
      <c r="R34" s="25"/>
      <c r="S34" s="200"/>
      <c r="T34" s="217"/>
      <c r="U34" s="185"/>
      <c r="V34" s="185"/>
      <c r="W34" s="218"/>
      <c r="X34" s="217"/>
      <c r="Y34" s="185"/>
      <c r="Z34" s="185"/>
      <c r="AA34" s="218"/>
      <c r="AB34" s="217"/>
      <c r="AC34" s="185"/>
      <c r="AD34" s="185"/>
      <c r="AE34" s="218"/>
    </row>
    <row r="35" spans="1:31" ht="14.4" x14ac:dyDescent="0.3">
      <c r="A35" s="70" t="s">
        <v>295</v>
      </c>
      <c r="B35" s="25">
        <f>IFERROR(VLOOKUP(A35,Library!$B$4:$G$69,2,FALSE),"")</f>
        <v>82.03</v>
      </c>
      <c r="C35" s="26">
        <f>VLOOKUP(A35,'DSMZ 120 v1'!$F$5:$G$22,2,FALSE)*1000/'DSMZ 120 v1'!$G$23</f>
        <v>2.5</v>
      </c>
      <c r="D35" s="26" t="s">
        <v>97</v>
      </c>
      <c r="E35" s="26">
        <f t="shared" si="0"/>
        <v>3.0476654882360111E-2</v>
      </c>
      <c r="F35" s="25" t="s">
        <v>63</v>
      </c>
      <c r="G35" s="28">
        <v>1</v>
      </c>
      <c r="H35" s="25">
        <f>VLOOKUP(F35,Library!$K$4:$N$36,3,FALSE)</f>
        <v>1</v>
      </c>
      <c r="I35" s="25">
        <f t="shared" si="1"/>
        <v>3.0476654882360111E-2</v>
      </c>
      <c r="J35" s="178">
        <f>IF(F35="N/A",0,VLOOKUP(F35,Library!$K$4:$M$36,2,FALSE))</f>
        <v>28.989768999999999</v>
      </c>
      <c r="K35" s="183">
        <f t="shared" ref="K35:K37" si="16">I35*(H35^2)</f>
        <v>3.0476654882360111E-2</v>
      </c>
      <c r="L35" s="28">
        <f t="shared" ref="L35:L37" si="17">I35*J35</f>
        <v>0.88351118493234171</v>
      </c>
      <c r="M35" s="25" t="s">
        <v>77</v>
      </c>
      <c r="N35" s="25">
        <v>1</v>
      </c>
      <c r="O35" s="25">
        <f>IFERROR(VLOOKUP(M35,Library!$K$4:$M$36,3,FALSE),"")</f>
        <v>-1</v>
      </c>
      <c r="P35" s="25">
        <f t="shared" si="4"/>
        <v>3.0476654882360111E-2</v>
      </c>
      <c r="Q35" s="25">
        <f>IFERROR(IF(M35="N/A",0,VLOOKUP(M35,Library!$K$4:$N$36,2,FALSE)),"")</f>
        <v>59.043999999999997</v>
      </c>
      <c r="R35" s="25">
        <f t="shared" si="5"/>
        <v>3.0476654882360111E-2</v>
      </c>
      <c r="S35" s="200">
        <f t="shared" si="6"/>
        <v>1.7994636108740703</v>
      </c>
      <c r="T35" s="217">
        <f>VLOOKUP(A35,Library!$B$4:$G$69,3,FALSE)</f>
        <v>3</v>
      </c>
      <c r="U35" s="185">
        <f>VLOOKUP(A35,Library!$B$4:$G$69,4,FALSE)</f>
        <v>0</v>
      </c>
      <c r="V35" s="185">
        <f>VLOOKUP(A35,Library!$B$4:$G$69,5,FALSE)</f>
        <v>0</v>
      </c>
      <c r="W35" s="218">
        <f>VLOOKUP(A35,Library!$B$4:$G$69,6,FALSE)</f>
        <v>0</v>
      </c>
      <c r="X35" s="217">
        <f t="shared" si="12"/>
        <v>9.1429964647080336E-2</v>
      </c>
      <c r="Y35" s="185">
        <f t="shared" si="13"/>
        <v>0</v>
      </c>
      <c r="Z35" s="185">
        <f t="shared" si="14"/>
        <v>0</v>
      </c>
      <c r="AA35" s="218">
        <f t="shared" si="15"/>
        <v>0</v>
      </c>
      <c r="AB35" s="217">
        <f>X35*VLOOKUP($AB$7,Library!$T$4:$U$7,2,FALSE)</f>
        <v>1.0980738754114348</v>
      </c>
      <c r="AC35" s="185">
        <f>Y35*VLOOKUP($AC$7,Library!$T$4:$U$7,2,FALSE)</f>
        <v>0</v>
      </c>
      <c r="AD35" s="185">
        <f>Z35*VLOOKUP($AD$7,Library!$T$4:$U$7,2,FALSE)</f>
        <v>0</v>
      </c>
      <c r="AE35" s="218">
        <f>AA35*VLOOKUP($AE$7,Library!$T$4:$U$7,2,FALSE)</f>
        <v>0</v>
      </c>
    </row>
    <row r="36" spans="1:31" ht="14.4" x14ac:dyDescent="0.3">
      <c r="A36" s="70" t="s">
        <v>48</v>
      </c>
      <c r="B36" s="25"/>
      <c r="C36" s="26"/>
      <c r="D36" s="26"/>
      <c r="E36" s="26"/>
      <c r="F36" s="25"/>
      <c r="G36" s="28"/>
      <c r="H36" s="25"/>
      <c r="I36" s="25"/>
      <c r="J36" s="178"/>
      <c r="K36" s="183"/>
      <c r="L36" s="28"/>
      <c r="M36" s="25"/>
      <c r="N36" s="25"/>
      <c r="O36" s="25"/>
      <c r="P36" s="25"/>
      <c r="Q36" s="25"/>
      <c r="R36" s="25"/>
      <c r="S36" s="200"/>
      <c r="T36" s="217"/>
      <c r="U36" s="185"/>
      <c r="V36" s="185"/>
      <c r="W36" s="218"/>
      <c r="X36" s="217"/>
      <c r="Y36" s="185"/>
      <c r="Z36" s="185"/>
      <c r="AA36" s="218"/>
      <c r="AB36" s="217"/>
      <c r="AC36" s="185"/>
      <c r="AD36" s="185"/>
      <c r="AE36" s="218"/>
    </row>
    <row r="37" spans="1:31" ht="14.4" x14ac:dyDescent="0.3">
      <c r="A37" s="69" t="s">
        <v>52</v>
      </c>
      <c r="B37" s="25">
        <f>IFERROR(VLOOKUP(A37,Library!$B$4:$G$69,2,FALSE),"")</f>
        <v>84.01</v>
      </c>
      <c r="C37" s="26">
        <f>VLOOKUP(A37,'DSMZ 120 v1'!$F$5:$G$22,2,FALSE)*1000/'DSMZ 120 v1'!$G$23</f>
        <v>0</v>
      </c>
      <c r="D37" s="26" t="s">
        <v>97</v>
      </c>
      <c r="E37" s="26">
        <f t="shared" si="0"/>
        <v>0</v>
      </c>
      <c r="F37" s="25" t="s">
        <v>63</v>
      </c>
      <c r="G37" s="28">
        <v>1</v>
      </c>
      <c r="H37" s="25">
        <f>VLOOKUP(F37,Library!$K$4:$N$36,3,FALSE)</f>
        <v>1</v>
      </c>
      <c r="I37" s="25">
        <f t="shared" si="1"/>
        <v>0</v>
      </c>
      <c r="J37" s="178">
        <f>IF(F37="N/A",0,VLOOKUP(F37,Library!$K$4:$M$36,2,FALSE))</f>
        <v>28.989768999999999</v>
      </c>
      <c r="K37" s="183">
        <f t="shared" si="16"/>
        <v>0</v>
      </c>
      <c r="L37" s="28">
        <f t="shared" si="17"/>
        <v>0</v>
      </c>
      <c r="M37" s="25" t="s">
        <v>67</v>
      </c>
      <c r="N37" s="25">
        <v>1</v>
      </c>
      <c r="O37" s="25">
        <f>IFERROR(VLOOKUP(M37,Library!$K$4:$M$36,3,FALSE),"")</f>
        <v>-1</v>
      </c>
      <c r="P37" s="25">
        <f t="shared" si="4"/>
        <v>0</v>
      </c>
      <c r="Q37" s="25">
        <f>IFERROR(IF(M37="N/A",0,VLOOKUP(M37,Library!$K$4:$N$36,2,FALSE)),"")</f>
        <v>61.016800000000003</v>
      </c>
      <c r="R37" s="25">
        <f t="shared" si="5"/>
        <v>0</v>
      </c>
      <c r="S37" s="200">
        <f t="shared" si="6"/>
        <v>0</v>
      </c>
      <c r="T37" s="217">
        <f>VLOOKUP(A37,Library!$B$4:$G$69,3,FALSE)</f>
        <v>1</v>
      </c>
      <c r="U37" s="185">
        <f>VLOOKUP(A37,Library!$B$4:$G$69,4,FALSE)</f>
        <v>0</v>
      </c>
      <c r="V37" s="185">
        <f>VLOOKUP(A37,Library!$B$4:$G$69,5,FALSE)</f>
        <v>0</v>
      </c>
      <c r="W37" s="218">
        <f>VLOOKUP(A37,Library!$B$4:$G$69,6,FALSE)</f>
        <v>0</v>
      </c>
      <c r="X37" s="217">
        <f t="shared" si="12"/>
        <v>0</v>
      </c>
      <c r="Y37" s="185">
        <f t="shared" si="13"/>
        <v>0</v>
      </c>
      <c r="Z37" s="185">
        <f t="shared" si="14"/>
        <v>0</v>
      </c>
      <c r="AA37" s="218">
        <f t="shared" si="15"/>
        <v>0</v>
      </c>
      <c r="AB37" s="217">
        <f>X37*VLOOKUP($AB$7,Library!$T$4:$U$7,2,FALSE)</f>
        <v>0</v>
      </c>
      <c r="AC37" s="185">
        <f>Y37*VLOOKUP($AC$7,Library!$T$4:$U$7,2,FALSE)</f>
        <v>0</v>
      </c>
      <c r="AD37" s="185">
        <f>Z37*VLOOKUP($AD$7,Library!$T$4:$U$7,2,FALSE)</f>
        <v>0</v>
      </c>
      <c r="AE37" s="218">
        <f>AA37*VLOOKUP($AE$7,Library!$T$4:$U$7,2,FALSE)</f>
        <v>0</v>
      </c>
    </row>
    <row r="38" spans="1:31" ht="14.4" x14ac:dyDescent="0.3">
      <c r="A38" s="70" t="s">
        <v>347</v>
      </c>
      <c r="B38" s="25">
        <f>IFERROR(VLOOKUP(A38,Library!$B$4:$G$69,2,FALSE),"")</f>
        <v>32.04</v>
      </c>
      <c r="C38" s="26">
        <f>VLOOKUP(A38,'DSMZ 120 v1'!$F$5:$G$22,2,FALSE)*1000/'DSMZ 120 v1'!$G$23*0.7918</f>
        <v>7.9179999999999993</v>
      </c>
      <c r="D38" s="26" t="s">
        <v>97</v>
      </c>
      <c r="E38" s="26">
        <f t="shared" si="0"/>
        <v>0.24712858926342071</v>
      </c>
      <c r="F38" s="25"/>
      <c r="G38" s="28"/>
      <c r="H38" s="25"/>
      <c r="I38" s="25"/>
      <c r="J38" s="178"/>
      <c r="K38" s="183"/>
      <c r="L38" s="28"/>
      <c r="M38" s="25"/>
      <c r="N38" s="25"/>
      <c r="O38" s="25"/>
      <c r="P38" s="25"/>
      <c r="Q38" s="25"/>
      <c r="R38" s="25"/>
      <c r="S38" s="200"/>
      <c r="T38" s="217">
        <f>VLOOKUP(A38,Library!$B$4:$G$69,3,FALSE)</f>
        <v>1</v>
      </c>
      <c r="U38" s="185">
        <f>VLOOKUP(A38,Library!$B$4:$G$69,4,FALSE)</f>
        <v>0</v>
      </c>
      <c r="V38" s="185">
        <f>VLOOKUP(A38,Library!$B$4:$G$69,5,FALSE)</f>
        <v>0</v>
      </c>
      <c r="W38" s="218">
        <f>VLOOKUP(A38,Library!$B$4:$G$69,6,FALSE)</f>
        <v>0</v>
      </c>
      <c r="X38" s="217">
        <f t="shared" si="12"/>
        <v>0.24712858926342071</v>
      </c>
      <c r="Y38" s="185">
        <f t="shared" si="13"/>
        <v>0</v>
      </c>
      <c r="Z38" s="185">
        <f t="shared" si="14"/>
        <v>0</v>
      </c>
      <c r="AA38" s="218">
        <f t="shared" si="15"/>
        <v>0</v>
      </c>
      <c r="AB38" s="217">
        <f>X38*VLOOKUP($AB$7,Library!$T$4:$U$7,2,FALSE)</f>
        <v>2.9680143570536828</v>
      </c>
      <c r="AC38" s="185">
        <f>Y38*VLOOKUP($AC$7,Library!$T$4:$U$7,2,FALSE)</f>
        <v>0</v>
      </c>
      <c r="AD38" s="185">
        <f>Z38*VLOOKUP($AD$7,Library!$T$4:$U$7,2,FALSE)</f>
        <v>0</v>
      </c>
      <c r="AE38" s="218">
        <f>AA38*VLOOKUP($AE$7,Library!$T$4:$U$7,2,FALSE)</f>
        <v>0</v>
      </c>
    </row>
    <row r="39" spans="1:31" ht="14.4" x14ac:dyDescent="0.3">
      <c r="A39" s="20" t="s">
        <v>320</v>
      </c>
      <c r="B39" s="253"/>
      <c r="C39" s="262"/>
      <c r="D39" s="262"/>
      <c r="E39" s="262"/>
      <c r="F39" s="253"/>
      <c r="G39" s="257"/>
      <c r="H39" s="253"/>
      <c r="I39" s="253"/>
      <c r="J39" s="263"/>
      <c r="K39" s="264"/>
      <c r="L39" s="257"/>
      <c r="M39" s="253"/>
      <c r="N39" s="253"/>
      <c r="O39" s="253"/>
      <c r="P39" s="253"/>
      <c r="Q39" s="253"/>
      <c r="R39" s="253"/>
      <c r="S39" s="265"/>
      <c r="T39" s="259"/>
      <c r="U39" s="260"/>
      <c r="V39" s="260"/>
      <c r="W39" s="261"/>
      <c r="X39" s="259">
        <f t="shared" si="12"/>
        <v>0</v>
      </c>
      <c r="Y39" s="260">
        <f t="shared" si="13"/>
        <v>0</v>
      </c>
      <c r="Z39" s="260">
        <f t="shared" si="14"/>
        <v>0</v>
      </c>
      <c r="AA39" s="261">
        <f t="shared" si="15"/>
        <v>0</v>
      </c>
      <c r="AB39" s="259"/>
      <c r="AC39" s="260"/>
      <c r="AD39" s="260"/>
      <c r="AE39" s="261"/>
    </row>
    <row r="40" spans="1:31" ht="14.4" x14ac:dyDescent="0.3">
      <c r="A40" s="25" t="s">
        <v>15</v>
      </c>
      <c r="B40" s="25">
        <f>IFERROR(VLOOKUP(A40,Library!$B$4:$G$69,2,FALSE),"")</f>
        <v>244.31</v>
      </c>
      <c r="C40" s="26">
        <f>VLOOKUP(A40,'DSMZ 120 v1'!$I$5:$J$14,2,FALSE)*'DSMZ 120 v1'!$G$19/'DSMZ 120 v1'!$G$23</f>
        <v>0.02</v>
      </c>
      <c r="D40" s="26" t="s">
        <v>16</v>
      </c>
      <c r="E40" s="26">
        <f t="shared" si="0"/>
        <v>8.1863206581801814E-8</v>
      </c>
      <c r="F40" s="25"/>
      <c r="G40" s="28"/>
      <c r="H40" s="25"/>
      <c r="I40" s="25"/>
      <c r="J40" s="178"/>
      <c r="K40" s="183"/>
      <c r="L40" s="28"/>
      <c r="M40" s="25"/>
      <c r="N40" s="25"/>
      <c r="O40" s="25"/>
      <c r="P40" s="25"/>
      <c r="Q40" s="25"/>
      <c r="R40" s="25"/>
      <c r="S40" s="200"/>
      <c r="T40" s="217">
        <f>VLOOKUP(A40,Library!$B$4:$G$69,3,FALSE)</f>
        <v>10</v>
      </c>
      <c r="U40" s="185">
        <f>VLOOKUP(A40,Library!$B$4:$G$69,4,FALSE)</f>
        <v>2</v>
      </c>
      <c r="V40" s="185">
        <f>VLOOKUP(A40,Library!$B$4:$G$69,5,FALSE)</f>
        <v>0</v>
      </c>
      <c r="W40" s="218">
        <f>VLOOKUP(A40,Library!$B$4:$G$69,6,FALSE)</f>
        <v>1</v>
      </c>
      <c r="X40" s="217">
        <f t="shared" si="12"/>
        <v>8.1863206581801809E-7</v>
      </c>
      <c r="Y40" s="185">
        <f t="shared" si="13"/>
        <v>1.6372641316360363E-7</v>
      </c>
      <c r="Z40" s="185">
        <f t="shared" si="14"/>
        <v>0</v>
      </c>
      <c r="AA40" s="218">
        <f t="shared" si="15"/>
        <v>8.1863206581801814E-8</v>
      </c>
      <c r="AB40" s="217">
        <f>X40*VLOOKUP($AB$7,Library!$T$4:$U$7,2,FALSE)</f>
        <v>9.8317711104743978E-6</v>
      </c>
      <c r="AC40" s="185">
        <f>Y40*VLOOKUP($AC$7,Library!$T$4:$U$7,2,FALSE)</f>
        <v>2.2938070484220868E-6</v>
      </c>
      <c r="AD40" s="185">
        <f>Z40*VLOOKUP($AD$7,Library!$T$4:$U$7,2,FALSE)</f>
        <v>0</v>
      </c>
      <c r="AE40" s="218">
        <f>AA40*VLOOKUP($AE$7,Library!$T$4:$U$7,2,FALSE)</f>
        <v>2.6253530350783843E-6</v>
      </c>
    </row>
    <row r="41" spans="1:31" ht="14.4" x14ac:dyDescent="0.3">
      <c r="A41" s="25" t="s">
        <v>19</v>
      </c>
      <c r="B41" s="25">
        <f>IFERROR(VLOOKUP(A41,Library!$B$4:$G$69,2,FALSE),"")</f>
        <v>441.4</v>
      </c>
      <c r="C41" s="26">
        <f>VLOOKUP(A41,'DSMZ 120 v1'!$I$5:$J$14,2,FALSE)*'DSMZ 120 v1'!$G$19/'DSMZ 120 v1'!$G$23</f>
        <v>0.02</v>
      </c>
      <c r="D41" s="26" t="s">
        <v>16</v>
      </c>
      <c r="E41" s="26">
        <f t="shared" si="0"/>
        <v>4.5310376076121436E-8</v>
      </c>
      <c r="F41" s="25"/>
      <c r="G41" s="28"/>
      <c r="H41" s="25"/>
      <c r="I41" s="25"/>
      <c r="J41" s="178"/>
      <c r="K41" s="183"/>
      <c r="L41" s="28"/>
      <c r="M41" s="25"/>
      <c r="N41" s="25"/>
      <c r="O41" s="25"/>
      <c r="P41" s="25"/>
      <c r="Q41" s="25"/>
      <c r="R41" s="25"/>
      <c r="S41" s="200"/>
      <c r="T41" s="217">
        <f>VLOOKUP(A41,Library!$B$4:$G$69,3,FALSE)</f>
        <v>19</v>
      </c>
      <c r="U41" s="185">
        <f>VLOOKUP(A41,Library!$B$4:$G$69,4,FALSE)</f>
        <v>7</v>
      </c>
      <c r="V41" s="185">
        <f>VLOOKUP(A41,Library!$B$4:$G$69,5,FALSE)</f>
        <v>0</v>
      </c>
      <c r="W41" s="218">
        <f>VLOOKUP(A41,Library!$B$4:$G$69,6,FALSE)</f>
        <v>0</v>
      </c>
      <c r="X41" s="217">
        <f t="shared" si="12"/>
        <v>8.6089714544630728E-7</v>
      </c>
      <c r="Y41" s="185">
        <f t="shared" si="13"/>
        <v>3.1717263253285005E-7</v>
      </c>
      <c r="Z41" s="185">
        <f t="shared" si="14"/>
        <v>0</v>
      </c>
      <c r="AA41" s="218">
        <f t="shared" si="15"/>
        <v>0</v>
      </c>
      <c r="AB41" s="217">
        <f>X41*VLOOKUP($AB$7,Library!$T$4:$U$7,2,FALSE)</f>
        <v>1.033937471681015E-5</v>
      </c>
      <c r="AC41" s="185">
        <f>Y41*VLOOKUP($AC$7,Library!$T$4:$U$7,2,FALSE)</f>
        <v>4.4435885817852293E-6</v>
      </c>
      <c r="AD41" s="185">
        <f>Z41*VLOOKUP($AD$7,Library!$T$4:$U$7,2,FALSE)</f>
        <v>0</v>
      </c>
      <c r="AE41" s="218">
        <f>AA41*VLOOKUP($AE$7,Library!$T$4:$U$7,2,FALSE)</f>
        <v>0</v>
      </c>
    </row>
    <row r="42" spans="1:31" ht="14.4" x14ac:dyDescent="0.3">
      <c r="A42" s="25" t="s">
        <v>120</v>
      </c>
      <c r="B42" s="25">
        <f>IFERROR(VLOOKUP(A42,Library!$B$4:$G$69,2,FALSE),"")</f>
        <v>205.64</v>
      </c>
      <c r="C42" s="26">
        <f>VLOOKUP(A42,'DSMZ 120 v1'!$I$5:$J$14,2,FALSE)*'DSMZ 120 v1'!$G$19/'DSMZ 120 v1'!$G$23</f>
        <v>0.1</v>
      </c>
      <c r="D42" s="26" t="s">
        <v>16</v>
      </c>
      <c r="E42" s="26">
        <f t="shared" si="0"/>
        <v>4.8628671464695592E-7</v>
      </c>
      <c r="F42" s="25"/>
      <c r="G42" s="28"/>
      <c r="H42" s="25"/>
      <c r="I42" s="25"/>
      <c r="J42" s="178"/>
      <c r="K42" s="183"/>
      <c r="L42" s="28"/>
      <c r="M42" s="25"/>
      <c r="N42" s="25"/>
      <c r="O42" s="25"/>
      <c r="P42" s="25"/>
      <c r="Q42" s="25"/>
      <c r="R42" s="25"/>
      <c r="S42" s="200"/>
      <c r="T42" s="217">
        <f>VLOOKUP(A42,Library!$B$4:$G$69,3,FALSE)</f>
        <v>8</v>
      </c>
      <c r="U42" s="185">
        <f>VLOOKUP(A42,Library!$B$4:$G$69,4,FALSE)</f>
        <v>1</v>
      </c>
      <c r="V42" s="185">
        <f>VLOOKUP(A42,Library!$B$4:$G$69,5,FALSE)</f>
        <v>0</v>
      </c>
      <c r="W42" s="218">
        <f>VLOOKUP(A42,Library!$B$4:$G$69,6,FALSE)</f>
        <v>0</v>
      </c>
      <c r="X42" s="217">
        <f t="shared" si="12"/>
        <v>3.8902937171756473E-6</v>
      </c>
      <c r="Y42" s="185">
        <f t="shared" si="13"/>
        <v>4.8628671464695592E-7</v>
      </c>
      <c r="Z42" s="185">
        <f t="shared" si="14"/>
        <v>0</v>
      </c>
      <c r="AA42" s="218">
        <f t="shared" si="15"/>
        <v>0</v>
      </c>
      <c r="AB42" s="217">
        <f>X42*VLOOKUP($AB$7,Library!$T$4:$U$7,2,FALSE)</f>
        <v>4.6722427543279525E-5</v>
      </c>
      <c r="AC42" s="185">
        <f>Y42*VLOOKUP($AC$7,Library!$T$4:$U$7,2,FALSE)</f>
        <v>6.8128768722038524E-6</v>
      </c>
      <c r="AD42" s="185">
        <f>Z42*VLOOKUP($AD$7,Library!$T$4:$U$7,2,FALSE)</f>
        <v>0</v>
      </c>
      <c r="AE42" s="218">
        <f>AA42*VLOOKUP($AE$7,Library!$T$4:$U$7,2,FALSE)</f>
        <v>0</v>
      </c>
    </row>
    <row r="43" spans="1:31" ht="14.4" x14ac:dyDescent="0.3">
      <c r="A43" s="25" t="s">
        <v>121</v>
      </c>
      <c r="B43" s="25">
        <f>IFERROR(VLOOKUP(A43,Library!$B$4:$G$69,2,FALSE),"")</f>
        <v>337.27</v>
      </c>
      <c r="C43" s="26">
        <f>VLOOKUP(A43,'DSMZ 120 v1'!$I$5:$J$14,2,FALSE)*'DSMZ 120 v1'!$G$19/'DSMZ 120 v1'!$G$23</f>
        <v>0.05</v>
      </c>
      <c r="D43" s="26" t="s">
        <v>16</v>
      </c>
      <c r="E43" s="26">
        <f t="shared" si="0"/>
        <v>1.4824917721706646E-7</v>
      </c>
      <c r="F43" s="25"/>
      <c r="G43" s="28"/>
      <c r="H43" s="25"/>
      <c r="I43" s="25"/>
      <c r="J43" s="178"/>
      <c r="K43" s="27"/>
      <c r="L43" s="27"/>
      <c r="M43" s="25"/>
      <c r="N43" s="25"/>
      <c r="O43" s="25"/>
      <c r="P43" s="25"/>
      <c r="Q43" s="25"/>
      <c r="R43" s="25"/>
      <c r="S43" s="200"/>
      <c r="T43" s="217">
        <f>VLOOKUP(A43,Library!$B$4:$G$69,3,FALSE)</f>
        <v>12</v>
      </c>
      <c r="U43" s="185">
        <f>VLOOKUP(A43,Library!$B$4:$G$69,4,FALSE)</f>
        <v>2</v>
      </c>
      <c r="V43" s="185">
        <f>VLOOKUP(A43,Library!$B$4:$G$69,5,FALSE)</f>
        <v>0</v>
      </c>
      <c r="W43" s="218">
        <f>VLOOKUP(A43,Library!$B$4:$G$69,6,FALSE)</f>
        <v>1</v>
      </c>
      <c r="X43" s="217">
        <f t="shared" si="12"/>
        <v>1.7789901266047974E-6</v>
      </c>
      <c r="Y43" s="185">
        <f t="shared" si="13"/>
        <v>2.9649835443413292E-7</v>
      </c>
      <c r="Z43" s="185">
        <f t="shared" si="14"/>
        <v>0</v>
      </c>
      <c r="AA43" s="218">
        <f t="shared" si="15"/>
        <v>1.4824917721706646E-7</v>
      </c>
      <c r="AB43" s="217">
        <f>X43*VLOOKUP($AB$7,Library!$T$4:$U$7,2,FALSE)</f>
        <v>2.1365671420523617E-5</v>
      </c>
      <c r="AC43" s="185">
        <f>Y43*VLOOKUP($AC$7,Library!$T$4:$U$7,2,FALSE)</f>
        <v>4.1539419456222018E-6</v>
      </c>
      <c r="AD43" s="185">
        <f>Z43*VLOOKUP($AD$7,Library!$T$4:$U$7,2,FALSE)</f>
        <v>0</v>
      </c>
      <c r="AE43" s="218">
        <f>AA43*VLOOKUP($AE$7,Library!$T$4:$U$7,2,FALSE)</f>
        <v>4.7543511133513211E-6</v>
      </c>
    </row>
    <row r="44" spans="1:31" ht="14.4" x14ac:dyDescent="0.3">
      <c r="A44" s="25" t="s">
        <v>30</v>
      </c>
      <c r="B44" s="25">
        <f>IFERROR(VLOOKUP(A44,Library!$B$4:$G$69,2,FALSE),"")</f>
        <v>376.37</v>
      </c>
      <c r="C44" s="26">
        <f>VLOOKUP(A44,'DSMZ 120 v1'!$I$5:$J$14,2,FALSE)*'DSMZ 120 v1'!$G$19/'DSMZ 120 v1'!$G$23</f>
        <v>0.05</v>
      </c>
      <c r="D44" s="26" t="s">
        <v>16</v>
      </c>
      <c r="E44" s="26">
        <f t="shared" si="0"/>
        <v>1.3284799532375059E-7</v>
      </c>
      <c r="F44" s="25"/>
      <c r="G44" s="28"/>
      <c r="H44" s="25"/>
      <c r="I44" s="25"/>
      <c r="J44" s="178"/>
      <c r="K44" s="27"/>
      <c r="L44" s="27"/>
      <c r="M44" s="25"/>
      <c r="N44" s="25"/>
      <c r="O44" s="25"/>
      <c r="P44" s="25"/>
      <c r="Q44" s="25"/>
      <c r="R44" s="25"/>
      <c r="S44" s="200"/>
      <c r="T44" s="217">
        <f>VLOOKUP(A44,Library!$B$4:$G$69,3,FALSE)</f>
        <v>17</v>
      </c>
      <c r="U44" s="185">
        <f>VLOOKUP(A44,Library!$B$4:$G$69,4,FALSE)</f>
        <v>4</v>
      </c>
      <c r="V44" s="185">
        <f>VLOOKUP(A44,Library!$B$4:$G$69,5,FALSE)</f>
        <v>0</v>
      </c>
      <c r="W44" s="218">
        <f>VLOOKUP(A44,Library!$B$4:$G$69,6,FALSE)</f>
        <v>0</v>
      </c>
      <c r="X44" s="217">
        <f t="shared" si="12"/>
        <v>2.2584159205037601E-6</v>
      </c>
      <c r="Y44" s="185">
        <f t="shared" si="13"/>
        <v>5.3139198129500234E-7</v>
      </c>
      <c r="Z44" s="185">
        <f t="shared" si="14"/>
        <v>0</v>
      </c>
      <c r="AA44" s="218">
        <f t="shared" si="15"/>
        <v>0</v>
      </c>
      <c r="AB44" s="217">
        <f>X44*VLOOKUP($AB$7,Library!$T$4:$U$7,2,FALSE)</f>
        <v>2.7123575205250158E-5</v>
      </c>
      <c r="AC44" s="185">
        <f>Y44*VLOOKUP($AC$7,Library!$T$4:$U$7,2,FALSE)</f>
        <v>7.444801657942983E-6</v>
      </c>
      <c r="AD44" s="185">
        <f>Z44*VLOOKUP($AD$7,Library!$T$4:$U$7,2,FALSE)</f>
        <v>0</v>
      </c>
      <c r="AE44" s="218">
        <f>AA44*VLOOKUP($AE$7,Library!$T$4:$U$7,2,FALSE)</f>
        <v>0</v>
      </c>
    </row>
    <row r="45" spans="1:31" ht="14.4" x14ac:dyDescent="0.3">
      <c r="A45" s="25" t="s">
        <v>34</v>
      </c>
      <c r="B45" s="25">
        <f>IFERROR(VLOOKUP(A45,Library!$B$4:$G$69,2,FALSE),"")</f>
        <v>123.11</v>
      </c>
      <c r="C45" s="26">
        <f>VLOOKUP(A45,'DSMZ 120 v1'!$I$5:$J$14,2,FALSE)*'DSMZ 120 v1'!$G$19/'DSMZ 120 v1'!$G$23</f>
        <v>0.05</v>
      </c>
      <c r="D45" s="26" t="s">
        <v>16</v>
      </c>
      <c r="E45" s="26">
        <f t="shared" si="0"/>
        <v>4.0614084964665748E-7</v>
      </c>
      <c r="F45" s="25"/>
      <c r="G45" s="28"/>
      <c r="H45" s="25"/>
      <c r="I45" s="25"/>
      <c r="J45" s="178"/>
      <c r="K45" s="27"/>
      <c r="L45" s="27"/>
      <c r="M45" s="25"/>
      <c r="N45" s="25"/>
      <c r="O45" s="25"/>
      <c r="P45" s="25"/>
      <c r="Q45" s="25"/>
      <c r="R45" s="25"/>
      <c r="S45" s="200"/>
      <c r="T45" s="217">
        <f>VLOOKUP(A45,Library!$B$4:$G$69,3,FALSE)</f>
        <v>6</v>
      </c>
      <c r="U45" s="185">
        <f>VLOOKUP(A45,Library!$B$4:$G$69,4,FALSE)</f>
        <v>1</v>
      </c>
      <c r="V45" s="185">
        <f>VLOOKUP(A45,Library!$B$4:$G$69,5,FALSE)</f>
        <v>0</v>
      </c>
      <c r="W45" s="218">
        <f>VLOOKUP(A45,Library!$B$4:$G$69,6,FALSE)</f>
        <v>0</v>
      </c>
      <c r="X45" s="217">
        <f t="shared" si="12"/>
        <v>2.436845097879945E-6</v>
      </c>
      <c r="Y45" s="185">
        <f t="shared" si="13"/>
        <v>4.0614084964665748E-7</v>
      </c>
      <c r="Z45" s="185">
        <f t="shared" si="14"/>
        <v>0</v>
      </c>
      <c r="AA45" s="218">
        <f t="shared" si="15"/>
        <v>0</v>
      </c>
      <c r="AB45" s="217">
        <f>X45*VLOOKUP($AB$7,Library!$T$4:$U$7,2,FALSE)</f>
        <v>2.9266509625538138E-5</v>
      </c>
      <c r="AC45" s="185">
        <f>Y45*VLOOKUP($AC$7,Library!$T$4:$U$7,2,FALSE)</f>
        <v>5.690033303549671E-6</v>
      </c>
      <c r="AD45" s="185">
        <f>Z45*VLOOKUP($AD$7,Library!$T$4:$U$7,2,FALSE)</f>
        <v>0</v>
      </c>
      <c r="AE45" s="218">
        <f>AA45*VLOOKUP($AE$7,Library!$T$4:$U$7,2,FALSE)</f>
        <v>0</v>
      </c>
    </row>
    <row r="46" spans="1:31" ht="14.4" x14ac:dyDescent="0.3">
      <c r="A46" s="25" t="s">
        <v>122</v>
      </c>
      <c r="B46" s="25">
        <f>IFERROR(VLOOKUP(A46,Library!$B$4:$G$69,2,FALSE),"")</f>
        <v>476.53</v>
      </c>
      <c r="C46" s="26">
        <f>VLOOKUP(A46,'DSMZ 120 v1'!$I$5:$J$14,2,FALSE)*'DSMZ 120 v1'!$G$19/'DSMZ 120 v1'!$G$23</f>
        <v>0.05</v>
      </c>
      <c r="D46" s="26" t="s">
        <v>16</v>
      </c>
      <c r="E46" s="26">
        <f t="shared" si="0"/>
        <v>1.0492518834071308E-7</v>
      </c>
      <c r="F46" s="25"/>
      <c r="G46" s="28"/>
      <c r="H46" s="25"/>
      <c r="I46" s="25"/>
      <c r="J46" s="178"/>
      <c r="K46" s="27"/>
      <c r="L46" s="27"/>
      <c r="M46" s="25"/>
      <c r="N46" s="25"/>
      <c r="O46" s="25"/>
      <c r="P46" s="25"/>
      <c r="Q46" s="25"/>
      <c r="R46" s="25"/>
      <c r="S46" s="200"/>
      <c r="T46" s="217">
        <f>VLOOKUP(A46,Library!$B$4:$G$69,3,FALSE)</f>
        <v>9</v>
      </c>
      <c r="U46" s="185">
        <f>VLOOKUP(A46,Library!$B$4:$G$69,4,FALSE)</f>
        <v>1</v>
      </c>
      <c r="V46" s="185">
        <f>VLOOKUP(A46,Library!$B$4:$G$69,5,FALSE)</f>
        <v>0</v>
      </c>
      <c r="W46" s="218">
        <f>VLOOKUP(A46,Library!$B$4:$G$69,6,FALSE)</f>
        <v>0</v>
      </c>
      <c r="X46" s="217">
        <f t="shared" si="12"/>
        <v>9.4432669506641772E-7</v>
      </c>
      <c r="Y46" s="185">
        <f t="shared" si="13"/>
        <v>1.0492518834071308E-7</v>
      </c>
      <c r="Z46" s="185">
        <f t="shared" si="14"/>
        <v>0</v>
      </c>
      <c r="AA46" s="218">
        <f t="shared" si="15"/>
        <v>0</v>
      </c>
      <c r="AB46" s="217">
        <f>X46*VLOOKUP($AB$7,Library!$T$4:$U$7,2,FALSE)</f>
        <v>1.1341363607747676E-5</v>
      </c>
      <c r="AC46" s="185">
        <f>Y46*VLOOKUP($AC$7,Library!$T$4:$U$7,2,FALSE)</f>
        <v>1.4700018886533902E-6</v>
      </c>
      <c r="AD46" s="185">
        <f>Z46*VLOOKUP($AD$7,Library!$T$4:$U$7,2,FALSE)</f>
        <v>0</v>
      </c>
      <c r="AE46" s="218">
        <f>AA46*VLOOKUP($AE$7,Library!$T$4:$U$7,2,FALSE)</f>
        <v>0</v>
      </c>
    </row>
    <row r="47" spans="1:31" ht="14.4" x14ac:dyDescent="0.3">
      <c r="A47" s="25" t="s">
        <v>42</v>
      </c>
      <c r="B47" s="25">
        <f>IFERROR(VLOOKUP(A47,Library!$B$4:$G$69,2,FALSE),"")</f>
        <v>1355.37</v>
      </c>
      <c r="C47" s="26">
        <f>VLOOKUP(A47,'DSMZ 120 v1'!$I$5:$J$14,2,FALSE)*'DSMZ 120 v1'!$G$19/'DSMZ 120 v1'!$G$23</f>
        <v>1E-3</v>
      </c>
      <c r="D47" s="26" t="s">
        <v>16</v>
      </c>
      <c r="E47" s="26">
        <f t="shared" si="0"/>
        <v>7.37805912776585E-10</v>
      </c>
      <c r="F47" s="25"/>
      <c r="G47" s="28"/>
      <c r="H47" s="25"/>
      <c r="I47" s="25"/>
      <c r="J47" s="178"/>
      <c r="K47" s="27"/>
      <c r="L47" s="27"/>
      <c r="M47" s="25"/>
      <c r="N47" s="25"/>
      <c r="O47" s="25"/>
      <c r="P47" s="25"/>
      <c r="Q47" s="25"/>
      <c r="R47" s="25"/>
      <c r="S47" s="200"/>
      <c r="T47" s="217">
        <f>VLOOKUP(A47,Library!$B$4:$G$69,3,FALSE)</f>
        <v>70</v>
      </c>
      <c r="U47" s="185">
        <f>VLOOKUP(A47,Library!$B$4:$G$69,4,FALSE)</f>
        <v>14</v>
      </c>
      <c r="V47" s="185">
        <f>VLOOKUP(A47,Library!$B$4:$G$69,5,FALSE)</f>
        <v>0</v>
      </c>
      <c r="W47" s="218">
        <f>VLOOKUP(A47,Library!$B$4:$G$69,6,FALSE)</f>
        <v>1</v>
      </c>
      <c r="X47" s="217">
        <f t="shared" si="12"/>
        <v>5.1646413894360947E-8</v>
      </c>
      <c r="Y47" s="185">
        <f t="shared" si="13"/>
        <v>1.0329282778872189E-8</v>
      </c>
      <c r="Z47" s="185">
        <f t="shared" si="14"/>
        <v>0</v>
      </c>
      <c r="AA47" s="218">
        <f t="shared" si="15"/>
        <v>7.37805912776585E-10</v>
      </c>
      <c r="AB47" s="217">
        <f>X47*VLOOKUP($AB$7,Library!$T$4:$U$7,2,FALSE)</f>
        <v>6.2027343087127501E-7</v>
      </c>
      <c r="AC47" s="185">
        <f>Y47*VLOOKUP($AC$7,Library!$T$4:$U$7,2,FALSE)</f>
        <v>1.4471325173199938E-7</v>
      </c>
      <c r="AD47" s="185">
        <f>Z47*VLOOKUP($AD$7,Library!$T$4:$U$7,2,FALSE)</f>
        <v>0</v>
      </c>
      <c r="AE47" s="218">
        <f>AA47*VLOOKUP($AE$7,Library!$T$4:$U$7,2,FALSE)</f>
        <v>2.366143562274508E-8</v>
      </c>
    </row>
    <row r="48" spans="1:31" ht="14.4" x14ac:dyDescent="0.3">
      <c r="A48" s="25" t="s">
        <v>45</v>
      </c>
      <c r="B48" s="25">
        <f>IFERROR(VLOOKUP(A48,Library!$B$4:$G$69,2,FALSE),"")</f>
        <v>137.13999999999999</v>
      </c>
      <c r="C48" s="26">
        <f>VLOOKUP(A48,'DSMZ 120 v1'!$I$5:$J$14,2,FALSE)*'DSMZ 120 v1'!$G$19/'DSMZ 120 v1'!$G$23</f>
        <v>0.05</v>
      </c>
      <c r="D48" s="26" t="s">
        <v>16</v>
      </c>
      <c r="E48" s="26">
        <f t="shared" si="0"/>
        <v>3.6459092897768708E-7</v>
      </c>
      <c r="F48" s="25"/>
      <c r="G48" s="28"/>
      <c r="H48" s="25"/>
      <c r="I48" s="25"/>
      <c r="J48" s="178"/>
      <c r="K48" s="27"/>
      <c r="L48" s="27"/>
      <c r="M48" s="25"/>
      <c r="N48" s="25"/>
      <c r="O48" s="25"/>
      <c r="P48" s="25"/>
      <c r="Q48" s="25"/>
      <c r="R48" s="25"/>
      <c r="S48" s="200"/>
      <c r="T48" s="217">
        <f>VLOOKUP(A48,Library!$B$4:$G$69,3,FALSE)</f>
        <v>7</v>
      </c>
      <c r="U48" s="185">
        <f>VLOOKUP(A48,Library!$B$4:$G$69,4,FALSE)</f>
        <v>1</v>
      </c>
      <c r="V48" s="185">
        <f>VLOOKUP(A48,Library!$B$4:$G$69,5,FALSE)</f>
        <v>0</v>
      </c>
      <c r="W48" s="218">
        <f>VLOOKUP(A48,Library!$B$4:$G$69,6,FALSE)</f>
        <v>0</v>
      </c>
      <c r="X48" s="217">
        <f t="shared" si="12"/>
        <v>2.5521365028438097E-6</v>
      </c>
      <c r="Y48" s="185">
        <f t="shared" si="13"/>
        <v>3.6459092897768708E-7</v>
      </c>
      <c r="Z48" s="185">
        <f t="shared" si="14"/>
        <v>0</v>
      </c>
      <c r="AA48" s="218">
        <f t="shared" si="15"/>
        <v>0</v>
      </c>
      <c r="AB48" s="217">
        <f>X48*VLOOKUP($AB$7,Library!$T$4:$U$7,2,FALSE)</f>
        <v>3.0651159399154156E-5</v>
      </c>
      <c r="AC48" s="185">
        <f>Y48*VLOOKUP($AC$7,Library!$T$4:$U$7,2,FALSE)</f>
        <v>5.107918914977396E-6</v>
      </c>
      <c r="AD48" s="185">
        <f>Z48*VLOOKUP($AD$7,Library!$T$4:$U$7,2,FALSE)</f>
        <v>0</v>
      </c>
      <c r="AE48" s="218">
        <f>AA48*VLOOKUP($AE$7,Library!$T$4:$U$7,2,FALSE)</f>
        <v>0</v>
      </c>
    </row>
    <row r="49" spans="1:31" ht="14.4" x14ac:dyDescent="0.3">
      <c r="A49" s="25" t="s">
        <v>288</v>
      </c>
      <c r="B49" s="25">
        <f>IFERROR(VLOOKUP(A49,Library!$B$4:$G$69,2,FALSE),"")</f>
        <v>206.33</v>
      </c>
      <c r="C49" s="26">
        <f>VLOOKUP(A49,'DSMZ 120 v1'!$I$5:$J$14,2,FALSE)*'DSMZ 120 v1'!$G$19/'DSMZ 120 v1'!$G$23</f>
        <v>0.05</v>
      </c>
      <c r="D49" s="26" t="s">
        <v>16</v>
      </c>
      <c r="E49" s="26">
        <f t="shared" si="0"/>
        <v>2.4233024766151311E-7</v>
      </c>
      <c r="F49" s="25"/>
      <c r="G49" s="28"/>
      <c r="H49" s="25"/>
      <c r="I49" s="25"/>
      <c r="J49" s="178"/>
      <c r="K49" s="27"/>
      <c r="L49" s="27"/>
      <c r="M49" s="25"/>
      <c r="N49" s="25"/>
      <c r="O49" s="25"/>
      <c r="P49" s="25"/>
      <c r="Q49" s="25"/>
      <c r="R49" s="25"/>
      <c r="S49" s="200"/>
      <c r="T49" s="217">
        <f>VLOOKUP(A49,Library!$B$4:$G$69,3,FALSE)</f>
        <v>8</v>
      </c>
      <c r="U49" s="185">
        <f>VLOOKUP(A49,Library!$B$4:$G$69,4,FALSE)</f>
        <v>0</v>
      </c>
      <c r="V49" s="185">
        <f>VLOOKUP(A49,Library!$B$4:$G$69,5,FALSE)</f>
        <v>0</v>
      </c>
      <c r="W49" s="218">
        <f>VLOOKUP(A49,Library!$B$4:$G$69,6,FALSE)</f>
        <v>2</v>
      </c>
      <c r="X49" s="217">
        <f t="shared" si="12"/>
        <v>1.9386419812921049E-6</v>
      </c>
      <c r="Y49" s="185">
        <f t="shared" si="13"/>
        <v>0</v>
      </c>
      <c r="Z49" s="185">
        <f t="shared" si="14"/>
        <v>0</v>
      </c>
      <c r="AA49" s="218">
        <f t="shared" si="15"/>
        <v>4.8466049532302623E-7</v>
      </c>
      <c r="AB49" s="217">
        <f>X49*VLOOKUP($AB$7,Library!$T$4:$U$7,2,FALSE)</f>
        <v>2.3283090195318181E-5</v>
      </c>
      <c r="AC49" s="185">
        <f>Y49*VLOOKUP($AC$7,Library!$T$4:$U$7,2,FALSE)</f>
        <v>0</v>
      </c>
      <c r="AD49" s="185">
        <f>Z49*VLOOKUP($AD$7,Library!$T$4:$U$7,2,FALSE)</f>
        <v>0</v>
      </c>
      <c r="AE49" s="218">
        <f>AA49*VLOOKUP($AE$7,Library!$T$4:$U$7,2,FALSE)</f>
        <v>1.5543062085009453E-5</v>
      </c>
    </row>
    <row r="50" spans="1:31" ht="14.4" x14ac:dyDescent="0.3">
      <c r="A50" s="69"/>
      <c r="C50" s="6"/>
      <c r="D50" s="6"/>
      <c r="E50" s="6"/>
      <c r="Q50" s="6"/>
      <c r="AB50" s="1"/>
    </row>
    <row r="51" spans="1:31" ht="14.4" x14ac:dyDescent="0.3">
      <c r="A51" t="s">
        <v>126</v>
      </c>
      <c r="C51" s="6"/>
      <c r="D51" s="6"/>
      <c r="E51" s="6"/>
      <c r="Q51" s="6"/>
    </row>
    <row r="52" spans="1:31" ht="14.4" x14ac:dyDescent="0.3">
      <c r="A52" s="7" t="s">
        <v>278</v>
      </c>
      <c r="B52" s="97"/>
      <c r="E52" s="6"/>
      <c r="Q52" s="6"/>
    </row>
    <row r="53" spans="1:31" ht="14.4" x14ac:dyDescent="0.3">
      <c r="A53" s="71" t="s">
        <v>98</v>
      </c>
      <c r="B53" s="71" t="s">
        <v>322</v>
      </c>
      <c r="C53" s="71" t="s">
        <v>103</v>
      </c>
      <c r="D53" s="206" t="s">
        <v>321</v>
      </c>
    </row>
    <row r="54" spans="1:31" ht="14.4" x14ac:dyDescent="0.3">
      <c r="A54" s="70" t="s">
        <v>63</v>
      </c>
      <c r="B54" s="70">
        <f t="shared" ref="B54:B66" si="18">SUMIF($F$9:$F$49,A54,$L$9:$L$49)*1000</f>
        <v>2072.0757893126251</v>
      </c>
      <c r="C54" s="70">
        <f>SUMIF($F$10:$F$49,A54,$I$10:$I$49)</f>
        <v>7.1476105563746464E-2</v>
      </c>
      <c r="D54" s="207">
        <f>SUMIF($F$10:$F$49,A54,$K$10:$K$49)</f>
        <v>7.1476105563746464E-2</v>
      </c>
    </row>
    <row r="55" spans="1:31" ht="14.4" x14ac:dyDescent="0.3">
      <c r="A55" s="70" t="s">
        <v>64</v>
      </c>
      <c r="B55" s="70">
        <f t="shared" si="18"/>
        <v>49.304203180785464</v>
      </c>
      <c r="C55" s="70">
        <f t="shared" ref="C55:C66" si="19">SUMIF($F$10:$F$49,A55,$I$10:$I$49)</f>
        <v>2.0285621551444336E-3</v>
      </c>
      <c r="D55" s="207">
        <f t="shared" ref="D55:D66" si="20">SUMIF($F$10:$F$49,A55,$K$10:$K$49)</f>
        <v>8.1142486205777343E-3</v>
      </c>
    </row>
    <row r="56" spans="1:31" ht="14.4" x14ac:dyDescent="0.3">
      <c r="A56" s="70" t="s">
        <v>65</v>
      </c>
      <c r="B56" s="70">
        <f t="shared" si="18"/>
        <v>68.155227535541798</v>
      </c>
      <c r="C56" s="70">
        <f t="shared" si="19"/>
        <v>1.7005645874430312E-3</v>
      </c>
      <c r="D56" s="207">
        <f t="shared" si="20"/>
        <v>6.8022583497721247E-3</v>
      </c>
    </row>
    <row r="57" spans="1:31" ht="14.4" x14ac:dyDescent="0.3">
      <c r="A57" s="70" t="s">
        <v>66</v>
      </c>
      <c r="B57" s="70">
        <f t="shared" si="18"/>
        <v>203.78712914151316</v>
      </c>
      <c r="C57" s="70">
        <f t="shared" si="19"/>
        <v>5.2127736147806851E-3</v>
      </c>
      <c r="D57" s="207">
        <f t="shared" si="20"/>
        <v>5.2127736147806851E-3</v>
      </c>
    </row>
    <row r="58" spans="1:31" ht="14.4" x14ac:dyDescent="0.3">
      <c r="A58" s="70" t="s">
        <v>71</v>
      </c>
      <c r="B58" s="70">
        <f t="shared" si="18"/>
        <v>0</v>
      </c>
      <c r="C58" s="70">
        <f t="shared" si="19"/>
        <v>0</v>
      </c>
      <c r="D58" s="207">
        <f t="shared" si="20"/>
        <v>0</v>
      </c>
    </row>
    <row r="59" spans="1:31" ht="14.4" x14ac:dyDescent="0.3">
      <c r="A59" s="70" t="s">
        <v>72</v>
      </c>
      <c r="B59" s="70">
        <f t="shared" si="18"/>
        <v>5.9263410324372082E-3</v>
      </c>
      <c r="C59" s="70">
        <f t="shared" si="19"/>
        <v>1.0097185409567084E-7</v>
      </c>
      <c r="D59" s="207">
        <f t="shared" si="20"/>
        <v>4.0388741638268334E-7</v>
      </c>
    </row>
    <row r="60" spans="1:31" ht="14.4" x14ac:dyDescent="0.3">
      <c r="A60" s="70" t="s">
        <v>73</v>
      </c>
      <c r="B60" s="70">
        <f t="shared" si="18"/>
        <v>3.3860315356959429E-2</v>
      </c>
      <c r="C60" s="70">
        <f t="shared" si="19"/>
        <v>5.1361068310220855E-7</v>
      </c>
      <c r="D60" s="207">
        <f t="shared" si="20"/>
        <v>2.0544427324088342E-6</v>
      </c>
    </row>
    <row r="61" spans="1:31" ht="14.4" x14ac:dyDescent="0.3">
      <c r="A61" s="70" t="s">
        <v>74</v>
      </c>
      <c r="B61" s="70">
        <f t="shared" si="18"/>
        <v>2.7760092971552727E-2</v>
      </c>
      <c r="C61" s="70">
        <f t="shared" si="19"/>
        <v>5.0528017785862262E-7</v>
      </c>
      <c r="D61" s="207">
        <f t="shared" si="20"/>
        <v>2.0211207114344905E-6</v>
      </c>
    </row>
    <row r="62" spans="1:31" ht="14.4" x14ac:dyDescent="0.3">
      <c r="A62" s="70" t="s">
        <v>75</v>
      </c>
      <c r="B62" s="70">
        <f t="shared" si="18"/>
        <v>4.7061346194258814E-2</v>
      </c>
      <c r="C62" s="70">
        <f t="shared" si="19"/>
        <v>7.9855419661244901E-7</v>
      </c>
      <c r="D62" s="207">
        <f t="shared" si="20"/>
        <v>3.1942167864497961E-6</v>
      </c>
    </row>
    <row r="63" spans="1:31" ht="14.4" x14ac:dyDescent="0.3">
      <c r="A63" s="70" t="s">
        <v>78</v>
      </c>
      <c r="B63" s="70">
        <f t="shared" si="18"/>
        <v>168.62965040194428</v>
      </c>
      <c r="C63" s="70">
        <f t="shared" si="19"/>
        <v>9.3475415965601043E-3</v>
      </c>
      <c r="D63" s="207">
        <f t="shared" si="20"/>
        <v>9.3475415965601043E-3</v>
      </c>
    </row>
    <row r="64" spans="1:31" ht="14.4" x14ac:dyDescent="0.3">
      <c r="A64" s="70" t="s">
        <v>80</v>
      </c>
      <c r="B64" s="70">
        <f t="shared" si="18"/>
        <v>0.70645135396297809</v>
      </c>
      <c r="C64" s="70">
        <f t="shared" si="19"/>
        <v>1.2650216742107225E-5</v>
      </c>
      <c r="D64" s="207">
        <f t="shared" si="20"/>
        <v>5.0600866968428902E-5</v>
      </c>
    </row>
    <row r="65" spans="1:7" ht="14.4" x14ac:dyDescent="0.3">
      <c r="A65" s="70" t="s">
        <v>114</v>
      </c>
      <c r="B65" s="70">
        <f t="shared" si="18"/>
        <v>0</v>
      </c>
      <c r="C65" s="70">
        <f t="shared" si="19"/>
        <v>0</v>
      </c>
      <c r="D65" s="207">
        <f t="shared" si="20"/>
        <v>0</v>
      </c>
    </row>
    <row r="66" spans="1:7" ht="14.4" x14ac:dyDescent="0.3">
      <c r="A66" s="70" t="s">
        <v>81</v>
      </c>
      <c r="B66" s="70">
        <f t="shared" si="18"/>
        <v>2.2003754106053497E-3</v>
      </c>
      <c r="C66" s="70">
        <f t="shared" si="19"/>
        <v>1.1731581417175035E-8</v>
      </c>
      <c r="D66" s="207">
        <f t="shared" si="20"/>
        <v>4.692632566870014E-8</v>
      </c>
    </row>
    <row r="67" spans="1:7" ht="14.4" x14ac:dyDescent="0.3">
      <c r="A67" s="71" t="s">
        <v>99</v>
      </c>
      <c r="B67" s="71" t="s">
        <v>322</v>
      </c>
      <c r="C67" s="71" t="s">
        <v>103</v>
      </c>
      <c r="D67" s="206" t="s">
        <v>321</v>
      </c>
    </row>
    <row r="68" spans="1:7" ht="14.4" x14ac:dyDescent="0.3">
      <c r="A68" s="70" t="s">
        <v>70</v>
      </c>
      <c r="B68" s="70">
        <f t="shared" ref="B68:B81" si="21">SUMIF($M$9:$M$49,A68,$S$9:$S$49)*1000</f>
        <v>1881.0544451222488</v>
      </c>
      <c r="C68" s="70">
        <f>SUMIF($M$10:$M$42,A68,$P$10:$P$49)</f>
        <v>5.3057694556800525E-2</v>
      </c>
      <c r="D68" s="207">
        <f>SUMIF($M$10:$M$49,A68,$R$10:$R$49)</f>
        <v>5.3057694556800525E-2</v>
      </c>
    </row>
    <row r="69" spans="1:7" ht="14.4" x14ac:dyDescent="0.3">
      <c r="A69" s="70" t="s">
        <v>69</v>
      </c>
      <c r="B69" s="70">
        <f t="shared" si="21"/>
        <v>195.35409810752253</v>
      </c>
      <c r="C69" s="70">
        <f t="shared" ref="C69:C81" si="22">SUMIF($M$10:$M$42,A69,$P$10:$P$49)</f>
        <v>2.133479889296676E-3</v>
      </c>
      <c r="D69" s="207">
        <f t="shared" ref="D69:D81" si="23">SUMIF($M$10:$M$49,A69,$R$10:$R$49)</f>
        <v>8.5339195571867039E-3</v>
      </c>
    </row>
    <row r="70" spans="1:7" ht="14.4" x14ac:dyDescent="0.3">
      <c r="A70" s="70" t="s">
        <v>67</v>
      </c>
      <c r="B70" s="70">
        <f t="shared" si="21"/>
        <v>0</v>
      </c>
      <c r="C70" s="70">
        <f t="shared" si="22"/>
        <v>0</v>
      </c>
      <c r="D70" s="207">
        <f t="shared" si="23"/>
        <v>0</v>
      </c>
    </row>
    <row r="71" spans="1:7" ht="14.4" x14ac:dyDescent="0.3">
      <c r="A71" s="70" t="s">
        <v>68</v>
      </c>
      <c r="B71" s="70">
        <f t="shared" si="21"/>
        <v>0</v>
      </c>
      <c r="C71" s="70">
        <f t="shared" si="22"/>
        <v>0</v>
      </c>
      <c r="D71" s="207">
        <f t="shared" si="23"/>
        <v>0</v>
      </c>
    </row>
    <row r="72" spans="1:7" ht="14.4" x14ac:dyDescent="0.3">
      <c r="A72" s="70" t="s">
        <v>79</v>
      </c>
      <c r="B72" s="70">
        <f t="shared" si="21"/>
        <v>0</v>
      </c>
      <c r="C72" s="70">
        <f t="shared" si="22"/>
        <v>0</v>
      </c>
      <c r="D72" s="207">
        <f t="shared" si="23"/>
        <v>0</v>
      </c>
    </row>
    <row r="73" spans="1:7" ht="14.4" x14ac:dyDescent="0.3">
      <c r="A73" s="70" t="s">
        <v>82</v>
      </c>
      <c r="B73" s="70">
        <f t="shared" si="21"/>
        <v>369.65178237392814</v>
      </c>
      <c r="C73" s="70">
        <f t="shared" si="22"/>
        <v>3.8923005409490169E-3</v>
      </c>
      <c r="D73" s="207">
        <f t="shared" si="23"/>
        <v>3.5030704868541158E-2</v>
      </c>
      <c r="G73" s="7"/>
    </row>
    <row r="74" spans="1:7" ht="14.4" x14ac:dyDescent="0.3">
      <c r="A74" s="70" t="s">
        <v>113</v>
      </c>
      <c r="B74" s="70">
        <f t="shared" si="21"/>
        <v>5.7069383794274625E-3</v>
      </c>
      <c r="C74" s="70">
        <f t="shared" si="22"/>
        <v>9.7040271712760799E-8</v>
      </c>
      <c r="D74" s="207">
        <f t="shared" si="23"/>
        <v>8.7336244541484721E-7</v>
      </c>
    </row>
    <row r="75" spans="1:7" ht="14.4" x14ac:dyDescent="0.3">
      <c r="A75" s="70" t="s">
        <v>112</v>
      </c>
      <c r="B75" s="70">
        <f t="shared" si="21"/>
        <v>0</v>
      </c>
      <c r="C75" s="70">
        <f t="shared" si="22"/>
        <v>0</v>
      </c>
      <c r="D75" s="207">
        <f t="shared" si="23"/>
        <v>0</v>
      </c>
    </row>
    <row r="76" spans="1:7" ht="14.4" x14ac:dyDescent="0.3">
      <c r="A76" s="70" t="s">
        <v>76</v>
      </c>
      <c r="B76" s="70">
        <f t="shared" si="21"/>
        <v>2.3799132052076878E-2</v>
      </c>
      <c r="C76" s="70">
        <f t="shared" si="22"/>
        <v>1.4879107253564788E-7</v>
      </c>
      <c r="D76" s="207">
        <f t="shared" si="23"/>
        <v>5.9516429014259153E-7</v>
      </c>
    </row>
    <row r="77" spans="1:7" ht="14.4" x14ac:dyDescent="0.3">
      <c r="A77" s="70" t="s">
        <v>79</v>
      </c>
      <c r="B77" s="70">
        <f t="shared" si="21"/>
        <v>0</v>
      </c>
      <c r="C77" s="70">
        <f t="shared" si="22"/>
        <v>0</v>
      </c>
      <c r="D77" s="207">
        <f t="shared" si="23"/>
        <v>0</v>
      </c>
    </row>
    <row r="78" spans="1:7" ht="14.4" x14ac:dyDescent="0.3">
      <c r="A78" s="70" t="s">
        <v>115</v>
      </c>
      <c r="B78" s="70">
        <f t="shared" si="21"/>
        <v>0</v>
      </c>
      <c r="C78" s="70">
        <f t="shared" si="22"/>
        <v>0</v>
      </c>
      <c r="D78" s="207">
        <f t="shared" si="23"/>
        <v>0</v>
      </c>
    </row>
    <row r="79" spans="1:7" ht="14.4" x14ac:dyDescent="0.3">
      <c r="A79" s="70" t="s">
        <v>84</v>
      </c>
      <c r="B79" s="70">
        <f t="shared" si="21"/>
        <v>40.051211591306512</v>
      </c>
      <c r="C79" s="70">
        <f t="shared" si="22"/>
        <v>1.2490632025980513E-3</v>
      </c>
      <c r="D79" s="207">
        <f t="shared" si="23"/>
        <v>4.9962528103922052E-3</v>
      </c>
    </row>
    <row r="80" spans="1:7" ht="14.4" x14ac:dyDescent="0.3">
      <c r="A80" s="70" t="s">
        <v>119</v>
      </c>
      <c r="B80" s="70">
        <f t="shared" si="21"/>
        <v>0</v>
      </c>
      <c r="C80" s="70">
        <f t="shared" si="22"/>
        <v>0</v>
      </c>
      <c r="D80" s="207">
        <f t="shared" si="23"/>
        <v>0</v>
      </c>
    </row>
    <row r="81" spans="1:4" ht="14.4" x14ac:dyDescent="0.3">
      <c r="A81" s="70" t="s">
        <v>299</v>
      </c>
      <c r="B81" s="70">
        <f t="shared" si="21"/>
        <v>0</v>
      </c>
      <c r="C81" s="70">
        <f t="shared" si="22"/>
        <v>0</v>
      </c>
      <c r="D81" s="207">
        <f t="shared" si="23"/>
        <v>0</v>
      </c>
    </row>
    <row r="82" spans="1:4" ht="14.4" x14ac:dyDescent="0.3">
      <c r="A82" s="71" t="s">
        <v>356</v>
      </c>
      <c r="B82" s="70" t="s">
        <v>322</v>
      </c>
      <c r="C82" s="70"/>
    </row>
    <row r="83" spans="1:4" ht="14.4" x14ac:dyDescent="0.3">
      <c r="A83" t="s">
        <v>116</v>
      </c>
      <c r="B83" s="70">
        <f>B78*78.96/126.96</f>
        <v>0</v>
      </c>
      <c r="C83" s="70"/>
    </row>
    <row r="84" spans="1:4" ht="14.4" x14ac:dyDescent="0.3">
      <c r="A84" t="s">
        <v>87</v>
      </c>
      <c r="B84" s="70">
        <f>B76*95.95/159.95</f>
        <v>1.4276503409795416E-2</v>
      </c>
      <c r="C84" s="70"/>
    </row>
    <row r="85" spans="1:4" ht="14.4" x14ac:dyDescent="0.3">
      <c r="A85" t="s">
        <v>88</v>
      </c>
      <c r="B85" s="70">
        <f>B74*10.911/58.81</f>
        <v>1.0588064046579331E-3</v>
      </c>
      <c r="C85" s="70"/>
    </row>
    <row r="86" spans="1:4" ht="14.4" x14ac:dyDescent="0.3">
      <c r="A86" t="s">
        <v>393</v>
      </c>
      <c r="B86" s="70">
        <f>C30*Library!C14/Library!C15*1000</f>
        <v>206.95780903034787</v>
      </c>
      <c r="C86" s="70"/>
    </row>
    <row r="87" spans="1:4" ht="14.4" x14ac:dyDescent="0.3">
      <c r="A87" t="str">
        <f>A33</f>
        <v>Yeast Extract</v>
      </c>
      <c r="B87" s="70">
        <f>VLOOKUP(A87,$A$33:$D$38,3,FALSE)*1000</f>
        <v>2000</v>
      </c>
      <c r="C87" s="70"/>
    </row>
    <row r="88" spans="1:4" ht="14.4" x14ac:dyDescent="0.3">
      <c r="A88" t="str">
        <f>A34</f>
        <v>Casitone</v>
      </c>
      <c r="B88" s="70">
        <f t="shared" ref="B88:B90" si="24">VLOOKUP(A88,$A$33:$D$38,3,FALSE)*1000</f>
        <v>2000</v>
      </c>
      <c r="C88" s="70"/>
    </row>
    <row r="89" spans="1:4" ht="14.4" x14ac:dyDescent="0.3">
      <c r="A89" t="str">
        <f>A38</f>
        <v>Methanol</v>
      </c>
      <c r="B89" s="70">
        <f t="shared" si="24"/>
        <v>7917.9999999999991</v>
      </c>
      <c r="C89" s="70"/>
    </row>
    <row r="90" spans="1:4" ht="14.4" x14ac:dyDescent="0.3">
      <c r="A90" t="s">
        <v>295</v>
      </c>
      <c r="B90" s="70">
        <f t="shared" si="24"/>
        <v>2500</v>
      </c>
      <c r="C90" s="70"/>
    </row>
    <row r="91" spans="1:4" ht="14.4" x14ac:dyDescent="0.3">
      <c r="A91" s="71" t="s">
        <v>315</v>
      </c>
      <c r="B91" s="71" t="s">
        <v>322</v>
      </c>
      <c r="C91" s="71" t="s">
        <v>61</v>
      </c>
    </row>
    <row r="92" spans="1:4" ht="14.4" x14ac:dyDescent="0.3">
      <c r="A92" s="70" t="s">
        <v>44</v>
      </c>
      <c r="B92" s="70">
        <f>SUM(AD10:AD49)*1000</f>
        <v>120.54454775319105</v>
      </c>
      <c r="C92" s="70">
        <f>SUM(Z10:Z49)</f>
        <v>3.8923005409490169E-3</v>
      </c>
    </row>
    <row r="93" spans="1:4" ht="14.4" x14ac:dyDescent="0.3">
      <c r="A93" s="70" t="s">
        <v>47</v>
      </c>
      <c r="B93" s="70">
        <f>SUM(AC10:AC49)*1000</f>
        <v>154.92761073977618</v>
      </c>
      <c r="C93" s="70">
        <f>SUM(Y10:Y49)</f>
        <v>1.1058359082068248E-2</v>
      </c>
    </row>
    <row r="94" spans="1:4" ht="15" customHeight="1" x14ac:dyDescent="0.3">
      <c r="A94" s="70" t="s">
        <v>196</v>
      </c>
      <c r="B94" s="70">
        <f>SUM(AE10:AE49)*1000</f>
        <v>163.28103847554888</v>
      </c>
      <c r="C94" s="70">
        <f>SUM(AA10:AA49)</f>
        <v>5.091395025742091E-3</v>
      </c>
    </row>
    <row r="95" spans="1:4" ht="15" customHeight="1" x14ac:dyDescent="0.3">
      <c r="A95" s="70" t="s">
        <v>51</v>
      </c>
      <c r="B95" s="70">
        <f>SUM(AB10:AB49)*1000</f>
        <v>4127.8429330079107</v>
      </c>
      <c r="C95" s="70">
        <f>SUM(X10:X49)</f>
        <v>0.3437004940056545</v>
      </c>
    </row>
    <row r="96" spans="1:4" ht="15" customHeight="1" x14ac:dyDescent="0.3">
      <c r="A96" s="209" t="s">
        <v>320</v>
      </c>
      <c r="B96" s="209" t="s">
        <v>325</v>
      </c>
      <c r="C96" s="71" t="s">
        <v>61</v>
      </c>
    </row>
    <row r="97" spans="1:3" ht="15" customHeight="1" x14ac:dyDescent="0.3">
      <c r="A97" t="s">
        <v>15</v>
      </c>
      <c r="B97" s="99">
        <f>VLOOKUP(A97,$A$40:$E$49,3,FALSE)*1000</f>
        <v>20</v>
      </c>
      <c r="C97" s="99">
        <f>VLOOKUP(A97,$A$40:$E$49,5,FALSE)</f>
        <v>8.1863206581801814E-8</v>
      </c>
    </row>
    <row r="98" spans="1:3" ht="15" customHeight="1" x14ac:dyDescent="0.3">
      <c r="A98" t="s">
        <v>19</v>
      </c>
      <c r="B98" s="99">
        <f t="shared" ref="B98:B106" si="25">VLOOKUP(A98,$A$40:$E$49,3,FALSE)*1000</f>
        <v>20</v>
      </c>
      <c r="C98" s="99">
        <f t="shared" ref="C98:C106" si="26">VLOOKUP(A98,$A$40:$E$49,5,FALSE)</f>
        <v>4.5310376076121436E-8</v>
      </c>
    </row>
    <row r="99" spans="1:3" ht="15" customHeight="1" x14ac:dyDescent="0.3">
      <c r="A99" t="s">
        <v>120</v>
      </c>
      <c r="B99" s="99">
        <f t="shared" si="25"/>
        <v>100</v>
      </c>
      <c r="C99" s="99">
        <f t="shared" si="26"/>
        <v>4.8628671464695592E-7</v>
      </c>
    </row>
    <row r="100" spans="1:3" ht="15" customHeight="1" x14ac:dyDescent="0.3">
      <c r="A100" t="s">
        <v>121</v>
      </c>
      <c r="B100" s="99">
        <f t="shared" si="25"/>
        <v>50</v>
      </c>
      <c r="C100" s="99">
        <f t="shared" si="26"/>
        <v>1.4824917721706646E-7</v>
      </c>
    </row>
    <row r="101" spans="1:3" ht="15" customHeight="1" x14ac:dyDescent="0.3">
      <c r="A101" t="s">
        <v>30</v>
      </c>
      <c r="B101" s="99">
        <f t="shared" si="25"/>
        <v>50</v>
      </c>
      <c r="C101" s="99">
        <f t="shared" si="26"/>
        <v>1.3284799532375059E-7</v>
      </c>
    </row>
    <row r="102" spans="1:3" ht="15" customHeight="1" x14ac:dyDescent="0.3">
      <c r="A102" t="s">
        <v>34</v>
      </c>
      <c r="B102" s="99">
        <f t="shared" si="25"/>
        <v>50</v>
      </c>
      <c r="C102" s="99">
        <f t="shared" si="26"/>
        <v>4.0614084964665748E-7</v>
      </c>
    </row>
    <row r="103" spans="1:3" ht="15" customHeight="1" x14ac:dyDescent="0.3">
      <c r="A103" t="s">
        <v>122</v>
      </c>
      <c r="B103" s="99">
        <f t="shared" si="25"/>
        <v>50</v>
      </c>
      <c r="C103" s="99">
        <f t="shared" si="26"/>
        <v>1.0492518834071308E-7</v>
      </c>
    </row>
    <row r="104" spans="1:3" ht="15" customHeight="1" x14ac:dyDescent="0.3">
      <c r="A104" t="s">
        <v>42</v>
      </c>
      <c r="B104" s="99">
        <f t="shared" si="25"/>
        <v>1</v>
      </c>
      <c r="C104" s="99">
        <f t="shared" si="26"/>
        <v>7.37805912776585E-10</v>
      </c>
    </row>
    <row r="105" spans="1:3" ht="15" customHeight="1" x14ac:dyDescent="0.3">
      <c r="A105" t="s">
        <v>45</v>
      </c>
      <c r="B105" s="99">
        <f t="shared" si="25"/>
        <v>50</v>
      </c>
      <c r="C105" s="99">
        <f t="shared" si="26"/>
        <v>3.6459092897768708E-7</v>
      </c>
    </row>
    <row r="106" spans="1:3" ht="15" customHeight="1" x14ac:dyDescent="0.3">
      <c r="A106" t="s">
        <v>288</v>
      </c>
      <c r="B106" s="99">
        <f t="shared" si="25"/>
        <v>50</v>
      </c>
      <c r="C106" s="99">
        <f t="shared" si="26"/>
        <v>2.4233024766151311E-7</v>
      </c>
    </row>
    <row r="107" spans="1:3" ht="15" customHeight="1" x14ac:dyDescent="0.3">
      <c r="A107" s="25" t="s">
        <v>22</v>
      </c>
      <c r="B107" s="289">
        <f>B99*169.18/205.64</f>
        <v>82.269986383971997</v>
      </c>
      <c r="C107" s="99"/>
    </row>
    <row r="108" spans="1:3" ht="15" customHeight="1" x14ac:dyDescent="0.3">
      <c r="A108" s="25" t="s">
        <v>26</v>
      </c>
      <c r="B108" s="289">
        <f>B100*265.36/337.27</f>
        <v>39.339401666320754</v>
      </c>
      <c r="C108" s="99"/>
    </row>
    <row r="109" spans="1:3" ht="15" customHeight="1" x14ac:dyDescent="0.3">
      <c r="A109" s="25" t="s">
        <v>38</v>
      </c>
      <c r="B109" s="289">
        <f>B103</f>
        <v>50</v>
      </c>
      <c r="C109" s="99"/>
    </row>
    <row r="110" spans="1:3" ht="15" customHeight="1" x14ac:dyDescent="0.3">
      <c r="A110" s="25" t="s">
        <v>49</v>
      </c>
      <c r="B110" s="289">
        <f>B106</f>
        <v>50</v>
      </c>
      <c r="C110" s="99"/>
    </row>
    <row r="111" spans="1:3" ht="15" customHeight="1" x14ac:dyDescent="0.3">
      <c r="A111" s="181" t="s">
        <v>123</v>
      </c>
      <c r="B111" s="289">
        <f>B106</f>
        <v>50</v>
      </c>
      <c r="C111" s="99"/>
    </row>
    <row r="112" spans="1:3" ht="15" customHeight="1" x14ac:dyDescent="0.3">
      <c r="A112" s="7" t="s">
        <v>279</v>
      </c>
      <c r="B112" s="269">
        <f>SUM(B54:B58,B68:B72)/1000</f>
        <v>4.4697308924002375</v>
      </c>
      <c r="C112" s="99" t="s">
        <v>97</v>
      </c>
    </row>
    <row r="113" spans="1:3" ht="15" customHeight="1" x14ac:dyDescent="0.3">
      <c r="A113" s="7" t="s">
        <v>4</v>
      </c>
      <c r="B113" s="269">
        <f>SUM(D54:D66,D68:D80)/2</f>
        <v>0.10131564476301702</v>
      </c>
      <c r="C113" s="99" t="e">
        <f>VLOOKUP(A113,$A$44:$E$49,5,FALSE)</f>
        <v>#N/A</v>
      </c>
    </row>
    <row r="124" spans="1:3" ht="15" customHeight="1" x14ac:dyDescent="0.3">
      <c r="A124" s="7"/>
      <c r="B124" s="7"/>
      <c r="C124" s="7"/>
    </row>
    <row r="129" spans="1:3" ht="15" customHeight="1" x14ac:dyDescent="0.3">
      <c r="A129" s="7"/>
      <c r="B129" s="7"/>
      <c r="C129" s="7"/>
    </row>
  </sheetData>
  <phoneticPr fontId="10" type="noConversion"/>
  <pageMargins left="0.7" right="0.7" top="0.75" bottom="0.75" header="0.3" footer="0.3"/>
  <pageSetup scale="42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5A98C-20E8-4C3B-B4A4-C4A95C759099}">
  <sheetPr>
    <tabColor rgb="FFFF0000"/>
    <pageSetUpPr fitToPage="1"/>
  </sheetPr>
  <dimension ref="A1:AE129"/>
  <sheetViews>
    <sheetView topLeftCell="A91" workbookViewId="0">
      <selection activeCell="G47" sqref="G47"/>
    </sheetView>
  </sheetViews>
  <sheetFormatPr defaultColWidth="9.109375" defaultRowHeight="15" customHeight="1" x14ac:dyDescent="0.3"/>
  <cols>
    <col min="1" max="1" width="48.109375" customWidth="1"/>
    <col min="2" max="2" width="12.44140625" customWidth="1"/>
    <col min="3" max="3" width="11.44140625" customWidth="1"/>
    <col min="4" max="4" width="7.5546875" customWidth="1"/>
    <col min="5" max="5" width="11.109375" customWidth="1"/>
    <col min="6" max="6" width="10.44140625" customWidth="1"/>
    <col min="7" max="7" width="10.33203125" customWidth="1"/>
    <col min="8" max="8" width="12" customWidth="1"/>
    <col min="9" max="9" width="15.109375" customWidth="1"/>
    <col min="10" max="11" width="16.44140625" customWidth="1"/>
    <col min="12" max="13" width="11.88671875" customWidth="1"/>
    <col min="14" max="16" width="9.109375" bestFit="1" customWidth="1"/>
    <col min="20" max="20" width="12.109375" customWidth="1"/>
    <col min="21" max="21" width="11.88671875" customWidth="1"/>
    <col min="27" max="27" width="12" bestFit="1" customWidth="1"/>
  </cols>
  <sheetData>
    <row r="1" spans="1:31" ht="14.4" customHeight="1" x14ac:dyDescent="0.35">
      <c r="A1" s="47" t="s">
        <v>90</v>
      </c>
    </row>
    <row r="2" spans="1:31" ht="14.4" x14ac:dyDescent="0.3"/>
    <row r="3" spans="1:31" ht="14.4" x14ac:dyDescent="0.3">
      <c r="A3" s="7" t="s">
        <v>91</v>
      </c>
      <c r="B3" s="7" t="s">
        <v>92</v>
      </c>
      <c r="C3" s="7" t="s">
        <v>3</v>
      </c>
      <c r="D3" s="7" t="s">
        <v>93</v>
      </c>
    </row>
    <row r="4" spans="1:31" ht="14.4" x14ac:dyDescent="0.3">
      <c r="A4" t="s">
        <v>94</v>
      </c>
      <c r="B4">
        <v>995</v>
      </c>
      <c r="C4" s="8">
        <f>B69</f>
        <v>195.35409810752253</v>
      </c>
      <c r="D4" s="9">
        <f>B4/1000</f>
        <v>0.995</v>
      </c>
    </row>
    <row r="5" spans="1:31" ht="14.4" x14ac:dyDescent="0.3">
      <c r="A5" t="s">
        <v>95</v>
      </c>
      <c r="B5">
        <v>5</v>
      </c>
      <c r="C5" s="8" t="e">
        <f>#REF!</f>
        <v>#REF!</v>
      </c>
      <c r="D5" s="9">
        <f>B5/1000</f>
        <v>5.0000000000000001E-3</v>
      </c>
    </row>
    <row r="6" spans="1:31" thickBot="1" x14ac:dyDescent="0.35"/>
    <row r="7" spans="1:31" ht="15" customHeight="1" thickBot="1" x14ac:dyDescent="0.35">
      <c r="F7" s="136" t="s">
        <v>98</v>
      </c>
      <c r="G7" s="137"/>
      <c r="H7" s="137"/>
      <c r="I7" s="137"/>
      <c r="J7" s="137"/>
      <c r="K7" s="137"/>
      <c r="L7" s="137"/>
      <c r="M7" s="194" t="s">
        <v>99</v>
      </c>
      <c r="N7" s="195"/>
      <c r="O7" s="196"/>
      <c r="P7" s="196"/>
      <c r="Q7" s="196"/>
      <c r="R7" s="196"/>
      <c r="S7" s="197"/>
      <c r="T7" s="52" t="s">
        <v>51</v>
      </c>
      <c r="U7" s="221" t="s">
        <v>47</v>
      </c>
      <c r="V7" s="221" t="s">
        <v>44</v>
      </c>
      <c r="W7" s="222" t="s">
        <v>196</v>
      </c>
      <c r="X7" s="52" t="s">
        <v>51</v>
      </c>
      <c r="Y7" s="221" t="s">
        <v>47</v>
      </c>
      <c r="Z7" s="221" t="s">
        <v>44</v>
      </c>
      <c r="AA7" s="222" t="s">
        <v>196</v>
      </c>
      <c r="AB7" s="52" t="s">
        <v>51</v>
      </c>
      <c r="AC7" s="221" t="s">
        <v>47</v>
      </c>
      <c r="AD7" s="221" t="s">
        <v>44</v>
      </c>
      <c r="AE7" s="222" t="s">
        <v>196</v>
      </c>
    </row>
    <row r="8" spans="1:31" ht="14.4" x14ac:dyDescent="0.3">
      <c r="A8" s="13" t="s">
        <v>341</v>
      </c>
      <c r="B8" s="14" t="s">
        <v>100</v>
      </c>
      <c r="C8" s="15" t="s">
        <v>102</v>
      </c>
      <c r="D8" s="16" t="s">
        <v>8</v>
      </c>
      <c r="E8" s="16" t="s">
        <v>103</v>
      </c>
      <c r="F8" s="17" t="s">
        <v>98</v>
      </c>
      <c r="G8" s="17" t="s">
        <v>104</v>
      </c>
      <c r="H8" s="17" t="s">
        <v>105</v>
      </c>
      <c r="I8" s="17" t="s">
        <v>106</v>
      </c>
      <c r="J8" s="179" t="s">
        <v>107</v>
      </c>
      <c r="K8" s="179" t="s">
        <v>318</v>
      </c>
      <c r="L8" s="37" t="s">
        <v>108</v>
      </c>
      <c r="M8" s="198" t="s">
        <v>99</v>
      </c>
      <c r="N8" s="85" t="s">
        <v>104</v>
      </c>
      <c r="O8" s="20" t="s">
        <v>105</v>
      </c>
      <c r="P8" s="40" t="s">
        <v>109</v>
      </c>
      <c r="Q8" s="40" t="s">
        <v>107</v>
      </c>
      <c r="R8" s="179" t="s">
        <v>318</v>
      </c>
      <c r="S8" s="199" t="s">
        <v>110</v>
      </c>
      <c r="T8" s="215" t="s">
        <v>104</v>
      </c>
      <c r="U8" s="184"/>
      <c r="V8" s="184"/>
      <c r="W8" s="216"/>
      <c r="X8" s="215" t="s">
        <v>61</v>
      </c>
      <c r="Y8" s="184"/>
      <c r="Z8" s="184"/>
      <c r="AA8" s="216"/>
      <c r="AB8" s="215" t="s">
        <v>334</v>
      </c>
      <c r="AC8" s="184"/>
      <c r="AD8" s="184"/>
      <c r="AE8" s="216"/>
    </row>
    <row r="9" spans="1:31" ht="14.4" x14ac:dyDescent="0.3">
      <c r="A9" s="20" t="s">
        <v>342</v>
      </c>
      <c r="B9" s="25"/>
      <c r="C9" s="26"/>
      <c r="D9" s="26"/>
      <c r="E9" s="26"/>
      <c r="F9" s="25"/>
      <c r="G9" s="25"/>
      <c r="H9" s="25"/>
      <c r="I9" s="25"/>
      <c r="J9" s="178"/>
      <c r="K9" s="183"/>
      <c r="L9" s="28"/>
      <c r="M9" s="86"/>
      <c r="N9" s="27"/>
      <c r="O9" s="25"/>
      <c r="P9" s="25"/>
      <c r="Q9" s="25"/>
      <c r="R9" s="25"/>
      <c r="S9" s="200"/>
      <c r="T9" s="217"/>
      <c r="U9" s="185"/>
      <c r="V9" s="185"/>
      <c r="W9" s="218"/>
      <c r="X9" s="217"/>
      <c r="Y9" s="185"/>
      <c r="Z9" s="185"/>
      <c r="AA9" s="218"/>
      <c r="AB9" s="217"/>
      <c r="AC9" s="185"/>
      <c r="AD9" s="185"/>
      <c r="AE9" s="218"/>
    </row>
    <row r="10" spans="1:31" ht="14.4" x14ac:dyDescent="0.3">
      <c r="A10" s="25" t="s">
        <v>307</v>
      </c>
      <c r="B10" s="25">
        <f>IFERROR(VLOOKUP(A10,Library!$B$4:$G$69,2,FALSE),"")</f>
        <v>136.09</v>
      </c>
      <c r="C10" s="26">
        <f>VLOOKUP(A10,'DSMZ 120 v1.5'!$F$5:$G$21,2,FALSE)*1000/'DSMZ 120 v1.5'!$G$23</f>
        <v>0.35</v>
      </c>
      <c r="D10" s="26" t="s">
        <v>97</v>
      </c>
      <c r="E10" s="26">
        <f>IF(D10="g/L",C10/B10,IF(D10="mg/L",C10/(1000*B10),IF(D10="ug/L",C10/(1000000*B10),"error")))</f>
        <v>2.5718274671173488E-3</v>
      </c>
      <c r="F10" s="25" t="s">
        <v>66</v>
      </c>
      <c r="G10" s="25">
        <v>1</v>
      </c>
      <c r="H10" s="25">
        <f>VLOOKUP(F10,Library!$K$4:$N$36,3,FALSE)</f>
        <v>1</v>
      </c>
      <c r="I10" s="25">
        <f>E10*G10</f>
        <v>2.5718274671173488E-3</v>
      </c>
      <c r="J10" s="178">
        <f>IF(F10="N/A",0,VLOOKUP(F10,Library!$K$4:$M$36,2,FALSE))</f>
        <v>39.093800000000002</v>
      </c>
      <c r="K10" s="183">
        <f>I10*(H10^2)</f>
        <v>2.5718274671173488E-3</v>
      </c>
      <c r="L10" s="28">
        <f>I10*J10</f>
        <v>0.10054250863399221</v>
      </c>
      <c r="M10" s="86" t="s">
        <v>82</v>
      </c>
      <c r="N10" s="27">
        <v>1</v>
      </c>
      <c r="O10" s="25">
        <f>IFERROR(VLOOKUP(M10,Library!$K$4:$M$36,3,FALSE),"")</f>
        <v>-3</v>
      </c>
      <c r="P10" s="25">
        <f>E10*N10</f>
        <v>2.5718274671173488E-3</v>
      </c>
      <c r="Q10" s="25">
        <f>IFERROR(IF(M10="N/A",0,VLOOKUP(M10,Library!$K$4:$N$36,2,FALSE)),"")</f>
        <v>94.97</v>
      </c>
      <c r="R10" s="25">
        <f>IFERROR(P10*(O10^2),"")</f>
        <v>2.3146447204056141E-2</v>
      </c>
      <c r="S10" s="200">
        <f>IFERROR(P10*Q10,"")</f>
        <v>0.24424645455213462</v>
      </c>
      <c r="T10" s="217">
        <f>VLOOKUP(A10,Library!$B$4:$G$69,3,FALSE)</f>
        <v>0</v>
      </c>
      <c r="U10" s="185">
        <f>VLOOKUP(A10,Library!$B$4:$G$69,4,FALSE)</f>
        <v>0</v>
      </c>
      <c r="V10" s="185">
        <f>VLOOKUP(A10,Library!$B$4:$G$69,5,FALSE)</f>
        <v>1</v>
      </c>
      <c r="W10" s="218">
        <f>VLOOKUP(A10,Library!$B$4:$G$69,6,FALSE)</f>
        <v>0</v>
      </c>
      <c r="X10" s="217">
        <f>T10*E10</f>
        <v>0</v>
      </c>
      <c r="Y10" s="185">
        <f>U10*E10</f>
        <v>0</v>
      </c>
      <c r="Z10" s="185">
        <f>V10*E10</f>
        <v>2.5718274671173488E-3</v>
      </c>
      <c r="AA10" s="218">
        <f>W10*E10</f>
        <v>0</v>
      </c>
      <c r="AB10" s="217">
        <f>X10*VLOOKUP($AB$7,Library!$T$4:$U$7,2,FALSE)</f>
        <v>0</v>
      </c>
      <c r="AC10" s="185">
        <f>Y10*VLOOKUP($AC$7,Library!$T$4:$U$7,2,FALSE)</f>
        <v>0</v>
      </c>
      <c r="AD10" s="185">
        <f>Z10*VLOOKUP($AD$7,Library!$T$4:$U$7,2,FALSE)</f>
        <v>7.9649496656624283E-2</v>
      </c>
      <c r="AE10" s="218">
        <f>AA10*VLOOKUP($AE$7,Library!$T$4:$U$7,2,FALSE)</f>
        <v>0</v>
      </c>
    </row>
    <row r="11" spans="1:31" ht="14.4" x14ac:dyDescent="0.3">
      <c r="A11" s="25" t="s">
        <v>308</v>
      </c>
      <c r="B11" s="25">
        <f>IFERROR(VLOOKUP(A11,Library!$B$4:$G$69,2,FALSE),"")</f>
        <v>174.18</v>
      </c>
      <c r="C11" s="26">
        <f>VLOOKUP(A11,'DSMZ 120 v1.5'!$F$5:$G$21,2,FALSE)*1000/'DSMZ 120 v1.5'!$G$23</f>
        <v>0.23</v>
      </c>
      <c r="D11" s="41" t="s">
        <v>97</v>
      </c>
      <c r="E11" s="26">
        <f t="shared" ref="E11:E49" si="0">IF(D11="g/L",C11/B11,IF(D11="mg/L",C11/(1000*B11),IF(D11="ug/L",C11/(1000000*B11),"error")))</f>
        <v>1.3204730738316684E-3</v>
      </c>
      <c r="F11" s="25" t="s">
        <v>66</v>
      </c>
      <c r="G11" s="28">
        <v>2</v>
      </c>
      <c r="H11" s="25">
        <f>VLOOKUP(F11,Library!$K$4:$N$36,3,FALSE)</f>
        <v>1</v>
      </c>
      <c r="I11" s="25">
        <f t="shared" ref="I11:I37" si="1">E11*G11</f>
        <v>2.6409461476633368E-3</v>
      </c>
      <c r="J11" s="178">
        <f>IF(F11="N/A",0,VLOOKUP(F11,Library!$K$4:$M$36,2,FALSE))</f>
        <v>39.093800000000002</v>
      </c>
      <c r="K11" s="183">
        <f t="shared" ref="K11:K31" si="2">I11*(H11^2)</f>
        <v>2.6409461476633368E-3</v>
      </c>
      <c r="L11" s="28">
        <f t="shared" ref="L11:L31" si="3">I11*J11</f>
        <v>0.10324462050752096</v>
      </c>
      <c r="M11" s="86" t="s">
        <v>82</v>
      </c>
      <c r="N11" s="25">
        <v>1</v>
      </c>
      <c r="O11" s="25">
        <f>IFERROR(VLOOKUP(M11,Library!$K$4:$M$36,3,FALSE),"")</f>
        <v>-3</v>
      </c>
      <c r="P11" s="25">
        <f t="shared" ref="P11:P37" si="4">E11*N11</f>
        <v>1.3204730738316684E-3</v>
      </c>
      <c r="Q11" s="25">
        <f>IFERROR(IF(M11="N/A",0,VLOOKUP(M11,Library!$K$4:$N$36,2,FALSE)),"")</f>
        <v>94.97</v>
      </c>
      <c r="R11" s="25">
        <f t="shared" ref="R11:R37" si="5">IFERROR(P11*(O11^2),"")</f>
        <v>1.1884257664485016E-2</v>
      </c>
      <c r="S11" s="200">
        <f t="shared" ref="S11:S37" si="6">IFERROR(P11*Q11,"")</f>
        <v>0.12540532782179353</v>
      </c>
      <c r="T11" s="217">
        <f>VLOOKUP(A11,Library!$B$4:$G$69,3,FALSE)</f>
        <v>0</v>
      </c>
      <c r="U11" s="185">
        <f>VLOOKUP(A11,Library!$B$4:$G$69,4,FALSE)</f>
        <v>0</v>
      </c>
      <c r="V11" s="185">
        <f>VLOOKUP(A11,Library!$B$4:$G$69,5,FALSE)</f>
        <v>1</v>
      </c>
      <c r="W11" s="218">
        <f>VLOOKUP(A11,Library!$B$4:$G$69,6,FALSE)</f>
        <v>0</v>
      </c>
      <c r="X11" s="217">
        <f t="shared" ref="X11:X15" si="7">T11*E11</f>
        <v>0</v>
      </c>
      <c r="Y11" s="185">
        <f t="shared" ref="Y11:Y15" si="8">U11*E11</f>
        <v>0</v>
      </c>
      <c r="Z11" s="185">
        <f t="shared" ref="Z11:Z15" si="9">V11*E11</f>
        <v>1.3204730738316684E-3</v>
      </c>
      <c r="AA11" s="218">
        <f t="shared" ref="AA11:AA15" si="10">W11*E11</f>
        <v>0</v>
      </c>
      <c r="AB11" s="217">
        <f>X11*VLOOKUP($AB$7,Library!$T$4:$U$7,2,FALSE)</f>
        <v>0</v>
      </c>
      <c r="AC11" s="185">
        <f>Y11*VLOOKUP($AC$7,Library!$T$4:$U$7,2,FALSE)</f>
        <v>0</v>
      </c>
      <c r="AD11" s="185">
        <f>Z11*VLOOKUP($AD$7,Library!$T$4:$U$7,2,FALSE)</f>
        <v>4.089505109656677E-2</v>
      </c>
      <c r="AE11" s="218">
        <f>AA11*VLOOKUP($AE$7,Library!$T$4:$U$7,2,FALSE)</f>
        <v>0</v>
      </c>
    </row>
    <row r="12" spans="1:31" ht="14.4" x14ac:dyDescent="0.3">
      <c r="A12" s="25" t="s">
        <v>21</v>
      </c>
      <c r="B12" s="25">
        <f>IFERROR(VLOOKUP(A12,Library!$B$4:$G$69,2,FALSE),"")</f>
        <v>53.49</v>
      </c>
      <c r="C12" s="26">
        <f>VLOOKUP(A12,'DSMZ 120 v1.5'!$F$5:$G$21,2,FALSE)*1000/'DSMZ 120 v1.5'!$G$23</f>
        <v>0.5</v>
      </c>
      <c r="D12" s="41" t="s">
        <v>97</v>
      </c>
      <c r="E12" s="26">
        <f t="shared" si="0"/>
        <v>9.3475415965601043E-3</v>
      </c>
      <c r="F12" s="25" t="s">
        <v>78</v>
      </c>
      <c r="G12" s="28">
        <v>1</v>
      </c>
      <c r="H12" s="25">
        <f>VLOOKUP(F12,Library!$K$4:$N$36,3,FALSE)</f>
        <v>1</v>
      </c>
      <c r="I12" s="25">
        <f t="shared" si="1"/>
        <v>9.3475415965601043E-3</v>
      </c>
      <c r="J12" s="178">
        <f>IF(F12="N/A",0,VLOOKUP(F12,Library!$K$4:$M$36,2,FALSE))</f>
        <v>18.04</v>
      </c>
      <c r="K12" s="183">
        <f t="shared" si="2"/>
        <v>9.3475415965601043E-3</v>
      </c>
      <c r="L12" s="28">
        <f t="shared" si="3"/>
        <v>0.16862965040194428</v>
      </c>
      <c r="M12" s="25" t="s">
        <v>70</v>
      </c>
      <c r="N12" s="25">
        <v>1</v>
      </c>
      <c r="O12" s="25">
        <f>IFERROR(VLOOKUP(M12,Library!$K$4:$M$36,3,FALSE),"")</f>
        <v>-1</v>
      </c>
      <c r="P12" s="25">
        <f t="shared" si="4"/>
        <v>9.3475415965601043E-3</v>
      </c>
      <c r="Q12" s="25">
        <f>IFERROR(IF(M12="N/A",0,VLOOKUP(M12,Library!$K$4:$N$36,2,FALSE)),"")</f>
        <v>35.453000000000003</v>
      </c>
      <c r="R12" s="25">
        <f t="shared" si="5"/>
        <v>9.3475415965601043E-3</v>
      </c>
      <c r="S12" s="200">
        <f t="shared" si="6"/>
        <v>0.33139839222284539</v>
      </c>
      <c r="T12" s="217">
        <f>VLOOKUP(A12,Library!$B$4:$G$69,3,FALSE)</f>
        <v>0</v>
      </c>
      <c r="U12" s="185">
        <f>VLOOKUP(A12,Library!$B$4:$G$69,4,FALSE)</f>
        <v>1</v>
      </c>
      <c r="V12" s="185">
        <f>VLOOKUP(A12,Library!$B$4:$G$69,5,FALSE)</f>
        <v>0</v>
      </c>
      <c r="W12" s="218">
        <f>VLOOKUP(A12,Library!$B$4:$G$69,6,FALSE)</f>
        <v>0</v>
      </c>
      <c r="X12" s="217">
        <f t="shared" si="7"/>
        <v>0</v>
      </c>
      <c r="Y12" s="185">
        <f t="shared" si="8"/>
        <v>9.3475415965601043E-3</v>
      </c>
      <c r="Z12" s="185">
        <f t="shared" si="9"/>
        <v>0</v>
      </c>
      <c r="AA12" s="218">
        <f t="shared" si="10"/>
        <v>0</v>
      </c>
      <c r="AB12" s="217">
        <f>X12*VLOOKUP($AB$7,Library!$T$4:$U$7,2,FALSE)</f>
        <v>0</v>
      </c>
      <c r="AC12" s="185">
        <f>Y12*VLOOKUP($AC$7,Library!$T$4:$U$7,2,FALSE)</f>
        <v>0.13095905776780706</v>
      </c>
      <c r="AD12" s="185">
        <f>Z12*VLOOKUP($AD$7,Library!$T$4:$U$7,2,FALSE)</f>
        <v>0</v>
      </c>
      <c r="AE12" s="218">
        <f>AA12*VLOOKUP($AE$7,Library!$T$4:$U$7,2,FALSE)</f>
        <v>0</v>
      </c>
    </row>
    <row r="13" spans="1:31" ht="14.4" x14ac:dyDescent="0.3">
      <c r="A13" s="25" t="s">
        <v>290</v>
      </c>
      <c r="B13" s="25">
        <f>IFERROR(VLOOKUP(A13,Library!$B$4:$G$69,2,FALSE),"")</f>
        <v>246.48</v>
      </c>
      <c r="C13" s="26">
        <f>VLOOKUP(A13,'DSMZ 120 v1.5'!$F$5:$G$21,2,FALSE)*1000/'DSMZ 120 v1.5'!$G$23</f>
        <v>0.5</v>
      </c>
      <c r="D13" s="41" t="s">
        <v>97</v>
      </c>
      <c r="E13" s="26">
        <f t="shared" si="0"/>
        <v>2.0285621551444336E-3</v>
      </c>
      <c r="F13" s="25" t="s">
        <v>64</v>
      </c>
      <c r="G13" s="28">
        <v>1</v>
      </c>
      <c r="H13" s="25">
        <f>VLOOKUP(F13,Library!$K$4:$N$36,3,FALSE)</f>
        <v>2</v>
      </c>
      <c r="I13" s="25">
        <f t="shared" si="1"/>
        <v>2.0285621551444336E-3</v>
      </c>
      <c r="J13" s="178">
        <f>IF(F13="N/A",0,VLOOKUP(F13,Library!$K$4:$M$36,2,FALSE))</f>
        <v>24.305</v>
      </c>
      <c r="K13" s="183">
        <f t="shared" si="2"/>
        <v>8.1142486205777343E-3</v>
      </c>
      <c r="L13" s="28">
        <f t="shared" si="3"/>
        <v>4.9304203180785461E-2</v>
      </c>
      <c r="M13" s="25" t="s">
        <v>69</v>
      </c>
      <c r="N13" s="25">
        <v>1</v>
      </c>
      <c r="O13" s="25">
        <f>IFERROR(VLOOKUP(M13,Library!$K$4:$M$36,3,FALSE),"")</f>
        <v>-2</v>
      </c>
      <c r="P13" s="25">
        <f t="shared" si="4"/>
        <v>2.0285621551444336E-3</v>
      </c>
      <c r="Q13" s="25">
        <f>IFERROR(IF(M13="N/A",0,VLOOKUP(M13,Library!$K$4:$N$36,2,FALSE)),"")</f>
        <v>96.06</v>
      </c>
      <c r="R13" s="25">
        <f t="shared" si="5"/>
        <v>8.1142486205777343E-3</v>
      </c>
      <c r="S13" s="200">
        <f t="shared" si="6"/>
        <v>0.1948636806231743</v>
      </c>
      <c r="T13" s="217">
        <f>VLOOKUP(A13,Library!$B$4:$G$69,3,FALSE)</f>
        <v>0</v>
      </c>
      <c r="U13" s="185">
        <f>VLOOKUP(A13,Library!$B$4:$G$69,4,FALSE)</f>
        <v>0</v>
      </c>
      <c r="V13" s="185">
        <f>VLOOKUP(A13,Library!$B$4:$G$69,5,FALSE)</f>
        <v>0</v>
      </c>
      <c r="W13" s="218">
        <f>VLOOKUP(A13,Library!$B$4:$G$69,6,FALSE)</f>
        <v>1</v>
      </c>
      <c r="X13" s="217">
        <f t="shared" si="7"/>
        <v>0</v>
      </c>
      <c r="Y13" s="185">
        <f t="shared" si="8"/>
        <v>0</v>
      </c>
      <c r="Z13" s="185">
        <f t="shared" si="9"/>
        <v>0</v>
      </c>
      <c r="AA13" s="218">
        <f t="shared" si="10"/>
        <v>2.0285621551444336E-3</v>
      </c>
      <c r="AB13" s="217">
        <f>X13*VLOOKUP($AB$7,Library!$T$4:$U$7,2,FALSE)</f>
        <v>0</v>
      </c>
      <c r="AC13" s="185">
        <f>Y13*VLOOKUP($AC$7,Library!$T$4:$U$7,2,FALSE)</f>
        <v>0</v>
      </c>
      <c r="AD13" s="185">
        <f>Z13*VLOOKUP($AD$7,Library!$T$4:$U$7,2,FALSE)</f>
        <v>0</v>
      </c>
      <c r="AE13" s="218">
        <f>AA13*VLOOKUP($AE$7,Library!$T$4:$U$7,2,FALSE)</f>
        <v>6.5055988315481983E-2</v>
      </c>
    </row>
    <row r="14" spans="1:31" ht="14.4" x14ac:dyDescent="0.3">
      <c r="A14" s="25" t="s">
        <v>29</v>
      </c>
      <c r="B14" s="25">
        <f>IFERROR(VLOOKUP(A14,Library!$B$4:$G$69,2,FALSE),"")</f>
        <v>147.01</v>
      </c>
      <c r="C14" s="26">
        <f>VLOOKUP(A14,'DSMZ 120 v1.5'!$F$5:$G$21,2,FALSE)*1000/'DSMZ 120 v1.5'!$G$23</f>
        <v>0.25</v>
      </c>
      <c r="D14" s="41" t="s">
        <v>97</v>
      </c>
      <c r="E14" s="26">
        <f t="shared" si="0"/>
        <v>1.7005645874430312E-3</v>
      </c>
      <c r="F14" s="25" t="s">
        <v>65</v>
      </c>
      <c r="G14" s="28">
        <v>1</v>
      </c>
      <c r="H14" s="25">
        <f>VLOOKUP(F14,Library!$K$4:$N$36,3,FALSE)</f>
        <v>2</v>
      </c>
      <c r="I14" s="25">
        <f t="shared" si="1"/>
        <v>1.7005645874430312E-3</v>
      </c>
      <c r="J14" s="178">
        <f>IF(F14="N/A",0,VLOOKUP(F14,Library!$K$4:$M$36,2,FALSE))</f>
        <v>40.078000000000003</v>
      </c>
      <c r="K14" s="183">
        <f t="shared" si="2"/>
        <v>6.8022583497721247E-3</v>
      </c>
      <c r="L14" s="28">
        <f t="shared" si="3"/>
        <v>6.8155227535541804E-2</v>
      </c>
      <c r="M14" s="25" t="s">
        <v>70</v>
      </c>
      <c r="N14" s="25">
        <v>2</v>
      </c>
      <c r="O14" s="25">
        <f>IFERROR(VLOOKUP(M14,Library!$K$4:$M$36,3,FALSE),"")</f>
        <v>-1</v>
      </c>
      <c r="P14" s="25">
        <f t="shared" si="4"/>
        <v>3.4011291748860624E-3</v>
      </c>
      <c r="Q14" s="25">
        <f>IFERROR(IF(M14="N/A",0,VLOOKUP(M14,Library!$K$4:$N$36,2,FALSE)),"")</f>
        <v>35.453000000000003</v>
      </c>
      <c r="R14" s="25">
        <f t="shared" si="5"/>
        <v>3.4011291748860624E-3</v>
      </c>
      <c r="S14" s="200">
        <f t="shared" si="6"/>
        <v>0.12058023263723558</v>
      </c>
      <c r="T14" s="217">
        <f>VLOOKUP(A14,Library!$B$4:$G$69,3,FALSE)</f>
        <v>0</v>
      </c>
      <c r="U14" s="185">
        <f>VLOOKUP(A14,Library!$B$4:$G$69,4,FALSE)</f>
        <v>0</v>
      </c>
      <c r="V14" s="185">
        <f>VLOOKUP(A14,Library!$B$4:$G$69,5,FALSE)</f>
        <v>0</v>
      </c>
      <c r="W14" s="218">
        <f>VLOOKUP(A14,Library!$B$4:$G$69,6,FALSE)</f>
        <v>0</v>
      </c>
      <c r="X14" s="217">
        <f t="shared" si="7"/>
        <v>0</v>
      </c>
      <c r="Y14" s="185">
        <f t="shared" si="8"/>
        <v>0</v>
      </c>
      <c r="Z14" s="185">
        <f t="shared" si="9"/>
        <v>0</v>
      </c>
      <c r="AA14" s="218">
        <f t="shared" si="10"/>
        <v>0</v>
      </c>
      <c r="AB14" s="217">
        <f>X14*VLOOKUP($AB$7,Library!$T$4:$U$7,2,FALSE)</f>
        <v>0</v>
      </c>
      <c r="AC14" s="185">
        <f>Y14*VLOOKUP($AC$7,Library!$T$4:$U$7,2,FALSE)</f>
        <v>0</v>
      </c>
      <c r="AD14" s="185">
        <f>Z14*VLOOKUP($AD$7,Library!$T$4:$U$7,2,FALSE)</f>
        <v>0</v>
      </c>
      <c r="AE14" s="218">
        <f>AA14*VLOOKUP($AE$7,Library!$T$4:$U$7,2,FALSE)</f>
        <v>0</v>
      </c>
    </row>
    <row r="15" spans="1:31" ht="14.4" x14ac:dyDescent="0.3">
      <c r="A15" s="25" t="s">
        <v>33</v>
      </c>
      <c r="B15" s="25">
        <f>IFERROR(VLOOKUP(A15,Library!$B$4:$G$69,2,FALSE),"")</f>
        <v>58.44</v>
      </c>
      <c r="C15" s="26">
        <f>VLOOKUP(A15,'DSMZ 120 v1.5'!$F$5:$G$21,2,FALSE)*1000/'DSMZ 120 v1.5'!$G$23</f>
        <v>2.25</v>
      </c>
      <c r="D15" s="41" t="s">
        <v>97</v>
      </c>
      <c r="E15" s="26">
        <f t="shared" si="0"/>
        <v>3.8501026694045176E-2</v>
      </c>
      <c r="F15" s="25" t="s">
        <v>63</v>
      </c>
      <c r="G15" s="28">
        <v>1</v>
      </c>
      <c r="H15" s="25">
        <f>VLOOKUP(F15,Library!$K$4:$N$36,3,FALSE)</f>
        <v>1</v>
      </c>
      <c r="I15" s="25">
        <f t="shared" si="1"/>
        <v>3.8501026694045176E-2</v>
      </c>
      <c r="J15" s="178">
        <f>IF(F15="N/A",0,VLOOKUP(F15,Library!$K$4:$M$36,2,FALSE))</f>
        <v>28.989768999999999</v>
      </c>
      <c r="K15" s="183">
        <f t="shared" si="2"/>
        <v>3.8501026694045176E-2</v>
      </c>
      <c r="L15" s="28">
        <f t="shared" si="3"/>
        <v>1.1161358701232034</v>
      </c>
      <c r="M15" s="25" t="s">
        <v>70</v>
      </c>
      <c r="N15" s="25">
        <v>1</v>
      </c>
      <c r="O15" s="25">
        <f>IFERROR(VLOOKUP(M15,Library!$K$4:$M$36,3,FALSE),"")</f>
        <v>-1</v>
      </c>
      <c r="P15" s="25">
        <f t="shared" si="4"/>
        <v>3.8501026694045176E-2</v>
      </c>
      <c r="Q15" s="25">
        <f>IFERROR(IF(M15="N/A",0,VLOOKUP(M15,Library!$K$4:$N$36,2,FALSE)),"")</f>
        <v>35.453000000000003</v>
      </c>
      <c r="R15" s="25">
        <f t="shared" si="5"/>
        <v>3.8501026694045176E-2</v>
      </c>
      <c r="S15" s="200">
        <f t="shared" si="6"/>
        <v>1.3649768993839837</v>
      </c>
      <c r="T15" s="217">
        <f>VLOOKUP(A15,Library!$B$4:$G$69,3,FALSE)</f>
        <v>0</v>
      </c>
      <c r="U15" s="185">
        <f>VLOOKUP(A15,Library!$B$4:$G$69,4,FALSE)</f>
        <v>0</v>
      </c>
      <c r="V15" s="185">
        <f>VLOOKUP(A15,Library!$B$4:$G$69,5,FALSE)</f>
        <v>0</v>
      </c>
      <c r="W15" s="218">
        <f>VLOOKUP(A15,Library!$B$4:$G$69,6,FALSE)</f>
        <v>0</v>
      </c>
      <c r="X15" s="217">
        <f t="shared" si="7"/>
        <v>0</v>
      </c>
      <c r="Y15" s="185">
        <f t="shared" si="8"/>
        <v>0</v>
      </c>
      <c r="Z15" s="185">
        <f t="shared" si="9"/>
        <v>0</v>
      </c>
      <c r="AA15" s="218">
        <f t="shared" si="10"/>
        <v>0</v>
      </c>
      <c r="AB15" s="217">
        <f>X15*VLOOKUP($AB$7,Library!$T$4:$U$7,2,FALSE)</f>
        <v>0</v>
      </c>
      <c r="AC15" s="185">
        <f>Y15*VLOOKUP($AC$7,Library!$T$4:$U$7,2,FALSE)</f>
        <v>0</v>
      </c>
      <c r="AD15" s="185">
        <f>Z15*VLOOKUP($AD$7,Library!$T$4:$U$7,2,FALSE)</f>
        <v>0</v>
      </c>
      <c r="AE15" s="218">
        <f>AA15*VLOOKUP($AE$7,Library!$T$4:$U$7,2,FALSE)</f>
        <v>0</v>
      </c>
    </row>
    <row r="16" spans="1:31" ht="14.4" x14ac:dyDescent="0.3">
      <c r="A16" s="20" t="s">
        <v>291</v>
      </c>
      <c r="B16" s="253"/>
      <c r="C16" s="267"/>
      <c r="D16" s="267"/>
      <c r="E16" s="262"/>
      <c r="F16" s="253"/>
      <c r="G16" s="257"/>
      <c r="H16" s="253"/>
      <c r="I16" s="253"/>
      <c r="J16" s="263"/>
      <c r="K16" s="264"/>
      <c r="L16" s="257"/>
      <c r="M16" s="253"/>
      <c r="N16" s="253"/>
      <c r="O16" s="253"/>
      <c r="P16" s="253"/>
      <c r="Q16" s="253"/>
      <c r="R16" s="253"/>
      <c r="S16" s="265"/>
      <c r="T16" s="259"/>
      <c r="U16" s="260"/>
      <c r="V16" s="260"/>
      <c r="W16" s="261"/>
      <c r="X16" s="259"/>
      <c r="Y16" s="260"/>
      <c r="Z16" s="260"/>
      <c r="AA16" s="261"/>
      <c r="AB16" s="259"/>
      <c r="AC16" s="260"/>
      <c r="AD16" s="260"/>
      <c r="AE16" s="261"/>
    </row>
    <row r="17" spans="1:31" ht="14.4" x14ac:dyDescent="0.3">
      <c r="A17" s="25" t="s">
        <v>59</v>
      </c>
      <c r="B17" s="25">
        <f>IFERROR(VLOOKUP(A17,Library!$B$4:$G$69,2,FALSE),"")</f>
        <v>392.14</v>
      </c>
      <c r="C17" s="26">
        <f>VLOOKUP(A17,'DSMZ 120 v1.5'!I20:J22,2,FALSE)*(1000/'DSMZ 120 v1.5'!$J$22)*('DSMZ 120 v1.5'!$G$11/'DSMZ 120 v1.5'!$G$23)</f>
        <v>2.0020020020020024E-3</v>
      </c>
      <c r="D17" s="41" t="s">
        <v>97</v>
      </c>
      <c r="E17" s="26">
        <f t="shared" si="0"/>
        <v>5.1053246340643714E-6</v>
      </c>
      <c r="F17" s="25" t="s">
        <v>80</v>
      </c>
      <c r="G17" s="28">
        <v>1</v>
      </c>
      <c r="H17" s="25">
        <f>VLOOKUP(F17,Library!$K$4:$N$36,3,FALSE)</f>
        <v>2</v>
      </c>
      <c r="I17" s="25">
        <f>E17*G17</f>
        <v>5.1053246340643714E-6</v>
      </c>
      <c r="J17" s="178">
        <f>IF(F17="N/A",0,VLOOKUP(F17,Library!$K$4:$M$36,2,FALSE))</f>
        <v>55.844999999999999</v>
      </c>
      <c r="K17" s="183">
        <f t="shared" si="2"/>
        <v>2.0421298536257486E-5</v>
      </c>
      <c r="L17" s="28">
        <f t="shared" si="3"/>
        <v>2.8510685418932483E-4</v>
      </c>
      <c r="M17" s="25" t="s">
        <v>69</v>
      </c>
      <c r="N17" s="25">
        <v>1</v>
      </c>
      <c r="O17" s="25">
        <f>IFERROR(VLOOKUP(M17,Library!$K$4:$M$36,3,FALSE),"")</f>
        <v>-2</v>
      </c>
      <c r="P17" s="25">
        <f>E17*N17</f>
        <v>5.1053246340643714E-6</v>
      </c>
      <c r="Q17" s="25">
        <f>IFERROR(IF(M17="N/A",0,VLOOKUP(M17,Library!$K$4:$N$36,2,FALSE)),"")</f>
        <v>96.06</v>
      </c>
      <c r="R17" s="25">
        <f>IFERROR(P17*(O17^2),"")</f>
        <v>2.0421298536257486E-5</v>
      </c>
      <c r="S17" s="200">
        <f>IFERROR(P17*Q17,"")</f>
        <v>4.9041748434822357E-4</v>
      </c>
      <c r="T17" s="217">
        <f>VLOOKUP(A17,Library!$B$4:$G$69,3,FALSE)</f>
        <v>0</v>
      </c>
      <c r="U17" s="185">
        <f>VLOOKUP(A17,Library!$B$4:$G$69,4,FALSE)</f>
        <v>0</v>
      </c>
      <c r="V17" s="185">
        <f>VLOOKUP(A17,Library!$B$4:$G$69,5,FALSE)</f>
        <v>0</v>
      </c>
      <c r="W17" s="218">
        <f>VLOOKUP(A17,Library!$B$4:$G$69,6,FALSE)</f>
        <v>1</v>
      </c>
      <c r="X17" s="217">
        <f t="shared" ref="X17:X49" si="11">T17*E17</f>
        <v>0</v>
      </c>
      <c r="Y17" s="185">
        <f>U17*E17</f>
        <v>0</v>
      </c>
      <c r="Z17" s="185">
        <f>V17*E17</f>
        <v>0</v>
      </c>
      <c r="AA17" s="218">
        <f>W17*E17</f>
        <v>5.1053246340643714E-6</v>
      </c>
      <c r="AB17" s="217">
        <f>X17*VLOOKUP($AB$7,Library!$T$4:$U$7,2,FALSE)</f>
        <v>0</v>
      </c>
      <c r="AC17" s="185">
        <f>Y17*VLOOKUP($AC$7,Library!$T$4:$U$7,2,FALSE)</f>
        <v>0</v>
      </c>
      <c r="AD17" s="185">
        <f>Z17*VLOOKUP($AD$7,Library!$T$4:$U$7,2,FALSE)</f>
        <v>0</v>
      </c>
      <c r="AE17" s="218">
        <f>AA17*VLOOKUP($AE$7,Library!$T$4:$U$7,2,FALSE)</f>
        <v>1.637277610144444E-4</v>
      </c>
    </row>
    <row r="18" spans="1:31" ht="14.4" x14ac:dyDescent="0.3">
      <c r="A18" s="25" t="s">
        <v>348</v>
      </c>
      <c r="B18" s="25">
        <f>IFERROR(VLOOKUP(A18,Library!$B$4:$G$69,2,FALSE),"")</f>
        <v>98.085999999999999</v>
      </c>
      <c r="C18" s="26">
        <f>'DSMZ 120 v1.5'!$M$20*('DSMZ 120 v1.5'!J22/1000)*('DSMZ 120 v1.5'!$G$11/'DSMZ 120 v1.5'!$G$23)</f>
        <v>9.7902000000000006E-3</v>
      </c>
      <c r="D18" s="41" t="s">
        <v>97</v>
      </c>
      <c r="E18" s="26">
        <f t="shared" si="0"/>
        <v>9.981240951817794E-5</v>
      </c>
      <c r="F18" s="25" t="s">
        <v>339</v>
      </c>
      <c r="G18" s="28">
        <v>2</v>
      </c>
      <c r="H18" s="25">
        <f>VLOOKUP(F18,Library!$K$4:$N$36,3,FALSE)</f>
        <v>1</v>
      </c>
      <c r="I18" s="25">
        <f>E18*G18</f>
        <v>1.9962481903635588E-4</v>
      </c>
      <c r="J18" s="178">
        <f>IF(F18="N/A",0,VLOOKUP(F18,Library!$K$4:$M$36,2,FALSE))</f>
        <v>1.0078400000000001</v>
      </c>
      <c r="K18" s="183">
        <f t="shared" si="2"/>
        <v>1.9962481903635588E-4</v>
      </c>
      <c r="L18" s="28">
        <f t="shared" si="3"/>
        <v>2.0118987761760093E-4</v>
      </c>
      <c r="M18" s="25" t="s">
        <v>69</v>
      </c>
      <c r="N18" s="25">
        <v>1</v>
      </c>
      <c r="O18" s="25">
        <f>IFERROR(VLOOKUP(M18,Library!$K$4:$M$36,3,FALSE),"")</f>
        <v>-2</v>
      </c>
      <c r="P18" s="25">
        <f>E18*N18</f>
        <v>9.981240951817794E-5</v>
      </c>
      <c r="Q18" s="25"/>
      <c r="R18" s="25">
        <f>IFERROR(P18*(O18^2),"")</f>
        <v>3.9924963807271176E-4</v>
      </c>
      <c r="S18" s="200"/>
      <c r="T18" s="217">
        <f>VLOOKUP(A18,Library!$B$4:$G$69,3,FALSE)</f>
        <v>0</v>
      </c>
      <c r="U18" s="185">
        <f>VLOOKUP(A18,Library!$B$4:$G$69,4,FALSE)</f>
        <v>0</v>
      </c>
      <c r="V18" s="185">
        <f>VLOOKUP(A18,Library!$B$4:$G$69,5,FALSE)</f>
        <v>0</v>
      </c>
      <c r="W18" s="218">
        <f>VLOOKUP(A18,Library!$B$4:$G$69,6,FALSE)</f>
        <v>1</v>
      </c>
      <c r="X18" s="217">
        <f t="shared" si="11"/>
        <v>0</v>
      </c>
      <c r="Y18" s="185">
        <f t="shared" ref="Y18:Y49" si="12">U18*E18</f>
        <v>0</v>
      </c>
      <c r="Z18" s="185">
        <f t="shared" ref="Z18:Z49" si="13">V18*E18</f>
        <v>0</v>
      </c>
      <c r="AA18" s="218">
        <f t="shared" ref="AA18:AA49" si="14">W18*E18</f>
        <v>9.981240951817794E-5</v>
      </c>
      <c r="AB18" s="217">
        <f>X18*VLOOKUP($AB$7,Library!$T$4:$U$7,2,FALSE)</f>
        <v>0</v>
      </c>
      <c r="AC18" s="185">
        <f>Y18*VLOOKUP($AC$7,Library!$T$4:$U$7,2,FALSE)</f>
        <v>0</v>
      </c>
      <c r="AD18" s="185">
        <f>Z18*VLOOKUP($AD$7,Library!$T$4:$U$7,2,FALSE)</f>
        <v>0</v>
      </c>
      <c r="AE18" s="218">
        <f>AA18*VLOOKUP($AE$7,Library!$T$4:$U$7,2,FALSE)</f>
        <v>3.2009839732479667E-3</v>
      </c>
    </row>
    <row r="19" spans="1:31" ht="14.4" x14ac:dyDescent="0.3">
      <c r="A19" s="20" t="s">
        <v>327</v>
      </c>
      <c r="B19" s="253"/>
      <c r="C19" s="262"/>
      <c r="D19" s="267"/>
      <c r="E19" s="262"/>
      <c r="F19" s="253"/>
      <c r="G19" s="257"/>
      <c r="H19" s="253"/>
      <c r="I19" s="253"/>
      <c r="J19" s="263"/>
      <c r="K19" s="264"/>
      <c r="L19" s="257"/>
      <c r="M19" s="253"/>
      <c r="N19" s="253"/>
      <c r="O19" s="253"/>
      <c r="P19" s="253"/>
      <c r="Q19" s="253"/>
      <c r="R19" s="253"/>
      <c r="S19" s="265"/>
      <c r="T19" s="259"/>
      <c r="U19" s="260"/>
      <c r="V19" s="260"/>
      <c r="W19" s="261"/>
      <c r="X19" s="259">
        <f t="shared" si="11"/>
        <v>0</v>
      </c>
      <c r="Y19" s="260">
        <f t="shared" si="12"/>
        <v>0</v>
      </c>
      <c r="Z19" s="260">
        <f t="shared" si="13"/>
        <v>0</v>
      </c>
      <c r="AA19" s="261">
        <f t="shared" si="14"/>
        <v>0</v>
      </c>
      <c r="AB19" s="259"/>
      <c r="AC19" s="260"/>
      <c r="AD19" s="260"/>
      <c r="AE19" s="261"/>
    </row>
    <row r="20" spans="1:31" ht="14.4" x14ac:dyDescent="0.3">
      <c r="A20" s="25" t="s">
        <v>124</v>
      </c>
      <c r="B20" s="25">
        <f>IFERROR(VLOOKUP(A20,Library!$B$4:$G$69,2,FALSE),"")</f>
        <v>36.46</v>
      </c>
      <c r="C20" s="26">
        <f>'DSMZ 120 v1.5'!P20*('DSMZ 120 v1.5'!$M$4/'DSMZ 120 v1.5'!$M$14)*('DSMZ 120 v1.5'!$G$12/'DSMZ 120 v1.5'!$G$23)</f>
        <v>2.9500000000000004E-3</v>
      </c>
      <c r="D20" s="41" t="s">
        <v>97</v>
      </c>
      <c r="E20" s="26">
        <f t="shared" si="0"/>
        <v>8.091058694459683E-5</v>
      </c>
      <c r="F20" s="25" t="s">
        <v>339</v>
      </c>
      <c r="G20" s="28">
        <v>1</v>
      </c>
      <c r="H20" s="25">
        <f>VLOOKUP(F20,Library!$K$4:$N$36,3,FALSE)</f>
        <v>1</v>
      </c>
      <c r="I20" s="25">
        <f t="shared" si="1"/>
        <v>8.091058694459683E-5</v>
      </c>
      <c r="J20" s="178">
        <f>IF(F20="N/A",0,VLOOKUP(F20,Library!$K$4:$M$36,2,FALSE))</f>
        <v>1.0078400000000001</v>
      </c>
      <c r="K20" s="183">
        <f t="shared" si="2"/>
        <v>8.091058694459683E-5</v>
      </c>
      <c r="L20" s="28">
        <f t="shared" si="3"/>
        <v>8.1544925946242482E-5</v>
      </c>
      <c r="M20" s="25" t="s">
        <v>70</v>
      </c>
      <c r="N20" s="25">
        <v>1</v>
      </c>
      <c r="O20" s="25">
        <f>IFERROR(VLOOKUP(M20,Library!$K$4:$M$36,3,FALSE),"")</f>
        <v>-1</v>
      </c>
      <c r="P20" s="25">
        <f t="shared" si="4"/>
        <v>8.091058694459683E-5</v>
      </c>
      <c r="Q20" s="25">
        <f>IFERROR(IF(M20="N/A",0,VLOOKUP(M20,Library!$K$4:$N$36,2,FALSE)),"")</f>
        <v>35.453000000000003</v>
      </c>
      <c r="R20" s="25">
        <f t="shared" si="5"/>
        <v>8.091058694459683E-5</v>
      </c>
      <c r="S20" s="200">
        <f t="shared" si="6"/>
        <v>2.8685230389467915E-3</v>
      </c>
      <c r="T20" s="217">
        <f>VLOOKUP(A20,Library!$B$4:$G$69,3,FALSE)</f>
        <v>0</v>
      </c>
      <c r="U20" s="185">
        <f>VLOOKUP(A20,Library!$B$4:$G$69,4,FALSE)</f>
        <v>0</v>
      </c>
      <c r="V20" s="185">
        <f>VLOOKUP(A20,Library!$B$4:$G$69,5,FALSE)</f>
        <v>0</v>
      </c>
      <c r="W20" s="218">
        <f>VLOOKUP(A20,Library!$B$4:$G$69,6,FALSE)</f>
        <v>0</v>
      </c>
      <c r="X20" s="217">
        <f t="shared" si="11"/>
        <v>0</v>
      </c>
      <c r="Y20" s="185">
        <f t="shared" si="12"/>
        <v>0</v>
      </c>
      <c r="Z20" s="185">
        <f t="shared" si="13"/>
        <v>0</v>
      </c>
      <c r="AA20" s="218">
        <f t="shared" si="14"/>
        <v>0</v>
      </c>
      <c r="AB20" s="217">
        <f>X20*VLOOKUP($AB$7,Library!$T$4:$U$7,2,FALSE)</f>
        <v>0</v>
      </c>
      <c r="AC20" s="185">
        <f>Y20*VLOOKUP($AC$7,Library!$T$4:$U$7,2,FALSE)</f>
        <v>0</v>
      </c>
      <c r="AD20" s="185">
        <f>Z20*VLOOKUP($AD$7,Library!$T$4:$U$7,2,FALSE)</f>
        <v>0</v>
      </c>
      <c r="AE20" s="218">
        <f>AA20*VLOOKUP($AE$7,Library!$T$4:$U$7,2,FALSE)</f>
        <v>0</v>
      </c>
    </row>
    <row r="21" spans="1:31" ht="14.4" x14ac:dyDescent="0.3">
      <c r="A21" s="25" t="s">
        <v>164</v>
      </c>
      <c r="B21" s="25">
        <f>IFERROR(VLOOKUP(A21,Library!$B$4:$G$69,2,FALSE),"")</f>
        <v>198.81</v>
      </c>
      <c r="C21" s="26">
        <f>VLOOKUP(A21,'DSMZ 120 v1.5'!$L$4:$M$13,2,FALSE)*('DSMZ 120 v1.5'!$G$12/'DSMZ 120 v1.5'!$G$23)</f>
        <v>1.5E-3</v>
      </c>
      <c r="D21" s="41" t="s">
        <v>97</v>
      </c>
      <c r="E21" s="26">
        <f t="shared" si="0"/>
        <v>7.5448921080428549E-6</v>
      </c>
      <c r="F21" s="25" t="s">
        <v>80</v>
      </c>
      <c r="G21" s="28">
        <v>1</v>
      </c>
      <c r="H21" s="25">
        <f>VLOOKUP(F21,Library!$K$4:$N$36,3,FALSE)</f>
        <v>2</v>
      </c>
      <c r="I21" s="25">
        <f t="shared" si="1"/>
        <v>7.5448921080428549E-6</v>
      </c>
      <c r="J21" s="178">
        <f>IF(F21="N/A",0,VLOOKUP(F21,Library!$K$4:$M$36,2,FALSE))</f>
        <v>55.844999999999999</v>
      </c>
      <c r="K21" s="183">
        <f t="shared" si="2"/>
        <v>3.017956843217142E-5</v>
      </c>
      <c r="L21" s="28">
        <f t="shared" si="3"/>
        <v>4.2134449977365322E-4</v>
      </c>
      <c r="M21" s="25" t="s">
        <v>70</v>
      </c>
      <c r="N21" s="25">
        <v>2</v>
      </c>
      <c r="O21" s="25">
        <f>IFERROR(VLOOKUP(M21,Library!$K$4:$M$36,3,FALSE),"")</f>
        <v>-1</v>
      </c>
      <c r="P21" s="25">
        <f t="shared" si="4"/>
        <v>1.508978421608571E-5</v>
      </c>
      <c r="Q21" s="25">
        <f>IFERROR(IF(M21="N/A",0,VLOOKUP(M21,Library!$K$4:$N$36,2,FALSE)),"")</f>
        <v>35.453000000000003</v>
      </c>
      <c r="R21" s="25">
        <f t="shared" si="5"/>
        <v>1.508978421608571E-5</v>
      </c>
      <c r="S21" s="200">
        <f t="shared" si="6"/>
        <v>5.3497811981288669E-4</v>
      </c>
      <c r="T21" s="217">
        <f>VLOOKUP(A21,Library!$B$4:$G$69,3,FALSE)</f>
        <v>0</v>
      </c>
      <c r="U21" s="185">
        <f>VLOOKUP(A21,Library!$B$4:$G$69,4,FALSE)</f>
        <v>0</v>
      </c>
      <c r="V21" s="185">
        <f>VLOOKUP(A21,Library!$B$4:$G$69,5,FALSE)</f>
        <v>0</v>
      </c>
      <c r="W21" s="218">
        <f>VLOOKUP(A21,Library!$B$4:$G$69,6,FALSE)</f>
        <v>0</v>
      </c>
      <c r="X21" s="217">
        <f t="shared" si="11"/>
        <v>0</v>
      </c>
      <c r="Y21" s="185">
        <f t="shared" si="12"/>
        <v>0</v>
      </c>
      <c r="Z21" s="185">
        <f t="shared" si="13"/>
        <v>0</v>
      </c>
      <c r="AA21" s="218">
        <f t="shared" si="14"/>
        <v>0</v>
      </c>
      <c r="AB21" s="217">
        <f>X21*VLOOKUP($AB$7,Library!$T$4:$U$7,2,FALSE)</f>
        <v>0</v>
      </c>
      <c r="AC21" s="185">
        <f>Y21*VLOOKUP($AC$7,Library!$T$4:$U$7,2,FALSE)</f>
        <v>0</v>
      </c>
      <c r="AD21" s="185">
        <f>Z21*VLOOKUP($AD$7,Library!$T$4:$U$7,2,FALSE)</f>
        <v>0</v>
      </c>
      <c r="AE21" s="218">
        <f>AA21*VLOOKUP($AE$7,Library!$T$4:$U$7,2,FALSE)</f>
        <v>0</v>
      </c>
    </row>
    <row r="22" spans="1:31" ht="14.4" x14ac:dyDescent="0.3">
      <c r="A22" s="25" t="s">
        <v>168</v>
      </c>
      <c r="B22" s="25">
        <f>IFERROR(VLOOKUP(A22,Library!$B$4:$G$69,2,FALSE),"")</f>
        <v>136.29</v>
      </c>
      <c r="C22" s="26">
        <f>VLOOKUP(A22,'DSMZ 120 v1.5'!$L$4:$M$13,2,FALSE)*('DSMZ 120 v1.5'!$G$12/'DSMZ 120 v1.5'!$G$23)</f>
        <v>7.0000000000000007E-2</v>
      </c>
      <c r="D22" s="41" t="s">
        <v>16</v>
      </c>
      <c r="E22" s="26">
        <f t="shared" si="0"/>
        <v>5.1361068310220855E-7</v>
      </c>
      <c r="F22" s="25" t="s">
        <v>73</v>
      </c>
      <c r="G22" s="28">
        <v>1</v>
      </c>
      <c r="H22" s="25">
        <f>VLOOKUP(F22,Library!$K$4:$N$36,3,FALSE)</f>
        <v>2</v>
      </c>
      <c r="I22" s="25">
        <f t="shared" si="1"/>
        <v>5.1361068310220855E-7</v>
      </c>
      <c r="J22" s="178">
        <f>IF(F22="N/A",0,VLOOKUP(F22,Library!$K$4:$M$36,2,FALSE))</f>
        <v>65.926034000000001</v>
      </c>
      <c r="K22" s="183">
        <f t="shared" si="2"/>
        <v>2.0544427324088342E-6</v>
      </c>
      <c r="L22" s="28">
        <f t="shared" si="3"/>
        <v>3.3860315356959429E-5</v>
      </c>
      <c r="M22" s="25" t="s">
        <v>70</v>
      </c>
      <c r="N22" s="25">
        <v>2</v>
      </c>
      <c r="O22" s="25">
        <f>IFERROR(VLOOKUP(M22,Library!$K$4:$M$36,3,FALSE),"")</f>
        <v>-1</v>
      </c>
      <c r="P22" s="25">
        <f t="shared" si="4"/>
        <v>1.0272213662044171E-6</v>
      </c>
      <c r="Q22" s="25">
        <f>IFERROR(IF(M22="N/A",0,VLOOKUP(M22,Library!$K$4:$N$36,2,FALSE)),"")</f>
        <v>35.453000000000003</v>
      </c>
      <c r="R22" s="25">
        <f t="shared" si="5"/>
        <v>1.0272213662044171E-6</v>
      </c>
      <c r="S22" s="200">
        <f t="shared" si="6"/>
        <v>3.64180790960452E-5</v>
      </c>
      <c r="T22" s="217">
        <f>VLOOKUP(A22,Library!$B$4:$G$69,3,FALSE)</f>
        <v>0</v>
      </c>
      <c r="U22" s="185">
        <f>VLOOKUP(A22,Library!$B$4:$G$69,4,FALSE)</f>
        <v>0</v>
      </c>
      <c r="V22" s="185">
        <f>VLOOKUP(A22,Library!$B$4:$G$69,5,FALSE)</f>
        <v>0</v>
      </c>
      <c r="W22" s="218">
        <f>VLOOKUP(A22,Library!$B$4:$G$69,6,FALSE)</f>
        <v>0</v>
      </c>
      <c r="X22" s="217">
        <f t="shared" si="11"/>
        <v>0</v>
      </c>
      <c r="Y22" s="185">
        <f t="shared" si="12"/>
        <v>0</v>
      </c>
      <c r="Z22" s="185">
        <f t="shared" si="13"/>
        <v>0</v>
      </c>
      <c r="AA22" s="218">
        <f t="shared" si="14"/>
        <v>0</v>
      </c>
      <c r="AB22" s="217">
        <f>X22*VLOOKUP($AB$7,Library!$T$4:$U$7,2,FALSE)</f>
        <v>0</v>
      </c>
      <c r="AC22" s="185">
        <f>Y22*VLOOKUP($AC$7,Library!$T$4:$U$7,2,FALSE)</f>
        <v>0</v>
      </c>
      <c r="AD22" s="185">
        <f>Z22*VLOOKUP($AD$7,Library!$T$4:$U$7,2,FALSE)</f>
        <v>0</v>
      </c>
      <c r="AE22" s="218">
        <f>AA22*VLOOKUP($AE$7,Library!$T$4:$U$7,2,FALSE)</f>
        <v>0</v>
      </c>
    </row>
    <row r="23" spans="1:31" ht="14.4" x14ac:dyDescent="0.3">
      <c r="A23" s="25" t="s">
        <v>163</v>
      </c>
      <c r="B23" s="25">
        <f>IFERROR(VLOOKUP(A23,Library!$B$4:$G$69,2,FALSE),"")</f>
        <v>197.91</v>
      </c>
      <c r="C23" s="26">
        <f>VLOOKUP(A23,'DSMZ 120 v1.5'!$L$4:$M$13,2,FALSE)*('DSMZ 120 v1.5'!$G$12/'DSMZ 120 v1.5'!$G$23)</f>
        <v>0.1</v>
      </c>
      <c r="D23" s="41" t="s">
        <v>16</v>
      </c>
      <c r="E23" s="26">
        <f t="shared" si="0"/>
        <v>5.0528017785862262E-7</v>
      </c>
      <c r="F23" s="25" t="s">
        <v>74</v>
      </c>
      <c r="G23" s="28">
        <v>1</v>
      </c>
      <c r="H23" s="25">
        <f>VLOOKUP(F23,Library!$K$4:$N$36,3,FALSE)</f>
        <v>2</v>
      </c>
      <c r="I23" s="25">
        <f t="shared" si="1"/>
        <v>5.0528017785862262E-7</v>
      </c>
      <c r="J23" s="178">
        <f>IF(F23="N/A",0,VLOOKUP(F23,Library!$K$4:$M$36,2,FALSE))</f>
        <v>54.94</v>
      </c>
      <c r="K23" s="183">
        <f t="shared" si="2"/>
        <v>2.0211207114344905E-6</v>
      </c>
      <c r="L23" s="28">
        <f t="shared" si="3"/>
        <v>2.7760092971552727E-5</v>
      </c>
      <c r="M23" s="25" t="s">
        <v>70</v>
      </c>
      <c r="N23" s="25">
        <v>2</v>
      </c>
      <c r="O23" s="25">
        <f>IFERROR(VLOOKUP(M23,Library!$K$4:$M$36,3,FALSE),"")</f>
        <v>-1</v>
      </c>
      <c r="P23" s="25">
        <f t="shared" si="4"/>
        <v>1.0105603557172452E-6</v>
      </c>
      <c r="Q23" s="25">
        <f>IFERROR(IF(M23="N/A",0,VLOOKUP(M23,Library!$K$4:$N$36,2,FALSE)),"")</f>
        <v>35.453000000000003</v>
      </c>
      <c r="R23" s="25">
        <f t="shared" si="5"/>
        <v>1.0105603557172452E-6</v>
      </c>
      <c r="S23" s="200">
        <f t="shared" si="6"/>
        <v>3.5827396291243501E-5</v>
      </c>
      <c r="T23" s="217">
        <f>VLOOKUP(A23,Library!$B$4:$G$69,3,FALSE)</f>
        <v>0</v>
      </c>
      <c r="U23" s="185">
        <f>VLOOKUP(A23,Library!$B$4:$G$69,4,FALSE)</f>
        <v>0</v>
      </c>
      <c r="V23" s="185">
        <f>VLOOKUP(A23,Library!$B$4:$G$69,5,FALSE)</f>
        <v>0</v>
      </c>
      <c r="W23" s="218">
        <f>VLOOKUP(A23,Library!$B$4:$G$69,6,FALSE)</f>
        <v>0</v>
      </c>
      <c r="X23" s="217">
        <f t="shared" si="11"/>
        <v>0</v>
      </c>
      <c r="Y23" s="185">
        <f t="shared" si="12"/>
        <v>0</v>
      </c>
      <c r="Z23" s="185">
        <f t="shared" si="13"/>
        <v>0</v>
      </c>
      <c r="AA23" s="218">
        <f t="shared" si="14"/>
        <v>0</v>
      </c>
      <c r="AB23" s="217">
        <f>X23*VLOOKUP($AB$7,Library!$T$4:$U$7,2,FALSE)</f>
        <v>0</v>
      </c>
      <c r="AC23" s="185">
        <f>Y23*VLOOKUP($AC$7,Library!$T$4:$U$7,2,FALSE)</f>
        <v>0</v>
      </c>
      <c r="AD23" s="185">
        <f>Z23*VLOOKUP($AD$7,Library!$T$4:$U$7,2,FALSE)</f>
        <v>0</v>
      </c>
      <c r="AE23" s="218">
        <f>AA23*VLOOKUP($AE$7,Library!$T$4:$U$7,2,FALSE)</f>
        <v>0</v>
      </c>
    </row>
    <row r="24" spans="1:31" ht="14.4" x14ac:dyDescent="0.3">
      <c r="A24" s="25" t="s">
        <v>31</v>
      </c>
      <c r="B24" s="25">
        <f>IFERROR(VLOOKUP(A24,Library!$B$4:$G$69,2,FALSE),"")</f>
        <v>61.83</v>
      </c>
      <c r="C24" s="26">
        <f>VLOOKUP(A24,'DSMZ 120 v1.5'!$L$4:$M$13,2,FALSE)*('DSMZ 120 v1.5'!$G$12/'DSMZ 120 v1.5'!$G$23)</f>
        <v>6.0000000000000001E-3</v>
      </c>
      <c r="D24" s="41" t="s">
        <v>16</v>
      </c>
      <c r="E24" s="26">
        <f t="shared" si="0"/>
        <v>9.7040271712760799E-8</v>
      </c>
      <c r="F24" s="25" t="s">
        <v>339</v>
      </c>
      <c r="G24" s="28">
        <v>3</v>
      </c>
      <c r="H24" s="25">
        <f>VLOOKUP(F24,Library!$K$4:$N$36,3,FALSE)</f>
        <v>1</v>
      </c>
      <c r="I24" s="25">
        <f t="shared" si="1"/>
        <v>2.9112081513828238E-7</v>
      </c>
      <c r="J24" s="178">
        <f>IF(F24="N/A",0,VLOOKUP(F24,Library!$K$4:$M$36,2,FALSE))</f>
        <v>1.0078400000000001</v>
      </c>
      <c r="K24" s="183">
        <f t="shared" si="2"/>
        <v>2.9112081513828238E-7</v>
      </c>
      <c r="L24" s="28">
        <f t="shared" si="3"/>
        <v>2.9340320232896652E-7</v>
      </c>
      <c r="M24" s="25" t="s">
        <v>113</v>
      </c>
      <c r="N24" s="25">
        <v>1</v>
      </c>
      <c r="O24" s="25">
        <f>IFERROR(VLOOKUP(M24,Library!$K$4:$M$36,3,FALSE),"")</f>
        <v>-3</v>
      </c>
      <c r="P24" s="25">
        <f t="shared" si="4"/>
        <v>9.7040271712760799E-8</v>
      </c>
      <c r="Q24" s="25">
        <f>IFERROR(IF(M24="N/A",0,VLOOKUP(M24,Library!$K$4:$N$36,2,FALSE)),"")</f>
        <v>58.81</v>
      </c>
      <c r="R24" s="25">
        <f t="shared" si="5"/>
        <v>8.7336244541484721E-7</v>
      </c>
      <c r="S24" s="200">
        <f t="shared" si="6"/>
        <v>5.7069383794274627E-6</v>
      </c>
      <c r="T24" s="217">
        <f>VLOOKUP(A24,Library!$B$4:$G$69,3,FALSE)</f>
        <v>0</v>
      </c>
      <c r="U24" s="185">
        <f>VLOOKUP(A24,Library!$B$4:$G$69,4,FALSE)</f>
        <v>0</v>
      </c>
      <c r="V24" s="185">
        <f>VLOOKUP(A24,Library!$B$4:$G$69,5,FALSE)</f>
        <v>0</v>
      </c>
      <c r="W24" s="218">
        <f>VLOOKUP(A24,Library!$B$4:$G$69,6,FALSE)</f>
        <v>0</v>
      </c>
      <c r="X24" s="217">
        <f t="shared" si="11"/>
        <v>0</v>
      </c>
      <c r="Y24" s="185">
        <f t="shared" si="12"/>
        <v>0</v>
      </c>
      <c r="Z24" s="185">
        <f t="shared" si="13"/>
        <v>0</v>
      </c>
      <c r="AA24" s="218">
        <f t="shared" si="14"/>
        <v>0</v>
      </c>
      <c r="AB24" s="217">
        <f>X24*VLOOKUP($AB$7,Library!$T$4:$U$7,2,FALSE)</f>
        <v>0</v>
      </c>
      <c r="AC24" s="185">
        <f>Y24*VLOOKUP($AC$7,Library!$T$4:$U$7,2,FALSE)</f>
        <v>0</v>
      </c>
      <c r="AD24" s="185">
        <f>Z24*VLOOKUP($AD$7,Library!$T$4:$U$7,2,FALSE)</f>
        <v>0</v>
      </c>
      <c r="AE24" s="218">
        <f>AA24*VLOOKUP($AE$7,Library!$T$4:$U$7,2,FALSE)</f>
        <v>0</v>
      </c>
    </row>
    <row r="25" spans="1:31" ht="14.4" x14ac:dyDescent="0.3">
      <c r="A25" s="25" t="s">
        <v>35</v>
      </c>
      <c r="B25" s="25">
        <f>IFERROR(VLOOKUP(A25,Library!$B$4:$G$69,2,FALSE),"")</f>
        <v>237.93</v>
      </c>
      <c r="C25" s="26">
        <f>VLOOKUP(A25,'DSMZ 120 v1.5'!$L$4:$M$13,2,FALSE)*('DSMZ 120 v1.5'!$G$12/'DSMZ 120 v1.5'!$G$23)</f>
        <v>0.19</v>
      </c>
      <c r="D25" s="41" t="s">
        <v>16</v>
      </c>
      <c r="E25" s="26">
        <f t="shared" si="0"/>
        <v>7.9855419661244901E-7</v>
      </c>
      <c r="F25" s="25" t="s">
        <v>75</v>
      </c>
      <c r="G25" s="28">
        <v>1</v>
      </c>
      <c r="H25" s="25">
        <f>VLOOKUP(F25,Library!$K$4:$N$36,3,FALSE)</f>
        <v>2</v>
      </c>
      <c r="I25" s="25">
        <f t="shared" si="1"/>
        <v>7.9855419661244901E-7</v>
      </c>
      <c r="J25" s="178">
        <f>IF(F25="N/A",0,VLOOKUP(F25,Library!$K$4:$M$36,2,FALSE))</f>
        <v>58.933190000000003</v>
      </c>
      <c r="K25" s="183">
        <f t="shared" si="2"/>
        <v>3.1942167864497961E-6</v>
      </c>
      <c r="L25" s="28">
        <f t="shared" si="3"/>
        <v>4.7061346194258816E-5</v>
      </c>
      <c r="M25" s="25" t="s">
        <v>70</v>
      </c>
      <c r="N25" s="25">
        <v>2</v>
      </c>
      <c r="O25" s="25">
        <f>IFERROR(VLOOKUP(M25,Library!$K$4:$M$36,3,FALSE),"")</f>
        <v>-1</v>
      </c>
      <c r="P25" s="25">
        <f t="shared" si="4"/>
        <v>1.597108393224898E-6</v>
      </c>
      <c r="Q25" s="25">
        <f>IFERROR(IF(M25="N/A",0,VLOOKUP(M25,Library!$K$4:$N$36,2,FALSE)),"")</f>
        <v>35.453000000000003</v>
      </c>
      <c r="R25" s="25">
        <f t="shared" si="5"/>
        <v>1.597108393224898E-6</v>
      </c>
      <c r="S25" s="200">
        <f t="shared" si="6"/>
        <v>5.6622283865002313E-5</v>
      </c>
      <c r="T25" s="217">
        <f>VLOOKUP(A25,Library!$B$4:$G$69,3,FALSE)</f>
        <v>0</v>
      </c>
      <c r="U25" s="185">
        <f>VLOOKUP(A25,Library!$B$4:$G$69,4,FALSE)</f>
        <v>0</v>
      </c>
      <c r="V25" s="185">
        <f>VLOOKUP(A25,Library!$B$4:$G$69,5,FALSE)</f>
        <v>0</v>
      </c>
      <c r="W25" s="218">
        <f>VLOOKUP(A25,Library!$B$4:$G$69,6,FALSE)</f>
        <v>0</v>
      </c>
      <c r="X25" s="217">
        <f t="shared" si="11"/>
        <v>0</v>
      </c>
      <c r="Y25" s="185">
        <f t="shared" si="12"/>
        <v>0</v>
      </c>
      <c r="Z25" s="185">
        <f t="shared" si="13"/>
        <v>0</v>
      </c>
      <c r="AA25" s="218">
        <f t="shared" si="14"/>
        <v>0</v>
      </c>
      <c r="AB25" s="217">
        <f>X25*VLOOKUP($AB$7,Library!$T$4:$U$7,2,FALSE)</f>
        <v>0</v>
      </c>
      <c r="AC25" s="185">
        <f>Y25*VLOOKUP($AC$7,Library!$T$4:$U$7,2,FALSE)</f>
        <v>0</v>
      </c>
      <c r="AD25" s="185">
        <f>Z25*VLOOKUP($AD$7,Library!$T$4:$U$7,2,FALSE)</f>
        <v>0</v>
      </c>
      <c r="AE25" s="218">
        <f>AA25*VLOOKUP($AE$7,Library!$T$4:$U$7,2,FALSE)</f>
        <v>0</v>
      </c>
    </row>
    <row r="26" spans="1:31" ht="14.4" x14ac:dyDescent="0.3">
      <c r="A26" s="25" t="s">
        <v>179</v>
      </c>
      <c r="B26" s="25">
        <f>IFERROR(VLOOKUP(A26,Library!$B$4:$G$69,2,FALSE),"")</f>
        <v>170.48</v>
      </c>
      <c r="C26" s="26">
        <f>VLOOKUP(A26,'DSMZ 120 v1.5'!$L$4:$M$13,2,FALSE)*('DSMZ 120 v1.5'!$G$12/'DSMZ 120 v1.5'!$G$23)</f>
        <v>2E-3</v>
      </c>
      <c r="D26" s="41" t="s">
        <v>16</v>
      </c>
      <c r="E26" s="26">
        <f t="shared" si="0"/>
        <v>1.1731581417175035E-8</v>
      </c>
      <c r="F26" s="25" t="s">
        <v>81</v>
      </c>
      <c r="G26" s="28">
        <v>1</v>
      </c>
      <c r="H26" s="25">
        <f>VLOOKUP(F26,Library!$K$4:$N$36,3,FALSE)</f>
        <v>2</v>
      </c>
      <c r="I26" s="25">
        <f t="shared" si="1"/>
        <v>1.1731581417175035E-8</v>
      </c>
      <c r="J26" s="178">
        <f>IF(F26="N/A",0,VLOOKUP(F26,Library!$K$4:$M$36,2,FALSE))</f>
        <v>187.56</v>
      </c>
      <c r="K26" s="183">
        <f t="shared" si="2"/>
        <v>4.692632566870014E-8</v>
      </c>
      <c r="L26" s="28">
        <f t="shared" si="3"/>
        <v>2.2003754106053496E-6</v>
      </c>
      <c r="M26" s="25" t="s">
        <v>70</v>
      </c>
      <c r="N26" s="25">
        <v>2</v>
      </c>
      <c r="O26" s="25">
        <f>IFERROR(VLOOKUP(M26,Library!$K$4:$M$36,3,FALSE),"")</f>
        <v>-1</v>
      </c>
      <c r="P26" s="25">
        <f t="shared" si="4"/>
        <v>2.346316283435007E-8</v>
      </c>
      <c r="Q26" s="25">
        <f>IFERROR(IF(M26="N/A",0,VLOOKUP(M26,Library!$K$4:$N$36,2,FALSE)),"")</f>
        <v>35.453000000000003</v>
      </c>
      <c r="R26" s="25">
        <f t="shared" si="5"/>
        <v>2.346316283435007E-8</v>
      </c>
      <c r="S26" s="200">
        <f t="shared" si="6"/>
        <v>8.3183951196621312E-7</v>
      </c>
      <c r="T26" s="217">
        <f>VLOOKUP(A26,Library!$B$4:$G$69,3,FALSE)</f>
        <v>0</v>
      </c>
      <c r="U26" s="185">
        <f>VLOOKUP(A26,Library!$B$4:$G$69,4,FALSE)</f>
        <v>0</v>
      </c>
      <c r="V26" s="185">
        <f>VLOOKUP(A26,Library!$B$4:$G$69,5,FALSE)</f>
        <v>0</v>
      </c>
      <c r="W26" s="218">
        <f>VLOOKUP(A26,Library!$B$4:$G$69,6,FALSE)</f>
        <v>0</v>
      </c>
      <c r="X26" s="217">
        <f t="shared" si="11"/>
        <v>0</v>
      </c>
      <c r="Y26" s="185">
        <f t="shared" si="12"/>
        <v>0</v>
      </c>
      <c r="Z26" s="185">
        <f t="shared" si="13"/>
        <v>0</v>
      </c>
      <c r="AA26" s="218">
        <f t="shared" si="14"/>
        <v>0</v>
      </c>
      <c r="AB26" s="217">
        <f>X26*VLOOKUP($AB$7,Library!$T$4:$U$7,2,FALSE)</f>
        <v>0</v>
      </c>
      <c r="AC26" s="185">
        <f>Y26*VLOOKUP($AC$7,Library!$T$4:$U$7,2,FALSE)</f>
        <v>0</v>
      </c>
      <c r="AD26" s="185">
        <f>Z26*VLOOKUP($AD$7,Library!$T$4:$U$7,2,FALSE)</f>
        <v>0</v>
      </c>
      <c r="AE26" s="218">
        <f>AA26*VLOOKUP($AE$7,Library!$T$4:$U$7,2,FALSE)</f>
        <v>0</v>
      </c>
    </row>
    <row r="27" spans="1:31" ht="14.4" x14ac:dyDescent="0.3">
      <c r="A27" s="25" t="s">
        <v>43</v>
      </c>
      <c r="B27" s="25">
        <f>IFERROR(VLOOKUP(A27,Library!$B$4:$G$69,2,FALSE),"")</f>
        <v>237.69</v>
      </c>
      <c r="C27" s="26">
        <f>VLOOKUP(A27,'DSMZ 120 v1.5'!$L$4:$M$13,2,FALSE)*('DSMZ 120 v1.5'!$G$12/'DSMZ 120 v1.5'!$G$23)</f>
        <v>2.4E-2</v>
      </c>
      <c r="D27" s="41" t="s">
        <v>16</v>
      </c>
      <c r="E27" s="26">
        <f t="shared" si="0"/>
        <v>1.0097185409567084E-7</v>
      </c>
      <c r="F27" s="25" t="s">
        <v>72</v>
      </c>
      <c r="G27" s="28">
        <v>1</v>
      </c>
      <c r="H27" s="25">
        <f>VLOOKUP(F27,Library!$K$4:$N$36,3,FALSE)</f>
        <v>2</v>
      </c>
      <c r="I27" s="25">
        <f t="shared" si="1"/>
        <v>1.0097185409567084E-7</v>
      </c>
      <c r="J27" s="178">
        <f>IF(F27="N/A",0,VLOOKUP(F27,Library!$K$4:$M$36,2,FALSE))</f>
        <v>58.692999999999998</v>
      </c>
      <c r="K27" s="183">
        <f t="shared" si="2"/>
        <v>4.0388741638268334E-7</v>
      </c>
      <c r="L27" s="28">
        <f t="shared" si="3"/>
        <v>5.926341032437208E-6</v>
      </c>
      <c r="M27" s="25" t="s">
        <v>70</v>
      </c>
      <c r="N27" s="25">
        <v>2</v>
      </c>
      <c r="O27" s="25">
        <f>IFERROR(VLOOKUP(M27,Library!$K$4:$M$36,3,FALSE),"")</f>
        <v>-1</v>
      </c>
      <c r="P27" s="25">
        <f t="shared" si="4"/>
        <v>2.0194370819134167E-7</v>
      </c>
      <c r="Q27" s="25">
        <f>IFERROR(IF(M27="N/A",0,VLOOKUP(M27,Library!$K$4:$N$36,2,FALSE)),"")</f>
        <v>35.453000000000003</v>
      </c>
      <c r="R27" s="25">
        <f t="shared" si="5"/>
        <v>2.0194370819134167E-7</v>
      </c>
      <c r="S27" s="200">
        <f t="shared" si="6"/>
        <v>7.1595102865076371E-6</v>
      </c>
      <c r="T27" s="217">
        <f>VLOOKUP(A27,Library!$B$4:$G$69,3,FALSE)</f>
        <v>0</v>
      </c>
      <c r="U27" s="185">
        <f>VLOOKUP(A27,Library!$B$4:$G$69,4,FALSE)</f>
        <v>0</v>
      </c>
      <c r="V27" s="185">
        <f>VLOOKUP(A27,Library!$B$4:$G$69,5,FALSE)</f>
        <v>0</v>
      </c>
      <c r="W27" s="218">
        <f>VLOOKUP(A27,Library!$B$4:$G$69,6,FALSE)</f>
        <v>0</v>
      </c>
      <c r="X27" s="217">
        <f t="shared" si="11"/>
        <v>0</v>
      </c>
      <c r="Y27" s="185">
        <f t="shared" si="12"/>
        <v>0</v>
      </c>
      <c r="Z27" s="185">
        <f t="shared" si="13"/>
        <v>0</v>
      </c>
      <c r="AA27" s="218">
        <f t="shared" si="14"/>
        <v>0</v>
      </c>
      <c r="AB27" s="217">
        <f>X27*VLOOKUP($AB$7,Library!$T$4:$U$7,2,FALSE)</f>
        <v>0</v>
      </c>
      <c r="AC27" s="185">
        <f>Y27*VLOOKUP($AC$7,Library!$T$4:$U$7,2,FALSE)</f>
        <v>0</v>
      </c>
      <c r="AD27" s="185">
        <f>Z27*VLOOKUP($AD$7,Library!$T$4:$U$7,2,FALSE)</f>
        <v>0</v>
      </c>
      <c r="AE27" s="218">
        <f>AA27*VLOOKUP($AE$7,Library!$T$4:$U$7,2,FALSE)</f>
        <v>0</v>
      </c>
    </row>
    <row r="28" spans="1:31" ht="14.4" x14ac:dyDescent="0.3">
      <c r="A28" s="25" t="s">
        <v>50</v>
      </c>
      <c r="B28" s="25">
        <f>IFERROR(VLOOKUP(A28,Library!$B$4:$G$69,2,FALSE),"")</f>
        <v>241.95</v>
      </c>
      <c r="C28" s="26">
        <f>VLOOKUP(A28,'DSMZ 120 v1.5'!$L$4:$M$13,2,FALSE)*('DSMZ 120 v1.5'!$G$12/'DSMZ 120 v1.5'!$G$23)</f>
        <v>3.6000000000000004E-2</v>
      </c>
      <c r="D28" s="41" t="s">
        <v>16</v>
      </c>
      <c r="E28" s="26">
        <f t="shared" si="0"/>
        <v>1.4879107253564788E-7</v>
      </c>
      <c r="F28" s="25" t="s">
        <v>63</v>
      </c>
      <c r="G28" s="28">
        <v>2</v>
      </c>
      <c r="H28" s="25">
        <f>VLOOKUP(F28,Library!$K$4:$N$36,3,FALSE)</f>
        <v>1</v>
      </c>
      <c r="I28" s="25">
        <f t="shared" si="1"/>
        <v>2.9758214507129576E-7</v>
      </c>
      <c r="J28" s="178">
        <f>IF(F28="N/A",0,VLOOKUP(F28,Library!$K$4:$M$36,2,FALSE))</f>
        <v>28.989768999999999</v>
      </c>
      <c r="K28" s="183">
        <f t="shared" si="2"/>
        <v>2.9758214507129576E-7</v>
      </c>
      <c r="L28" s="28">
        <f t="shared" si="3"/>
        <v>8.6268376441413528E-6</v>
      </c>
      <c r="M28" s="25" t="s">
        <v>76</v>
      </c>
      <c r="N28" s="25">
        <v>1</v>
      </c>
      <c r="O28" s="25">
        <f>IFERROR(VLOOKUP(M28,Library!$K$4:$M$36,3,FALSE),"")</f>
        <v>-2</v>
      </c>
      <c r="P28" s="25">
        <f t="shared" si="4"/>
        <v>1.4879107253564788E-7</v>
      </c>
      <c r="Q28" s="25">
        <f>IFERROR(IF(M28="N/A",0,VLOOKUP(M28,Library!$K$4:$N$36,2,FALSE)),"")</f>
        <v>159.94999999999999</v>
      </c>
      <c r="R28" s="25">
        <f t="shared" si="5"/>
        <v>5.9516429014259153E-7</v>
      </c>
      <c r="S28" s="200">
        <f t="shared" si="6"/>
        <v>2.3799132052076878E-5</v>
      </c>
      <c r="T28" s="217">
        <f>VLOOKUP(A28,Library!$B$4:$G$69,3,FALSE)</f>
        <v>0</v>
      </c>
      <c r="U28" s="185">
        <f>VLOOKUP(A28,Library!$B$4:$G$69,4,FALSE)</f>
        <v>0</v>
      </c>
      <c r="V28" s="185">
        <f>VLOOKUP(A28,Library!$B$4:$G$69,5,FALSE)</f>
        <v>0</v>
      </c>
      <c r="W28" s="218">
        <f>VLOOKUP(A28,Library!$B$4:$G$69,6,FALSE)</f>
        <v>0</v>
      </c>
      <c r="X28" s="217">
        <f t="shared" si="11"/>
        <v>0</v>
      </c>
      <c r="Y28" s="185">
        <f t="shared" si="12"/>
        <v>0</v>
      </c>
      <c r="Z28" s="185">
        <f t="shared" si="13"/>
        <v>0</v>
      </c>
      <c r="AA28" s="218">
        <f t="shared" si="14"/>
        <v>0</v>
      </c>
      <c r="AB28" s="217">
        <f>X28*VLOOKUP($AB$7,Library!$T$4:$U$7,2,FALSE)</f>
        <v>0</v>
      </c>
      <c r="AC28" s="185">
        <f>Y28*VLOOKUP($AC$7,Library!$T$4:$U$7,2,FALSE)</f>
        <v>0</v>
      </c>
      <c r="AD28" s="185">
        <f>Z28*VLOOKUP($AD$7,Library!$T$4:$U$7,2,FALSE)</f>
        <v>0</v>
      </c>
      <c r="AE28" s="218">
        <f>AA28*VLOOKUP($AE$7,Library!$T$4:$U$7,2,FALSE)</f>
        <v>0</v>
      </c>
    </row>
    <row r="29" spans="1:31" ht="14.4" x14ac:dyDescent="0.3">
      <c r="A29" s="20" t="s">
        <v>346</v>
      </c>
      <c r="B29" s="253"/>
      <c r="C29" s="262"/>
      <c r="D29" s="262"/>
      <c r="E29" s="262"/>
      <c r="F29" s="253"/>
      <c r="G29" s="257"/>
      <c r="H29" s="253"/>
      <c r="I29" s="253"/>
      <c r="J29" s="263"/>
      <c r="K29" s="264"/>
      <c r="L29" s="257"/>
      <c r="M29" s="253"/>
      <c r="N29" s="253"/>
      <c r="O29" s="253"/>
      <c r="P29" s="253"/>
      <c r="Q29" s="253"/>
      <c r="R29" s="253"/>
      <c r="S29" s="265"/>
      <c r="T29" s="259"/>
      <c r="U29" s="260"/>
      <c r="V29" s="260"/>
      <c r="W29" s="261"/>
      <c r="X29" s="259"/>
      <c r="Y29" s="260"/>
      <c r="Z29" s="260"/>
      <c r="AA29" s="261"/>
      <c r="AB29" s="259"/>
      <c r="AC29" s="260"/>
      <c r="AD29" s="260"/>
      <c r="AE29" s="261"/>
    </row>
    <row r="30" spans="1:31" ht="14.4" x14ac:dyDescent="0.3">
      <c r="A30" s="70" t="s">
        <v>195</v>
      </c>
      <c r="B30" s="25">
        <f>IFERROR(VLOOKUP(A30,Library!$B$4:$G$69,2,FALSE),"")</f>
        <v>175.63</v>
      </c>
      <c r="C30" s="26">
        <f>VLOOKUP(A30,'DSMZ 120 v1.5'!$F$5:$G$22,2,FALSE)*1000/'DSMZ 120 v1.5'!$G$23</f>
        <v>0.3</v>
      </c>
      <c r="D30" s="26" t="s">
        <v>97</v>
      </c>
      <c r="E30" s="26">
        <f t="shared" si="0"/>
        <v>1.7081364231623299E-3</v>
      </c>
      <c r="F30" s="25" t="s">
        <v>339</v>
      </c>
      <c r="G30" s="28">
        <v>1</v>
      </c>
      <c r="H30" s="25">
        <f>VLOOKUP(F30,Library!$K$4:$N$36,3,FALSE)</f>
        <v>1</v>
      </c>
      <c r="I30" s="25">
        <f t="shared" si="1"/>
        <v>1.7081364231623299E-3</v>
      </c>
      <c r="J30" s="178">
        <f>IF(F30="N/A",0,VLOOKUP(F30,Library!$K$4:$M$36,2,FALSE))</f>
        <v>1.0078400000000001</v>
      </c>
      <c r="K30" s="183">
        <f t="shared" si="2"/>
        <v>1.7081364231623299E-3</v>
      </c>
      <c r="L30" s="28">
        <f t="shared" si="3"/>
        <v>1.7215282127199228E-3</v>
      </c>
      <c r="M30" s="25" t="s">
        <v>70</v>
      </c>
      <c r="N30" s="25">
        <v>1</v>
      </c>
      <c r="O30" s="25">
        <f>IFERROR(VLOOKUP(M30,Library!$K$4:$M$36,3,FALSE),"")</f>
        <v>-1</v>
      </c>
      <c r="P30" s="25">
        <f t="shared" si="4"/>
        <v>1.7081364231623299E-3</v>
      </c>
      <c r="Q30" s="25">
        <f>IFERROR(IF(M30="N/A",0,VLOOKUP(M30,Library!$K$4:$N$36,2,FALSE)),"")</f>
        <v>35.453000000000003</v>
      </c>
      <c r="R30" s="25">
        <f t="shared" si="5"/>
        <v>1.7081364231623299E-3</v>
      </c>
      <c r="S30" s="200">
        <f t="shared" si="6"/>
        <v>6.0558560610374089E-2</v>
      </c>
      <c r="T30" s="217">
        <f>VLOOKUP(A30,Library!$B$4:$G$69,3,FALSE)</f>
        <v>3</v>
      </c>
      <c r="U30" s="185">
        <f>VLOOKUP(A30,Library!$B$4:$G$69,4,FALSE)</f>
        <v>1</v>
      </c>
      <c r="V30" s="185">
        <f>VLOOKUP(A30,Library!$B$4:$G$69,5,FALSE)</f>
        <v>0</v>
      </c>
      <c r="W30" s="218">
        <f>VLOOKUP(A30,Library!$B$4:$G$69,6,FALSE)</f>
        <v>1</v>
      </c>
      <c r="X30" s="217">
        <f t="shared" si="11"/>
        <v>5.1244092694869899E-3</v>
      </c>
      <c r="Y30" s="185">
        <f t="shared" si="12"/>
        <v>1.7081364231623299E-3</v>
      </c>
      <c r="Z30" s="185">
        <f t="shared" si="13"/>
        <v>0</v>
      </c>
      <c r="AA30" s="218">
        <f t="shared" si="14"/>
        <v>1.7081364231623299E-3</v>
      </c>
      <c r="AB30" s="217">
        <f>X30*VLOOKUP($AB$7,Library!$T$4:$U$7,2,FALSE)</f>
        <v>6.1544155326538751E-2</v>
      </c>
      <c r="AC30" s="185">
        <f>Y30*VLOOKUP($AC$7,Library!$T$4:$U$7,2,FALSE)</f>
        <v>2.393099128850424E-2</v>
      </c>
      <c r="AD30" s="185">
        <f>Z30*VLOOKUP($AD$7,Library!$T$4:$U$7,2,FALSE)</f>
        <v>0</v>
      </c>
      <c r="AE30" s="218">
        <f>AA30*VLOOKUP($AE$7,Library!$T$4:$U$7,2,FALSE)</f>
        <v>5.4779935090815919E-2</v>
      </c>
    </row>
    <row r="31" spans="1:31" ht="14.4" x14ac:dyDescent="0.3">
      <c r="A31" s="70" t="s">
        <v>298</v>
      </c>
      <c r="B31" s="25">
        <f>IFERROR(VLOOKUP(A31,Library!$B$4:$G$69,2,FALSE),"")</f>
        <v>240.18</v>
      </c>
      <c r="C31" s="26">
        <f>VLOOKUP(A31,'DSMZ 120 v1.5'!$F$5:$G$22,2,FALSE)*1000/'DSMZ 120 v1.5'!$G$23</f>
        <v>0.3</v>
      </c>
      <c r="D31" s="26" t="s">
        <v>97</v>
      </c>
      <c r="E31" s="26">
        <f t="shared" si="0"/>
        <v>1.2490632025980513E-3</v>
      </c>
      <c r="F31" s="25" t="s">
        <v>63</v>
      </c>
      <c r="G31" s="28">
        <v>2</v>
      </c>
      <c r="H31" s="25">
        <f>VLOOKUP(F31,Library!$K$4:$N$36,3,FALSE)</f>
        <v>1</v>
      </c>
      <c r="I31" s="25">
        <f t="shared" si="1"/>
        <v>2.4981264051961026E-3</v>
      </c>
      <c r="J31" s="178">
        <f>IF(F31="N/A",0,VLOOKUP(F31,Library!$K$4:$M$36,2,FALSE))</f>
        <v>28.989768999999999</v>
      </c>
      <c r="K31" s="183">
        <f t="shared" si="2"/>
        <v>2.4981264051961026E-3</v>
      </c>
      <c r="L31" s="28">
        <f t="shared" si="3"/>
        <v>7.2420107419435414E-2</v>
      </c>
      <c r="M31" s="25" t="s">
        <v>84</v>
      </c>
      <c r="N31" s="25">
        <v>1</v>
      </c>
      <c r="O31" s="25">
        <f>IFERROR(VLOOKUP(M31,Library!$K$4:$M$36,3,FALSE),"")</f>
        <v>-2</v>
      </c>
      <c r="P31" s="25">
        <f t="shared" si="4"/>
        <v>1.2490632025980513E-3</v>
      </c>
      <c r="Q31" s="25">
        <f>IFERROR(IF(M31="N/A",0,VLOOKUP(M31,Library!$K$4:$N$36,2,FALSE)),"")</f>
        <v>32.064999999999998</v>
      </c>
      <c r="R31" s="25">
        <f t="shared" si="5"/>
        <v>4.9962528103922052E-3</v>
      </c>
      <c r="S31" s="200">
        <f t="shared" si="6"/>
        <v>4.0051211591306514E-2</v>
      </c>
      <c r="T31" s="217">
        <f>VLOOKUP(A31,Library!$B$4:$G$69,3,FALSE)</f>
        <v>0</v>
      </c>
      <c r="U31" s="185">
        <f>VLOOKUP(A31,Library!$B$4:$G$69,4,FALSE)</f>
        <v>0</v>
      </c>
      <c r="V31" s="185">
        <f>VLOOKUP(A31,Library!$B$4:$G$69,5,FALSE)</f>
        <v>0</v>
      </c>
      <c r="W31" s="218">
        <f>VLOOKUP(A31,Library!$B$4:$G$69,6,FALSE)</f>
        <v>1</v>
      </c>
      <c r="X31" s="217">
        <f t="shared" si="11"/>
        <v>0</v>
      </c>
      <c r="Y31" s="185">
        <f t="shared" si="12"/>
        <v>0</v>
      </c>
      <c r="Z31" s="185">
        <f t="shared" si="13"/>
        <v>0</v>
      </c>
      <c r="AA31" s="218">
        <f t="shared" si="14"/>
        <v>1.2490632025980513E-3</v>
      </c>
      <c r="AB31" s="217">
        <f>X31*VLOOKUP($AB$7,Library!$T$4:$U$7,2,FALSE)</f>
        <v>0</v>
      </c>
      <c r="AC31" s="185">
        <f>Y31*VLOOKUP($AC$7,Library!$T$4:$U$7,2,FALSE)</f>
        <v>0</v>
      </c>
      <c r="AD31" s="185">
        <f>Z31*VLOOKUP($AD$7,Library!$T$4:$U$7,2,FALSE)</f>
        <v>0</v>
      </c>
      <c r="AE31" s="218">
        <f>AA31*VLOOKUP($AE$7,Library!$T$4:$U$7,2,FALSE)</f>
        <v>4.0057456907319502E-2</v>
      </c>
    </row>
    <row r="32" spans="1:31" ht="14.4" x14ac:dyDescent="0.3">
      <c r="A32" s="20" t="s">
        <v>344</v>
      </c>
      <c r="B32" s="253"/>
      <c r="C32" s="262"/>
      <c r="D32" s="262"/>
      <c r="E32" s="262"/>
      <c r="F32" s="253"/>
      <c r="G32" s="257"/>
      <c r="H32" s="253"/>
      <c r="I32" s="253"/>
      <c r="J32" s="263"/>
      <c r="K32" s="264"/>
      <c r="L32" s="257"/>
      <c r="M32" s="253"/>
      <c r="N32" s="253"/>
      <c r="O32" s="253"/>
      <c r="P32" s="253"/>
      <c r="Q32" s="253"/>
      <c r="R32" s="253"/>
      <c r="S32" s="265"/>
      <c r="T32" s="259"/>
      <c r="U32" s="260"/>
      <c r="V32" s="260"/>
      <c r="W32" s="261"/>
      <c r="X32" s="259"/>
      <c r="Y32" s="260"/>
      <c r="Z32" s="260"/>
      <c r="AA32" s="261"/>
      <c r="AB32" s="259"/>
      <c r="AC32" s="260"/>
      <c r="AD32" s="260"/>
      <c r="AE32" s="261"/>
    </row>
    <row r="33" spans="1:31" ht="14.4" x14ac:dyDescent="0.3">
      <c r="A33" s="70" t="s">
        <v>345</v>
      </c>
      <c r="B33" s="25"/>
      <c r="C33" s="26">
        <f>VLOOKUP(A33,'DSMZ 120 v1.5'!$F$5:$G$22,2,FALSE)*1000/'DSMZ 120 v1.5'!$G$23</f>
        <v>2</v>
      </c>
      <c r="D33" s="26" t="s">
        <v>97</v>
      </c>
      <c r="E33" s="26"/>
      <c r="F33" s="25"/>
      <c r="G33" s="28"/>
      <c r="H33" s="25"/>
      <c r="I33" s="25"/>
      <c r="J33" s="178"/>
      <c r="K33" s="183"/>
      <c r="L33" s="28"/>
      <c r="M33" s="25"/>
      <c r="N33" s="25"/>
      <c r="O33" s="25"/>
      <c r="P33" s="25"/>
      <c r="Q33" s="25"/>
      <c r="R33" s="25"/>
      <c r="S33" s="200"/>
      <c r="T33" s="217"/>
      <c r="U33" s="185"/>
      <c r="V33" s="185"/>
      <c r="W33" s="218"/>
      <c r="X33" s="217"/>
      <c r="Y33" s="185"/>
      <c r="Z33" s="185"/>
      <c r="AA33" s="218"/>
      <c r="AB33" s="217"/>
      <c r="AC33" s="185"/>
      <c r="AD33" s="185"/>
      <c r="AE33" s="218"/>
    </row>
    <row r="34" spans="1:31" ht="14.4" x14ac:dyDescent="0.3">
      <c r="A34" s="70" t="s">
        <v>352</v>
      </c>
      <c r="B34" s="25"/>
      <c r="C34" s="26">
        <f>VLOOKUP(A34,'DSMZ 120 v1.5'!$F$5:$G$22,2,FALSE)*1000/'DSMZ 120 v1.5'!$G$23</f>
        <v>2</v>
      </c>
      <c r="D34" s="26" t="s">
        <v>97</v>
      </c>
      <c r="E34" s="26"/>
      <c r="F34" s="25"/>
      <c r="G34" s="28"/>
      <c r="H34" s="25"/>
      <c r="I34" s="25"/>
      <c r="J34" s="178"/>
      <c r="K34" s="183"/>
      <c r="L34" s="28"/>
      <c r="M34" s="25"/>
      <c r="N34" s="25"/>
      <c r="O34" s="25"/>
      <c r="P34" s="25"/>
      <c r="Q34" s="25"/>
      <c r="R34" s="25"/>
      <c r="S34" s="200"/>
      <c r="T34" s="217"/>
      <c r="U34" s="185"/>
      <c r="V34" s="185"/>
      <c r="W34" s="218"/>
      <c r="X34" s="217"/>
      <c r="Y34" s="185"/>
      <c r="Z34" s="185"/>
      <c r="AA34" s="218"/>
      <c r="AB34" s="217"/>
      <c r="AC34" s="185"/>
      <c r="AD34" s="185"/>
      <c r="AE34" s="218"/>
    </row>
    <row r="35" spans="1:31" ht="14.4" x14ac:dyDescent="0.3">
      <c r="A35" s="70" t="s">
        <v>295</v>
      </c>
      <c r="B35" s="25">
        <f>IFERROR(VLOOKUP(A35,Library!$B$4:$G$69,2,FALSE),"")</f>
        <v>82.03</v>
      </c>
      <c r="C35" s="26">
        <f>VLOOKUP(A35,'DSMZ 120 v1.5'!$F$5:$G$22,2,FALSE)*1000/'DSMZ 120 v1.5'!$G$23</f>
        <v>2.5</v>
      </c>
      <c r="D35" s="26" t="s">
        <v>97</v>
      </c>
      <c r="E35" s="26">
        <f t="shared" si="0"/>
        <v>3.0476654882360111E-2</v>
      </c>
      <c r="F35" s="25" t="s">
        <v>63</v>
      </c>
      <c r="G35" s="28">
        <v>1</v>
      </c>
      <c r="H35" s="25">
        <f>VLOOKUP(F35,Library!$K$4:$N$36,3,FALSE)</f>
        <v>1</v>
      </c>
      <c r="I35" s="25">
        <f t="shared" si="1"/>
        <v>3.0476654882360111E-2</v>
      </c>
      <c r="J35" s="178">
        <f>IF(F35="N/A",0,VLOOKUP(F35,Library!$K$4:$M$36,2,FALSE))</f>
        <v>28.989768999999999</v>
      </c>
      <c r="K35" s="183">
        <f t="shared" ref="K35:K37" si="15">I35*(H35^2)</f>
        <v>3.0476654882360111E-2</v>
      </c>
      <c r="L35" s="28">
        <f t="shared" ref="L35:L37" si="16">I35*J35</f>
        <v>0.88351118493234171</v>
      </c>
      <c r="M35" s="25" t="s">
        <v>77</v>
      </c>
      <c r="N35" s="25">
        <v>1</v>
      </c>
      <c r="O35" s="25">
        <f>IFERROR(VLOOKUP(M35,Library!$K$4:$M$36,3,FALSE),"")</f>
        <v>-1</v>
      </c>
      <c r="P35" s="25">
        <f t="shared" si="4"/>
        <v>3.0476654882360111E-2</v>
      </c>
      <c r="Q35" s="25">
        <f>IFERROR(IF(M35="N/A",0,VLOOKUP(M35,Library!$K$4:$N$36,2,FALSE)),"")</f>
        <v>59.043999999999997</v>
      </c>
      <c r="R35" s="25">
        <f t="shared" si="5"/>
        <v>3.0476654882360111E-2</v>
      </c>
      <c r="S35" s="200">
        <f t="shared" si="6"/>
        <v>1.7994636108740703</v>
      </c>
      <c r="T35" s="217">
        <f>VLOOKUP(A35,Library!$B$4:$G$69,3,FALSE)</f>
        <v>3</v>
      </c>
      <c r="U35" s="185">
        <f>VLOOKUP(A35,Library!$B$4:$G$69,4,FALSE)</f>
        <v>0</v>
      </c>
      <c r="V35" s="185">
        <f>VLOOKUP(A35,Library!$B$4:$G$69,5,FALSE)</f>
        <v>0</v>
      </c>
      <c r="W35" s="218">
        <f>VLOOKUP(A35,Library!$B$4:$G$69,6,FALSE)</f>
        <v>0</v>
      </c>
      <c r="X35" s="217">
        <f t="shared" si="11"/>
        <v>9.1429964647080336E-2</v>
      </c>
      <c r="Y35" s="185">
        <f t="shared" si="12"/>
        <v>0</v>
      </c>
      <c r="Z35" s="185">
        <f t="shared" si="13"/>
        <v>0</v>
      </c>
      <c r="AA35" s="218">
        <f t="shared" si="14"/>
        <v>0</v>
      </c>
      <c r="AB35" s="217">
        <f>X35*VLOOKUP($AB$7,Library!$T$4:$U$7,2,FALSE)</f>
        <v>1.0980738754114348</v>
      </c>
      <c r="AC35" s="185">
        <f>Y35*VLOOKUP($AC$7,Library!$T$4:$U$7,2,FALSE)</f>
        <v>0</v>
      </c>
      <c r="AD35" s="185">
        <f>Z35*VLOOKUP($AD$7,Library!$T$4:$U$7,2,FALSE)</f>
        <v>0</v>
      </c>
      <c r="AE35" s="218">
        <f>AA35*VLOOKUP($AE$7,Library!$T$4:$U$7,2,FALSE)</f>
        <v>0</v>
      </c>
    </row>
    <row r="36" spans="1:31" ht="14.4" x14ac:dyDescent="0.3">
      <c r="A36" s="70" t="s">
        <v>48</v>
      </c>
      <c r="B36" s="25"/>
      <c r="C36" s="26"/>
      <c r="D36" s="26"/>
      <c r="E36" s="26"/>
      <c r="F36" s="25"/>
      <c r="G36" s="28"/>
      <c r="H36" s="25"/>
      <c r="I36" s="25"/>
      <c r="J36" s="178"/>
      <c r="K36" s="183"/>
      <c r="L36" s="28"/>
      <c r="M36" s="25"/>
      <c r="N36" s="25"/>
      <c r="O36" s="25"/>
      <c r="P36" s="25"/>
      <c r="Q36" s="25"/>
      <c r="R36" s="25"/>
      <c r="S36" s="200"/>
      <c r="T36" s="217"/>
      <c r="U36" s="185"/>
      <c r="V36" s="185"/>
      <c r="W36" s="218"/>
      <c r="X36" s="217"/>
      <c r="Y36" s="185"/>
      <c r="Z36" s="185"/>
      <c r="AA36" s="218"/>
      <c r="AB36" s="217"/>
      <c r="AC36" s="185"/>
      <c r="AD36" s="185"/>
      <c r="AE36" s="218"/>
    </row>
    <row r="37" spans="1:31" ht="14.4" x14ac:dyDescent="0.3">
      <c r="A37" s="69" t="s">
        <v>52</v>
      </c>
      <c r="B37" s="25">
        <f>IFERROR(VLOOKUP(A37,Library!$B$4:$G$69,2,FALSE),"")</f>
        <v>84.01</v>
      </c>
      <c r="C37" s="26">
        <f>VLOOKUP(A37,'DSMZ 120 v1.5'!$F$5:$G$22,2,FALSE)*1000/'DSMZ 120 v1.5'!$G$23</f>
        <v>2</v>
      </c>
      <c r="D37" s="26" t="s">
        <v>97</v>
      </c>
      <c r="E37" s="26">
        <f t="shared" si="0"/>
        <v>2.3806689679800021E-2</v>
      </c>
      <c r="F37" s="25" t="s">
        <v>63</v>
      </c>
      <c r="G37" s="28">
        <v>1</v>
      </c>
      <c r="H37" s="25">
        <f>VLOOKUP(F37,Library!$K$4:$N$36,3,FALSE)</f>
        <v>1</v>
      </c>
      <c r="I37" s="25">
        <f t="shared" si="1"/>
        <v>2.3806689679800021E-2</v>
      </c>
      <c r="J37" s="178">
        <f>IF(F37="N/A",0,VLOOKUP(F37,Library!$K$4:$M$36,2,FALSE))</f>
        <v>28.989768999999999</v>
      </c>
      <c r="K37" s="183">
        <f t="shared" si="15"/>
        <v>2.3806689679800021E-2</v>
      </c>
      <c r="L37" s="28">
        <f t="shared" si="16"/>
        <v>0.69015043447208657</v>
      </c>
      <c r="M37" s="25" t="s">
        <v>67</v>
      </c>
      <c r="N37" s="25">
        <v>1</v>
      </c>
      <c r="O37" s="25">
        <f>IFERROR(VLOOKUP(M37,Library!$K$4:$M$36,3,FALSE),"")</f>
        <v>-1</v>
      </c>
      <c r="P37" s="25">
        <f t="shared" si="4"/>
        <v>2.3806689679800021E-2</v>
      </c>
      <c r="Q37" s="25">
        <f>IFERROR(IF(M37="N/A",0,VLOOKUP(M37,Library!$K$4:$N$36,2,FALSE)),"")</f>
        <v>61.016800000000003</v>
      </c>
      <c r="R37" s="25">
        <f t="shared" si="5"/>
        <v>2.3806689679800021E-2</v>
      </c>
      <c r="S37" s="200">
        <f t="shared" si="6"/>
        <v>1.452608022854422</v>
      </c>
      <c r="T37" s="217">
        <f>VLOOKUP(A37,Library!$B$4:$G$69,3,FALSE)</f>
        <v>1</v>
      </c>
      <c r="U37" s="185">
        <f>VLOOKUP(A37,Library!$B$4:$G$69,4,FALSE)</f>
        <v>0</v>
      </c>
      <c r="V37" s="185">
        <f>VLOOKUP(A37,Library!$B$4:$G$69,5,FALSE)</f>
        <v>0</v>
      </c>
      <c r="W37" s="218">
        <f>VLOOKUP(A37,Library!$B$4:$G$69,6,FALSE)</f>
        <v>0</v>
      </c>
      <c r="X37" s="217">
        <f t="shared" si="11"/>
        <v>2.3806689679800021E-2</v>
      </c>
      <c r="Y37" s="185">
        <f t="shared" si="12"/>
        <v>0</v>
      </c>
      <c r="Z37" s="185">
        <f t="shared" si="13"/>
        <v>0</v>
      </c>
      <c r="AA37" s="218">
        <f t="shared" si="14"/>
        <v>0</v>
      </c>
      <c r="AB37" s="217">
        <f>X37*VLOOKUP($AB$7,Library!$T$4:$U$7,2,FALSE)</f>
        <v>0.28591834305439823</v>
      </c>
      <c r="AC37" s="185">
        <f>Y37*VLOOKUP($AC$7,Library!$T$4:$U$7,2,FALSE)</f>
        <v>0</v>
      </c>
      <c r="AD37" s="185">
        <f>Z37*VLOOKUP($AD$7,Library!$T$4:$U$7,2,FALSE)</f>
        <v>0</v>
      </c>
      <c r="AE37" s="218">
        <f>AA37*VLOOKUP($AE$7,Library!$T$4:$U$7,2,FALSE)</f>
        <v>0</v>
      </c>
    </row>
    <row r="38" spans="1:31" ht="14.4" x14ac:dyDescent="0.3">
      <c r="A38" s="70" t="s">
        <v>347</v>
      </c>
      <c r="B38" s="25">
        <f>IFERROR(VLOOKUP(A38,Library!$B$4:$G$69,2,FALSE),"")</f>
        <v>32.04</v>
      </c>
      <c r="C38" s="26">
        <f>VLOOKUP(A38,'DSMZ 120 v1.5'!$F$5:$G$22,2,FALSE)*1000/'DSMZ 120 v1.5'!$G$23*0.7918</f>
        <v>7.9179999999999993</v>
      </c>
      <c r="D38" s="26" t="s">
        <v>97</v>
      </c>
      <c r="E38" s="26">
        <f t="shared" si="0"/>
        <v>0.24712858926342071</v>
      </c>
      <c r="F38" s="25"/>
      <c r="G38" s="28"/>
      <c r="H38" s="25"/>
      <c r="I38" s="25"/>
      <c r="J38" s="178"/>
      <c r="K38" s="183"/>
      <c r="L38" s="28"/>
      <c r="M38" s="25"/>
      <c r="N38" s="25"/>
      <c r="O38" s="25"/>
      <c r="P38" s="25"/>
      <c r="Q38" s="25"/>
      <c r="R38" s="25"/>
      <c r="S38" s="200"/>
      <c r="T38" s="217">
        <f>VLOOKUP(A38,Library!$B$4:$G$69,3,FALSE)</f>
        <v>1</v>
      </c>
      <c r="U38" s="185">
        <f>VLOOKUP(A38,Library!$B$4:$G$69,4,FALSE)</f>
        <v>0</v>
      </c>
      <c r="V38" s="185">
        <f>VLOOKUP(A38,Library!$B$4:$G$69,5,FALSE)</f>
        <v>0</v>
      </c>
      <c r="W38" s="218">
        <f>VLOOKUP(A38,Library!$B$4:$G$69,6,FALSE)</f>
        <v>0</v>
      </c>
      <c r="X38" s="217">
        <f t="shared" si="11"/>
        <v>0.24712858926342071</v>
      </c>
      <c r="Y38" s="185">
        <f t="shared" si="12"/>
        <v>0</v>
      </c>
      <c r="Z38" s="185">
        <f t="shared" si="13"/>
        <v>0</v>
      </c>
      <c r="AA38" s="218">
        <f t="shared" si="14"/>
        <v>0</v>
      </c>
      <c r="AB38" s="217">
        <f>X38*VLOOKUP($AB$7,Library!$T$4:$U$7,2,FALSE)</f>
        <v>2.9680143570536828</v>
      </c>
      <c r="AC38" s="185">
        <f>Y38*VLOOKUP($AC$7,Library!$T$4:$U$7,2,FALSE)</f>
        <v>0</v>
      </c>
      <c r="AD38" s="185">
        <f>Z38*VLOOKUP($AD$7,Library!$T$4:$U$7,2,FALSE)</f>
        <v>0</v>
      </c>
      <c r="AE38" s="218">
        <f>AA38*VLOOKUP($AE$7,Library!$T$4:$U$7,2,FALSE)</f>
        <v>0</v>
      </c>
    </row>
    <row r="39" spans="1:31" ht="14.4" x14ac:dyDescent="0.3">
      <c r="A39" s="20" t="s">
        <v>320</v>
      </c>
      <c r="B39" s="253"/>
      <c r="C39" s="262"/>
      <c r="D39" s="262"/>
      <c r="E39" s="262"/>
      <c r="F39" s="253"/>
      <c r="G39" s="257"/>
      <c r="H39" s="253"/>
      <c r="I39" s="253"/>
      <c r="J39" s="263"/>
      <c r="K39" s="264"/>
      <c r="L39" s="257"/>
      <c r="M39" s="253"/>
      <c r="N39" s="253"/>
      <c r="O39" s="253"/>
      <c r="P39" s="253"/>
      <c r="Q39" s="253"/>
      <c r="R39" s="253"/>
      <c r="S39" s="265"/>
      <c r="T39" s="259"/>
      <c r="U39" s="260"/>
      <c r="V39" s="260"/>
      <c r="W39" s="261"/>
      <c r="X39" s="259">
        <f t="shared" si="11"/>
        <v>0</v>
      </c>
      <c r="Y39" s="260">
        <f t="shared" si="12"/>
        <v>0</v>
      </c>
      <c r="Z39" s="260">
        <f t="shared" si="13"/>
        <v>0</v>
      </c>
      <c r="AA39" s="261">
        <f t="shared" si="14"/>
        <v>0</v>
      </c>
      <c r="AB39" s="259"/>
      <c r="AC39" s="260"/>
      <c r="AD39" s="260"/>
      <c r="AE39" s="261"/>
    </row>
    <row r="40" spans="1:31" ht="14.4" x14ac:dyDescent="0.3">
      <c r="A40" s="25" t="s">
        <v>15</v>
      </c>
      <c r="B40" s="25">
        <f>IFERROR(VLOOKUP(A40,Library!$B$4:$G$69,2,FALSE),"")</f>
        <v>244.31</v>
      </c>
      <c r="C40" s="26">
        <f>VLOOKUP(A40,'DSMZ 120 v1.5'!$I$5:$J$14,2,FALSE)*'DSMZ 120 v1.5'!$G$19/'DSMZ 120 v1.5'!$G$23</f>
        <v>0.02</v>
      </c>
      <c r="D40" s="26" t="s">
        <v>16</v>
      </c>
      <c r="E40" s="26">
        <f t="shared" si="0"/>
        <v>8.1863206581801814E-8</v>
      </c>
      <c r="F40" s="25"/>
      <c r="G40" s="28"/>
      <c r="H40" s="25"/>
      <c r="I40" s="25"/>
      <c r="J40" s="178"/>
      <c r="K40" s="183"/>
      <c r="L40" s="28"/>
      <c r="M40" s="25"/>
      <c r="N40" s="25"/>
      <c r="O40" s="25"/>
      <c r="P40" s="25"/>
      <c r="Q40" s="25"/>
      <c r="R40" s="25"/>
      <c r="S40" s="200"/>
      <c r="T40" s="217">
        <f>VLOOKUP(A40,Library!$B$4:$G$69,3,FALSE)</f>
        <v>10</v>
      </c>
      <c r="U40" s="185">
        <f>VLOOKUP(A40,Library!$B$4:$G$69,4,FALSE)</f>
        <v>2</v>
      </c>
      <c r="V40" s="185">
        <f>VLOOKUP(A40,Library!$B$4:$G$69,5,FALSE)</f>
        <v>0</v>
      </c>
      <c r="W40" s="218">
        <f>VLOOKUP(A40,Library!$B$4:$G$69,6,FALSE)</f>
        <v>1</v>
      </c>
      <c r="X40" s="217">
        <f t="shared" si="11"/>
        <v>8.1863206581801809E-7</v>
      </c>
      <c r="Y40" s="185">
        <f t="shared" si="12"/>
        <v>1.6372641316360363E-7</v>
      </c>
      <c r="Z40" s="185">
        <f t="shared" si="13"/>
        <v>0</v>
      </c>
      <c r="AA40" s="218">
        <f t="shared" si="14"/>
        <v>8.1863206581801814E-8</v>
      </c>
      <c r="AB40" s="217">
        <f>X40*VLOOKUP($AB$7,Library!$T$4:$U$7,2,FALSE)</f>
        <v>9.8317711104743978E-6</v>
      </c>
      <c r="AC40" s="185">
        <f>Y40*VLOOKUP($AC$7,Library!$T$4:$U$7,2,FALSE)</f>
        <v>2.2938070484220868E-6</v>
      </c>
      <c r="AD40" s="185">
        <f>Z40*VLOOKUP($AD$7,Library!$T$4:$U$7,2,FALSE)</f>
        <v>0</v>
      </c>
      <c r="AE40" s="218">
        <f>AA40*VLOOKUP($AE$7,Library!$T$4:$U$7,2,FALSE)</f>
        <v>2.6253530350783843E-6</v>
      </c>
    </row>
    <row r="41" spans="1:31" ht="14.4" x14ac:dyDescent="0.3">
      <c r="A41" s="25" t="s">
        <v>19</v>
      </c>
      <c r="B41" s="25">
        <f>IFERROR(VLOOKUP(A41,Library!$B$4:$G$69,2,FALSE),"")</f>
        <v>441.4</v>
      </c>
      <c r="C41" s="26">
        <f>VLOOKUP(A41,'DSMZ 120 v1.5'!$I$5:$J$14,2,FALSE)*'DSMZ 120 v1.5'!$G$19/'DSMZ 120 v1.5'!$G$23</f>
        <v>0.02</v>
      </c>
      <c r="D41" s="26" t="s">
        <v>16</v>
      </c>
      <c r="E41" s="26">
        <f t="shared" si="0"/>
        <v>4.5310376076121436E-8</v>
      </c>
      <c r="F41" s="25"/>
      <c r="G41" s="28"/>
      <c r="H41" s="25"/>
      <c r="I41" s="25"/>
      <c r="J41" s="178"/>
      <c r="K41" s="183"/>
      <c r="L41" s="28"/>
      <c r="M41" s="25"/>
      <c r="N41" s="25"/>
      <c r="O41" s="25"/>
      <c r="P41" s="25"/>
      <c r="Q41" s="25"/>
      <c r="R41" s="25"/>
      <c r="S41" s="200"/>
      <c r="T41" s="217">
        <f>VLOOKUP(A41,Library!$B$4:$G$69,3,FALSE)</f>
        <v>19</v>
      </c>
      <c r="U41" s="185">
        <f>VLOOKUP(A41,Library!$B$4:$G$69,4,FALSE)</f>
        <v>7</v>
      </c>
      <c r="V41" s="185">
        <f>VLOOKUP(A41,Library!$B$4:$G$69,5,FALSE)</f>
        <v>0</v>
      </c>
      <c r="W41" s="218">
        <f>VLOOKUP(A41,Library!$B$4:$G$69,6,FALSE)</f>
        <v>0</v>
      </c>
      <c r="X41" s="217">
        <f t="shared" si="11"/>
        <v>8.6089714544630728E-7</v>
      </c>
      <c r="Y41" s="185">
        <f t="shared" si="12"/>
        <v>3.1717263253285005E-7</v>
      </c>
      <c r="Z41" s="185">
        <f t="shared" si="13"/>
        <v>0</v>
      </c>
      <c r="AA41" s="218">
        <f t="shared" si="14"/>
        <v>0</v>
      </c>
      <c r="AB41" s="217">
        <f>X41*VLOOKUP($AB$7,Library!$T$4:$U$7,2,FALSE)</f>
        <v>1.033937471681015E-5</v>
      </c>
      <c r="AC41" s="185">
        <f>Y41*VLOOKUP($AC$7,Library!$T$4:$U$7,2,FALSE)</f>
        <v>4.4435885817852293E-6</v>
      </c>
      <c r="AD41" s="185">
        <f>Z41*VLOOKUP($AD$7,Library!$T$4:$U$7,2,FALSE)</f>
        <v>0</v>
      </c>
      <c r="AE41" s="218">
        <f>AA41*VLOOKUP($AE$7,Library!$T$4:$U$7,2,FALSE)</f>
        <v>0</v>
      </c>
    </row>
    <row r="42" spans="1:31" ht="14.4" x14ac:dyDescent="0.3">
      <c r="A42" s="25" t="s">
        <v>120</v>
      </c>
      <c r="B42" s="25">
        <f>IFERROR(VLOOKUP(A42,Library!$B$4:$G$69,2,FALSE),"")</f>
        <v>205.64</v>
      </c>
      <c r="C42" s="26">
        <f>VLOOKUP(A42,'DSMZ 120 v1.5'!$I$5:$J$14,2,FALSE)*'DSMZ 120 v1.5'!$G$19/'DSMZ 120 v1.5'!$G$23</f>
        <v>0.1</v>
      </c>
      <c r="D42" s="26" t="s">
        <v>16</v>
      </c>
      <c r="E42" s="26">
        <f t="shared" si="0"/>
        <v>4.8628671464695592E-7</v>
      </c>
      <c r="F42" s="25"/>
      <c r="G42" s="28"/>
      <c r="H42" s="25"/>
      <c r="I42" s="25"/>
      <c r="J42" s="178"/>
      <c r="K42" s="183"/>
      <c r="L42" s="28"/>
      <c r="M42" s="25"/>
      <c r="N42" s="25"/>
      <c r="O42" s="25"/>
      <c r="P42" s="25"/>
      <c r="Q42" s="25"/>
      <c r="R42" s="25"/>
      <c r="S42" s="200"/>
      <c r="T42" s="217">
        <f>VLOOKUP(A42,Library!$B$4:$G$69,3,FALSE)</f>
        <v>8</v>
      </c>
      <c r="U42" s="185">
        <f>VLOOKUP(A42,Library!$B$4:$G$69,4,FALSE)</f>
        <v>1</v>
      </c>
      <c r="V42" s="185">
        <f>VLOOKUP(A42,Library!$B$4:$G$69,5,FALSE)</f>
        <v>0</v>
      </c>
      <c r="W42" s="218">
        <f>VLOOKUP(A42,Library!$B$4:$G$69,6,FALSE)</f>
        <v>0</v>
      </c>
      <c r="X42" s="217">
        <f t="shared" si="11"/>
        <v>3.8902937171756473E-6</v>
      </c>
      <c r="Y42" s="185">
        <f t="shared" si="12"/>
        <v>4.8628671464695592E-7</v>
      </c>
      <c r="Z42" s="185">
        <f t="shared" si="13"/>
        <v>0</v>
      </c>
      <c r="AA42" s="218">
        <f t="shared" si="14"/>
        <v>0</v>
      </c>
      <c r="AB42" s="217">
        <f>X42*VLOOKUP($AB$7,Library!$T$4:$U$7,2,FALSE)</f>
        <v>4.6722427543279525E-5</v>
      </c>
      <c r="AC42" s="185">
        <f>Y42*VLOOKUP($AC$7,Library!$T$4:$U$7,2,FALSE)</f>
        <v>6.8128768722038524E-6</v>
      </c>
      <c r="AD42" s="185">
        <f>Z42*VLOOKUP($AD$7,Library!$T$4:$U$7,2,FALSE)</f>
        <v>0</v>
      </c>
      <c r="AE42" s="218">
        <f>AA42*VLOOKUP($AE$7,Library!$T$4:$U$7,2,FALSE)</f>
        <v>0</v>
      </c>
    </row>
    <row r="43" spans="1:31" ht="14.4" x14ac:dyDescent="0.3">
      <c r="A43" s="25" t="s">
        <v>121</v>
      </c>
      <c r="B43" s="25">
        <f>IFERROR(VLOOKUP(A43,Library!$B$4:$G$69,2,FALSE),"")</f>
        <v>337.27</v>
      </c>
      <c r="C43" s="26">
        <f>VLOOKUP(A43,'DSMZ 120 v1.5'!$I$5:$J$14,2,FALSE)*'DSMZ 120 v1.5'!$G$19/'DSMZ 120 v1.5'!$G$23</f>
        <v>0.05</v>
      </c>
      <c r="D43" s="26" t="s">
        <v>16</v>
      </c>
      <c r="E43" s="26">
        <f t="shared" si="0"/>
        <v>1.4824917721706646E-7</v>
      </c>
      <c r="F43" s="25"/>
      <c r="G43" s="28"/>
      <c r="H43" s="25"/>
      <c r="I43" s="25"/>
      <c r="J43" s="178"/>
      <c r="K43" s="27"/>
      <c r="L43" s="27"/>
      <c r="M43" s="25"/>
      <c r="N43" s="25"/>
      <c r="O43" s="25"/>
      <c r="P43" s="25"/>
      <c r="Q43" s="25"/>
      <c r="R43" s="25"/>
      <c r="S43" s="200"/>
      <c r="T43" s="217">
        <f>VLOOKUP(A43,Library!$B$4:$G$69,3,FALSE)</f>
        <v>12</v>
      </c>
      <c r="U43" s="185">
        <f>VLOOKUP(A43,Library!$B$4:$G$69,4,FALSE)</f>
        <v>2</v>
      </c>
      <c r="V43" s="185">
        <f>VLOOKUP(A43,Library!$B$4:$G$69,5,FALSE)</f>
        <v>0</v>
      </c>
      <c r="W43" s="218">
        <f>VLOOKUP(A43,Library!$B$4:$G$69,6,FALSE)</f>
        <v>1</v>
      </c>
      <c r="X43" s="217">
        <f t="shared" si="11"/>
        <v>1.7789901266047974E-6</v>
      </c>
      <c r="Y43" s="185">
        <f t="shared" si="12"/>
        <v>2.9649835443413292E-7</v>
      </c>
      <c r="Z43" s="185">
        <f t="shared" si="13"/>
        <v>0</v>
      </c>
      <c r="AA43" s="218">
        <f t="shared" si="14"/>
        <v>1.4824917721706646E-7</v>
      </c>
      <c r="AB43" s="217">
        <f>X43*VLOOKUP($AB$7,Library!$T$4:$U$7,2,FALSE)</f>
        <v>2.1365671420523617E-5</v>
      </c>
      <c r="AC43" s="185">
        <f>Y43*VLOOKUP($AC$7,Library!$T$4:$U$7,2,FALSE)</f>
        <v>4.1539419456222018E-6</v>
      </c>
      <c r="AD43" s="185">
        <f>Z43*VLOOKUP($AD$7,Library!$T$4:$U$7,2,FALSE)</f>
        <v>0</v>
      </c>
      <c r="AE43" s="218">
        <f>AA43*VLOOKUP($AE$7,Library!$T$4:$U$7,2,FALSE)</f>
        <v>4.7543511133513211E-6</v>
      </c>
    </row>
    <row r="44" spans="1:31" ht="14.4" x14ac:dyDescent="0.3">
      <c r="A44" s="25" t="s">
        <v>30</v>
      </c>
      <c r="B44" s="25">
        <f>IFERROR(VLOOKUP(A44,Library!$B$4:$G$69,2,FALSE),"")</f>
        <v>376.37</v>
      </c>
      <c r="C44" s="26">
        <f>VLOOKUP(A44,'DSMZ 120 v1.5'!$I$5:$J$14,2,FALSE)*'DSMZ 120 v1.5'!$G$19/'DSMZ 120 v1.5'!$G$23</f>
        <v>0.05</v>
      </c>
      <c r="D44" s="26" t="s">
        <v>16</v>
      </c>
      <c r="E44" s="26">
        <f t="shared" si="0"/>
        <v>1.3284799532375059E-7</v>
      </c>
      <c r="F44" s="25"/>
      <c r="G44" s="28"/>
      <c r="H44" s="25"/>
      <c r="I44" s="25"/>
      <c r="J44" s="178"/>
      <c r="K44" s="27"/>
      <c r="L44" s="27"/>
      <c r="M44" s="25"/>
      <c r="N44" s="25"/>
      <c r="O44" s="25"/>
      <c r="P44" s="25"/>
      <c r="Q44" s="25"/>
      <c r="R44" s="25"/>
      <c r="S44" s="200"/>
      <c r="T44" s="217">
        <f>VLOOKUP(A44,Library!$B$4:$G$69,3,FALSE)</f>
        <v>17</v>
      </c>
      <c r="U44" s="185">
        <f>VLOOKUP(A44,Library!$B$4:$G$69,4,FALSE)</f>
        <v>4</v>
      </c>
      <c r="V44" s="185">
        <f>VLOOKUP(A44,Library!$B$4:$G$69,5,FALSE)</f>
        <v>0</v>
      </c>
      <c r="W44" s="218">
        <f>VLOOKUP(A44,Library!$B$4:$G$69,6,FALSE)</f>
        <v>0</v>
      </c>
      <c r="X44" s="217">
        <f t="shared" si="11"/>
        <v>2.2584159205037601E-6</v>
      </c>
      <c r="Y44" s="185">
        <f t="shared" si="12"/>
        <v>5.3139198129500234E-7</v>
      </c>
      <c r="Z44" s="185">
        <f t="shared" si="13"/>
        <v>0</v>
      </c>
      <c r="AA44" s="218">
        <f t="shared" si="14"/>
        <v>0</v>
      </c>
      <c r="AB44" s="217">
        <f>X44*VLOOKUP($AB$7,Library!$T$4:$U$7,2,FALSE)</f>
        <v>2.7123575205250158E-5</v>
      </c>
      <c r="AC44" s="185">
        <f>Y44*VLOOKUP($AC$7,Library!$T$4:$U$7,2,FALSE)</f>
        <v>7.444801657942983E-6</v>
      </c>
      <c r="AD44" s="185">
        <f>Z44*VLOOKUP($AD$7,Library!$T$4:$U$7,2,FALSE)</f>
        <v>0</v>
      </c>
      <c r="AE44" s="218">
        <f>AA44*VLOOKUP($AE$7,Library!$T$4:$U$7,2,FALSE)</f>
        <v>0</v>
      </c>
    </row>
    <row r="45" spans="1:31" ht="14.4" x14ac:dyDescent="0.3">
      <c r="A45" s="25" t="s">
        <v>34</v>
      </c>
      <c r="B45" s="25">
        <f>IFERROR(VLOOKUP(A45,Library!$B$4:$G$69,2,FALSE),"")</f>
        <v>123.11</v>
      </c>
      <c r="C45" s="26">
        <f>VLOOKUP(A45,'DSMZ 120 v1.5'!$I$5:$J$14,2,FALSE)*'DSMZ 120 v1.5'!$G$19/'DSMZ 120 v1.5'!$G$23</f>
        <v>0.05</v>
      </c>
      <c r="D45" s="26" t="s">
        <v>16</v>
      </c>
      <c r="E45" s="26">
        <f t="shared" si="0"/>
        <v>4.0614084964665748E-7</v>
      </c>
      <c r="F45" s="25"/>
      <c r="G45" s="28"/>
      <c r="H45" s="25"/>
      <c r="I45" s="25"/>
      <c r="J45" s="178"/>
      <c r="K45" s="27"/>
      <c r="L45" s="27"/>
      <c r="M45" s="25"/>
      <c r="N45" s="25"/>
      <c r="O45" s="25"/>
      <c r="P45" s="25"/>
      <c r="Q45" s="25"/>
      <c r="R45" s="25"/>
      <c r="S45" s="200"/>
      <c r="T45" s="217">
        <f>VLOOKUP(A45,Library!$B$4:$G$69,3,FALSE)</f>
        <v>6</v>
      </c>
      <c r="U45" s="185">
        <f>VLOOKUP(A45,Library!$B$4:$G$69,4,FALSE)</f>
        <v>1</v>
      </c>
      <c r="V45" s="185">
        <f>VLOOKUP(A45,Library!$B$4:$G$69,5,FALSE)</f>
        <v>0</v>
      </c>
      <c r="W45" s="218">
        <f>VLOOKUP(A45,Library!$B$4:$G$69,6,FALSE)</f>
        <v>0</v>
      </c>
      <c r="X45" s="217">
        <f t="shared" si="11"/>
        <v>2.436845097879945E-6</v>
      </c>
      <c r="Y45" s="185">
        <f t="shared" si="12"/>
        <v>4.0614084964665748E-7</v>
      </c>
      <c r="Z45" s="185">
        <f t="shared" si="13"/>
        <v>0</v>
      </c>
      <c r="AA45" s="218">
        <f t="shared" si="14"/>
        <v>0</v>
      </c>
      <c r="AB45" s="217">
        <f>X45*VLOOKUP($AB$7,Library!$T$4:$U$7,2,FALSE)</f>
        <v>2.9266509625538138E-5</v>
      </c>
      <c r="AC45" s="185">
        <f>Y45*VLOOKUP($AC$7,Library!$T$4:$U$7,2,FALSE)</f>
        <v>5.690033303549671E-6</v>
      </c>
      <c r="AD45" s="185">
        <f>Z45*VLOOKUP($AD$7,Library!$T$4:$U$7,2,FALSE)</f>
        <v>0</v>
      </c>
      <c r="AE45" s="218">
        <f>AA45*VLOOKUP($AE$7,Library!$T$4:$U$7,2,FALSE)</f>
        <v>0</v>
      </c>
    </row>
    <row r="46" spans="1:31" ht="14.4" x14ac:dyDescent="0.3">
      <c r="A46" s="25" t="s">
        <v>122</v>
      </c>
      <c r="B46" s="25">
        <f>IFERROR(VLOOKUP(A46,Library!$B$4:$G$69,2,FALSE),"")</f>
        <v>476.53</v>
      </c>
      <c r="C46" s="26">
        <f>VLOOKUP(A46,'DSMZ 120 v1.5'!$I$5:$J$14,2,FALSE)*'DSMZ 120 v1.5'!$G$19/'DSMZ 120 v1.5'!$G$23</f>
        <v>0.05</v>
      </c>
      <c r="D46" s="26" t="s">
        <v>16</v>
      </c>
      <c r="E46" s="26">
        <f t="shared" si="0"/>
        <v>1.0492518834071308E-7</v>
      </c>
      <c r="F46" s="25"/>
      <c r="G46" s="28"/>
      <c r="H46" s="25"/>
      <c r="I46" s="25"/>
      <c r="J46" s="178"/>
      <c r="K46" s="27"/>
      <c r="L46" s="27"/>
      <c r="M46" s="25"/>
      <c r="N46" s="25"/>
      <c r="O46" s="25"/>
      <c r="P46" s="25"/>
      <c r="Q46" s="25"/>
      <c r="R46" s="25"/>
      <c r="S46" s="200"/>
      <c r="T46" s="217">
        <f>VLOOKUP(A46,Library!$B$4:$G$69,3,FALSE)</f>
        <v>9</v>
      </c>
      <c r="U46" s="185">
        <f>VLOOKUP(A46,Library!$B$4:$G$69,4,FALSE)</f>
        <v>1</v>
      </c>
      <c r="V46" s="185">
        <f>VLOOKUP(A46,Library!$B$4:$G$69,5,FALSE)</f>
        <v>0</v>
      </c>
      <c r="W46" s="218">
        <f>VLOOKUP(A46,Library!$B$4:$G$69,6,FALSE)</f>
        <v>0</v>
      </c>
      <c r="X46" s="217">
        <f t="shared" si="11"/>
        <v>9.4432669506641772E-7</v>
      </c>
      <c r="Y46" s="185">
        <f t="shared" si="12"/>
        <v>1.0492518834071308E-7</v>
      </c>
      <c r="Z46" s="185">
        <f t="shared" si="13"/>
        <v>0</v>
      </c>
      <c r="AA46" s="218">
        <f t="shared" si="14"/>
        <v>0</v>
      </c>
      <c r="AB46" s="217">
        <f>X46*VLOOKUP($AB$7,Library!$T$4:$U$7,2,FALSE)</f>
        <v>1.1341363607747676E-5</v>
      </c>
      <c r="AC46" s="185">
        <f>Y46*VLOOKUP($AC$7,Library!$T$4:$U$7,2,FALSE)</f>
        <v>1.4700018886533902E-6</v>
      </c>
      <c r="AD46" s="185">
        <f>Z46*VLOOKUP($AD$7,Library!$T$4:$U$7,2,FALSE)</f>
        <v>0</v>
      </c>
      <c r="AE46" s="218">
        <f>AA46*VLOOKUP($AE$7,Library!$T$4:$U$7,2,FALSE)</f>
        <v>0</v>
      </c>
    </row>
    <row r="47" spans="1:31" ht="14.4" x14ac:dyDescent="0.3">
      <c r="A47" s="25" t="s">
        <v>42</v>
      </c>
      <c r="B47" s="25">
        <f>IFERROR(VLOOKUP(A47,Library!$B$4:$G$69,2,FALSE),"")</f>
        <v>1355.37</v>
      </c>
      <c r="C47" s="26">
        <f>VLOOKUP(A47,'DSMZ 120 v1.5'!$I$5:$J$14,2,FALSE)*'DSMZ 120 v1.5'!$G$19/'DSMZ 120 v1.5'!$G$23</f>
        <v>1E-3</v>
      </c>
      <c r="D47" s="26" t="s">
        <v>16</v>
      </c>
      <c r="E47" s="26">
        <f t="shared" si="0"/>
        <v>7.37805912776585E-10</v>
      </c>
      <c r="F47" s="25"/>
      <c r="G47" s="28"/>
      <c r="H47" s="25"/>
      <c r="I47" s="25"/>
      <c r="J47" s="178"/>
      <c r="K47" s="27"/>
      <c r="L47" s="27"/>
      <c r="M47" s="25"/>
      <c r="N47" s="25"/>
      <c r="O47" s="25"/>
      <c r="P47" s="25"/>
      <c r="Q47" s="25"/>
      <c r="R47" s="25"/>
      <c r="S47" s="200"/>
      <c r="T47" s="217">
        <f>VLOOKUP(A47,Library!$B$4:$G$69,3,FALSE)</f>
        <v>70</v>
      </c>
      <c r="U47" s="185">
        <f>VLOOKUP(A47,Library!$B$4:$G$69,4,FALSE)</f>
        <v>14</v>
      </c>
      <c r="V47" s="185">
        <f>VLOOKUP(A47,Library!$B$4:$G$69,5,FALSE)</f>
        <v>0</v>
      </c>
      <c r="W47" s="218">
        <f>VLOOKUP(A47,Library!$B$4:$G$69,6,FALSE)</f>
        <v>1</v>
      </c>
      <c r="X47" s="217">
        <f t="shared" si="11"/>
        <v>5.1646413894360947E-8</v>
      </c>
      <c r="Y47" s="185">
        <f t="shared" si="12"/>
        <v>1.0329282778872189E-8</v>
      </c>
      <c r="Z47" s="185">
        <f t="shared" si="13"/>
        <v>0</v>
      </c>
      <c r="AA47" s="218">
        <f t="shared" si="14"/>
        <v>7.37805912776585E-10</v>
      </c>
      <c r="AB47" s="217">
        <f>X47*VLOOKUP($AB$7,Library!$T$4:$U$7,2,FALSE)</f>
        <v>6.2027343087127501E-7</v>
      </c>
      <c r="AC47" s="185">
        <f>Y47*VLOOKUP($AC$7,Library!$T$4:$U$7,2,FALSE)</f>
        <v>1.4471325173199938E-7</v>
      </c>
      <c r="AD47" s="185">
        <f>Z47*VLOOKUP($AD$7,Library!$T$4:$U$7,2,FALSE)</f>
        <v>0</v>
      </c>
      <c r="AE47" s="218">
        <f>AA47*VLOOKUP($AE$7,Library!$T$4:$U$7,2,FALSE)</f>
        <v>2.366143562274508E-8</v>
      </c>
    </row>
    <row r="48" spans="1:31" ht="14.4" x14ac:dyDescent="0.3">
      <c r="A48" s="25" t="s">
        <v>45</v>
      </c>
      <c r="B48" s="25">
        <f>IFERROR(VLOOKUP(A48,Library!$B$4:$G$69,2,FALSE),"")</f>
        <v>137.13999999999999</v>
      </c>
      <c r="C48" s="26">
        <f>VLOOKUP(A48,'DSMZ 120 v1.5'!$I$5:$J$14,2,FALSE)*'DSMZ 120 v1.5'!$G$19/'DSMZ 120 v1.5'!$G$23</f>
        <v>0.05</v>
      </c>
      <c r="D48" s="26" t="s">
        <v>16</v>
      </c>
      <c r="E48" s="26">
        <f t="shared" si="0"/>
        <v>3.6459092897768708E-7</v>
      </c>
      <c r="F48" s="25"/>
      <c r="G48" s="28"/>
      <c r="H48" s="25"/>
      <c r="I48" s="25"/>
      <c r="J48" s="178"/>
      <c r="K48" s="27"/>
      <c r="L48" s="27"/>
      <c r="M48" s="25"/>
      <c r="N48" s="25"/>
      <c r="O48" s="25"/>
      <c r="P48" s="25"/>
      <c r="Q48" s="25"/>
      <c r="R48" s="25"/>
      <c r="S48" s="200"/>
      <c r="T48" s="217">
        <f>VLOOKUP(A48,Library!$B$4:$G$69,3,FALSE)</f>
        <v>7</v>
      </c>
      <c r="U48" s="185">
        <f>VLOOKUP(A48,Library!$B$4:$G$69,4,FALSE)</f>
        <v>1</v>
      </c>
      <c r="V48" s="185">
        <f>VLOOKUP(A48,Library!$B$4:$G$69,5,FALSE)</f>
        <v>0</v>
      </c>
      <c r="W48" s="218">
        <f>VLOOKUP(A48,Library!$B$4:$G$69,6,FALSE)</f>
        <v>0</v>
      </c>
      <c r="X48" s="217">
        <f t="shared" si="11"/>
        <v>2.5521365028438097E-6</v>
      </c>
      <c r="Y48" s="185">
        <f t="shared" si="12"/>
        <v>3.6459092897768708E-7</v>
      </c>
      <c r="Z48" s="185">
        <f t="shared" si="13"/>
        <v>0</v>
      </c>
      <c r="AA48" s="218">
        <f t="shared" si="14"/>
        <v>0</v>
      </c>
      <c r="AB48" s="217">
        <f>X48*VLOOKUP($AB$7,Library!$T$4:$U$7,2,FALSE)</f>
        <v>3.0651159399154156E-5</v>
      </c>
      <c r="AC48" s="185">
        <f>Y48*VLOOKUP($AC$7,Library!$T$4:$U$7,2,FALSE)</f>
        <v>5.107918914977396E-6</v>
      </c>
      <c r="AD48" s="185">
        <f>Z48*VLOOKUP($AD$7,Library!$T$4:$U$7,2,FALSE)</f>
        <v>0</v>
      </c>
      <c r="AE48" s="218">
        <f>AA48*VLOOKUP($AE$7,Library!$T$4:$U$7,2,FALSE)</f>
        <v>0</v>
      </c>
    </row>
    <row r="49" spans="1:31" ht="14.4" x14ac:dyDescent="0.3">
      <c r="A49" s="25" t="s">
        <v>288</v>
      </c>
      <c r="B49" s="25">
        <f>IFERROR(VLOOKUP(A49,Library!$B$4:$G$69,2,FALSE),"")</f>
        <v>206.33</v>
      </c>
      <c r="C49" s="26">
        <f>VLOOKUP(A49,'DSMZ 120 v1.5'!$I$5:$J$14,2,FALSE)*'DSMZ 120 v1.5'!$G$19/'DSMZ 120 v1.5'!$G$23</f>
        <v>0.05</v>
      </c>
      <c r="D49" s="26" t="s">
        <v>16</v>
      </c>
      <c r="E49" s="26">
        <f t="shared" si="0"/>
        <v>2.4233024766151311E-7</v>
      </c>
      <c r="F49" s="25"/>
      <c r="G49" s="28"/>
      <c r="H49" s="25"/>
      <c r="I49" s="25"/>
      <c r="J49" s="178"/>
      <c r="K49" s="27"/>
      <c r="L49" s="27"/>
      <c r="M49" s="25"/>
      <c r="N49" s="25"/>
      <c r="O49" s="25"/>
      <c r="P49" s="25"/>
      <c r="Q49" s="25"/>
      <c r="R49" s="25"/>
      <c r="S49" s="200"/>
      <c r="T49" s="217">
        <f>VLOOKUP(A49,Library!$B$4:$G$69,3,FALSE)</f>
        <v>8</v>
      </c>
      <c r="U49" s="185">
        <f>VLOOKUP(A49,Library!$B$4:$G$69,4,FALSE)</f>
        <v>0</v>
      </c>
      <c r="V49" s="185">
        <f>VLOOKUP(A49,Library!$B$4:$G$69,5,FALSE)</f>
        <v>0</v>
      </c>
      <c r="W49" s="218">
        <f>VLOOKUP(A49,Library!$B$4:$G$69,6,FALSE)</f>
        <v>2</v>
      </c>
      <c r="X49" s="217">
        <f t="shared" si="11"/>
        <v>1.9386419812921049E-6</v>
      </c>
      <c r="Y49" s="185">
        <f t="shared" si="12"/>
        <v>0</v>
      </c>
      <c r="Z49" s="185">
        <f t="shared" si="13"/>
        <v>0</v>
      </c>
      <c r="AA49" s="218">
        <f t="shared" si="14"/>
        <v>4.8466049532302623E-7</v>
      </c>
      <c r="AB49" s="217">
        <f>X49*VLOOKUP($AB$7,Library!$T$4:$U$7,2,FALSE)</f>
        <v>2.3283090195318181E-5</v>
      </c>
      <c r="AC49" s="185">
        <f>Y49*VLOOKUP($AC$7,Library!$T$4:$U$7,2,FALSE)</f>
        <v>0</v>
      </c>
      <c r="AD49" s="185">
        <f>Z49*VLOOKUP($AD$7,Library!$T$4:$U$7,2,FALSE)</f>
        <v>0</v>
      </c>
      <c r="AE49" s="218">
        <f>AA49*VLOOKUP($AE$7,Library!$T$4:$U$7,2,FALSE)</f>
        <v>1.5543062085009453E-5</v>
      </c>
    </row>
    <row r="50" spans="1:31" ht="14.4" x14ac:dyDescent="0.3">
      <c r="A50" s="69"/>
      <c r="C50" s="6"/>
      <c r="D50" s="6"/>
      <c r="E50" s="6"/>
      <c r="Q50" s="6"/>
      <c r="AB50" s="1"/>
    </row>
    <row r="51" spans="1:31" ht="14.4" x14ac:dyDescent="0.3">
      <c r="A51" t="s">
        <v>126</v>
      </c>
      <c r="C51" s="6"/>
      <c r="D51" s="6"/>
      <c r="E51" s="6"/>
      <c r="Q51" s="6"/>
    </row>
    <row r="52" spans="1:31" ht="14.4" x14ac:dyDescent="0.3">
      <c r="A52" s="7" t="s">
        <v>278</v>
      </c>
      <c r="B52" s="97"/>
      <c r="E52" s="6"/>
      <c r="Q52" s="6"/>
    </row>
    <row r="53" spans="1:31" ht="14.4" x14ac:dyDescent="0.3">
      <c r="A53" s="71" t="s">
        <v>98</v>
      </c>
      <c r="B53" s="71" t="s">
        <v>322</v>
      </c>
      <c r="C53" s="71" t="s">
        <v>103</v>
      </c>
      <c r="D53" s="206" t="s">
        <v>321</v>
      </c>
    </row>
    <row r="54" spans="1:31" ht="14.4" x14ac:dyDescent="0.3">
      <c r="A54" s="70" t="s">
        <v>63</v>
      </c>
      <c r="B54" s="70">
        <f t="shared" ref="B54:B66" si="17">SUMIF($F$9:$F$49,A54,$L$9:$L$49)*1000</f>
        <v>2762.2262237847117</v>
      </c>
      <c r="C54" s="70">
        <f>SUMIF($F$10:$F$49,A54,$I$10:$I$49)</f>
        <v>9.5282795243546492E-2</v>
      </c>
      <c r="D54" s="207">
        <f>SUMIF($F$10:$F$49,A54,$K$10:$K$49)</f>
        <v>9.5282795243546492E-2</v>
      </c>
    </row>
    <row r="55" spans="1:31" ht="14.4" x14ac:dyDescent="0.3">
      <c r="A55" s="70" t="s">
        <v>64</v>
      </c>
      <c r="B55" s="70">
        <f t="shared" si="17"/>
        <v>49.304203180785464</v>
      </c>
      <c r="C55" s="70">
        <f t="shared" ref="C55:C66" si="18">SUMIF($F$10:$F$49,A55,$I$10:$I$49)</f>
        <v>2.0285621551444336E-3</v>
      </c>
      <c r="D55" s="207">
        <f t="shared" ref="D55:D66" si="19">SUMIF($F$10:$F$49,A55,$K$10:$K$49)</f>
        <v>8.1142486205777343E-3</v>
      </c>
    </row>
    <row r="56" spans="1:31" ht="14.4" x14ac:dyDescent="0.3">
      <c r="A56" s="70" t="s">
        <v>65</v>
      </c>
      <c r="B56" s="70">
        <f t="shared" si="17"/>
        <v>68.155227535541798</v>
      </c>
      <c r="C56" s="70">
        <f t="shared" si="18"/>
        <v>1.7005645874430312E-3</v>
      </c>
      <c r="D56" s="207">
        <f t="shared" si="19"/>
        <v>6.8022583497721247E-3</v>
      </c>
    </row>
    <row r="57" spans="1:31" ht="14.4" x14ac:dyDescent="0.3">
      <c r="A57" s="70" t="s">
        <v>66</v>
      </c>
      <c r="B57" s="70">
        <f t="shared" si="17"/>
        <v>203.78712914151316</v>
      </c>
      <c r="C57" s="70">
        <f t="shared" si="18"/>
        <v>5.2127736147806851E-3</v>
      </c>
      <c r="D57" s="207">
        <f t="shared" si="19"/>
        <v>5.2127736147806851E-3</v>
      </c>
    </row>
    <row r="58" spans="1:31" ht="14.4" x14ac:dyDescent="0.3">
      <c r="A58" s="70" t="s">
        <v>71</v>
      </c>
      <c r="B58" s="70">
        <f t="shared" si="17"/>
        <v>0</v>
      </c>
      <c r="C58" s="70">
        <f t="shared" si="18"/>
        <v>0</v>
      </c>
      <c r="D58" s="207">
        <f t="shared" si="19"/>
        <v>0</v>
      </c>
    </row>
    <row r="59" spans="1:31" ht="14.4" x14ac:dyDescent="0.3">
      <c r="A59" s="70" t="s">
        <v>72</v>
      </c>
      <c r="B59" s="70">
        <f t="shared" si="17"/>
        <v>5.9263410324372082E-3</v>
      </c>
      <c r="C59" s="70">
        <f t="shared" si="18"/>
        <v>1.0097185409567084E-7</v>
      </c>
      <c r="D59" s="207">
        <f t="shared" si="19"/>
        <v>4.0388741638268334E-7</v>
      </c>
    </row>
    <row r="60" spans="1:31" ht="14.4" x14ac:dyDescent="0.3">
      <c r="A60" s="70" t="s">
        <v>73</v>
      </c>
      <c r="B60" s="70">
        <f t="shared" si="17"/>
        <v>3.3860315356959429E-2</v>
      </c>
      <c r="C60" s="70">
        <f t="shared" si="18"/>
        <v>5.1361068310220855E-7</v>
      </c>
      <c r="D60" s="207">
        <f t="shared" si="19"/>
        <v>2.0544427324088342E-6</v>
      </c>
    </row>
    <row r="61" spans="1:31" ht="14.4" x14ac:dyDescent="0.3">
      <c r="A61" s="70" t="s">
        <v>74</v>
      </c>
      <c r="B61" s="70">
        <f t="shared" si="17"/>
        <v>2.7760092971552727E-2</v>
      </c>
      <c r="C61" s="70">
        <f t="shared" si="18"/>
        <v>5.0528017785862262E-7</v>
      </c>
      <c r="D61" s="207">
        <f t="shared" si="19"/>
        <v>2.0211207114344905E-6</v>
      </c>
    </row>
    <row r="62" spans="1:31" ht="14.4" x14ac:dyDescent="0.3">
      <c r="A62" s="70" t="s">
        <v>75</v>
      </c>
      <c r="B62" s="70">
        <f t="shared" si="17"/>
        <v>4.7061346194258814E-2</v>
      </c>
      <c r="C62" s="70">
        <f t="shared" si="18"/>
        <v>7.9855419661244901E-7</v>
      </c>
      <c r="D62" s="207">
        <f t="shared" si="19"/>
        <v>3.1942167864497961E-6</v>
      </c>
    </row>
    <row r="63" spans="1:31" ht="14.4" x14ac:dyDescent="0.3">
      <c r="A63" s="70" t="s">
        <v>78</v>
      </c>
      <c r="B63" s="70">
        <f t="shared" si="17"/>
        <v>168.62965040194428</v>
      </c>
      <c r="C63" s="70">
        <f t="shared" si="18"/>
        <v>9.3475415965601043E-3</v>
      </c>
      <c r="D63" s="207">
        <f t="shared" si="19"/>
        <v>9.3475415965601043E-3</v>
      </c>
    </row>
    <row r="64" spans="1:31" ht="14.4" x14ac:dyDescent="0.3">
      <c r="A64" s="70" t="s">
        <v>80</v>
      </c>
      <c r="B64" s="70">
        <f t="shared" si="17"/>
        <v>0.70645135396297809</v>
      </c>
      <c r="C64" s="70">
        <f t="shared" si="18"/>
        <v>1.2650216742107225E-5</v>
      </c>
      <c r="D64" s="207">
        <f t="shared" si="19"/>
        <v>5.0600866968428902E-5</v>
      </c>
    </row>
    <row r="65" spans="1:7" ht="14.4" x14ac:dyDescent="0.3">
      <c r="A65" s="70" t="s">
        <v>114</v>
      </c>
      <c r="B65" s="70">
        <f t="shared" si="17"/>
        <v>0</v>
      </c>
      <c r="C65" s="70">
        <f t="shared" si="18"/>
        <v>0</v>
      </c>
      <c r="D65" s="207">
        <f t="shared" si="19"/>
        <v>0</v>
      </c>
    </row>
    <row r="66" spans="1:7" ht="14.4" x14ac:dyDescent="0.3">
      <c r="A66" s="70" t="s">
        <v>81</v>
      </c>
      <c r="B66" s="70">
        <f t="shared" si="17"/>
        <v>2.2003754106053497E-3</v>
      </c>
      <c r="C66" s="70">
        <f t="shared" si="18"/>
        <v>1.1731581417175035E-8</v>
      </c>
      <c r="D66" s="207">
        <f t="shared" si="19"/>
        <v>4.692632566870014E-8</v>
      </c>
    </row>
    <row r="67" spans="1:7" ht="14.4" x14ac:dyDescent="0.3">
      <c r="A67" s="71" t="s">
        <v>99</v>
      </c>
      <c r="B67" s="71" t="s">
        <v>322</v>
      </c>
      <c r="C67" s="71" t="s">
        <v>103</v>
      </c>
      <c r="D67" s="206" t="s">
        <v>321</v>
      </c>
    </row>
    <row r="68" spans="1:7" ht="14.4" x14ac:dyDescent="0.3">
      <c r="A68" s="70" t="s">
        <v>70</v>
      </c>
      <c r="B68" s="70">
        <f t="shared" ref="B68:B81" si="20">SUMIF($M$9:$M$49,A68,$S$9:$S$49)*1000</f>
        <v>1881.0544451222488</v>
      </c>
      <c r="C68" s="70">
        <f>SUMIF($M$10:$M$42,A68,$P$10:$P$49)</f>
        <v>5.3057694556800525E-2</v>
      </c>
      <c r="D68" s="207">
        <f>SUMIF($M$10:$M$49,A68,$R$10:$R$49)</f>
        <v>5.3057694556800525E-2</v>
      </c>
    </row>
    <row r="69" spans="1:7" ht="14.4" x14ac:dyDescent="0.3">
      <c r="A69" s="70" t="s">
        <v>69</v>
      </c>
      <c r="B69" s="70">
        <f t="shared" si="20"/>
        <v>195.35409810752253</v>
      </c>
      <c r="C69" s="70">
        <f t="shared" ref="C69:C81" si="21">SUMIF($M$10:$M$42,A69,$P$10:$P$49)</f>
        <v>2.133479889296676E-3</v>
      </c>
      <c r="D69" s="207">
        <f t="shared" ref="D69:D81" si="22">SUMIF($M$10:$M$49,A69,$R$10:$R$49)</f>
        <v>8.5339195571867039E-3</v>
      </c>
    </row>
    <row r="70" spans="1:7" ht="14.4" x14ac:dyDescent="0.3">
      <c r="A70" s="70" t="s">
        <v>67</v>
      </c>
      <c r="B70" s="70">
        <f t="shared" si="20"/>
        <v>1452.608022854422</v>
      </c>
      <c r="C70" s="70">
        <f t="shared" si="21"/>
        <v>2.3806689679800021E-2</v>
      </c>
      <c r="D70" s="207">
        <f t="shared" si="22"/>
        <v>2.3806689679800021E-2</v>
      </c>
    </row>
    <row r="71" spans="1:7" ht="14.4" x14ac:dyDescent="0.3">
      <c r="A71" s="70" t="s">
        <v>68</v>
      </c>
      <c r="B71" s="70">
        <f t="shared" si="20"/>
        <v>0</v>
      </c>
      <c r="C71" s="70">
        <f t="shared" si="21"/>
        <v>0</v>
      </c>
      <c r="D71" s="207">
        <f t="shared" si="22"/>
        <v>0</v>
      </c>
    </row>
    <row r="72" spans="1:7" ht="14.4" x14ac:dyDescent="0.3">
      <c r="A72" s="70" t="s">
        <v>79</v>
      </c>
      <c r="B72" s="70">
        <f t="shared" si="20"/>
        <v>0</v>
      </c>
      <c r="C72" s="70">
        <f t="shared" si="21"/>
        <v>0</v>
      </c>
      <c r="D72" s="207">
        <f t="shared" si="22"/>
        <v>0</v>
      </c>
    </row>
    <row r="73" spans="1:7" ht="14.4" x14ac:dyDescent="0.3">
      <c r="A73" s="70" t="s">
        <v>82</v>
      </c>
      <c r="B73" s="70">
        <f t="shared" si="20"/>
        <v>369.65178237392814</v>
      </c>
      <c r="C73" s="70">
        <f t="shared" si="21"/>
        <v>3.8923005409490169E-3</v>
      </c>
      <c r="D73" s="207">
        <f t="shared" si="22"/>
        <v>3.5030704868541158E-2</v>
      </c>
      <c r="G73" s="7"/>
    </row>
    <row r="74" spans="1:7" ht="14.4" x14ac:dyDescent="0.3">
      <c r="A74" s="70" t="s">
        <v>113</v>
      </c>
      <c r="B74" s="70">
        <f t="shared" si="20"/>
        <v>5.7069383794274625E-3</v>
      </c>
      <c r="C74" s="70">
        <f t="shared" si="21"/>
        <v>9.7040271712760799E-8</v>
      </c>
      <c r="D74" s="207">
        <f t="shared" si="22"/>
        <v>8.7336244541484721E-7</v>
      </c>
    </row>
    <row r="75" spans="1:7" ht="14.4" x14ac:dyDescent="0.3">
      <c r="A75" s="70" t="s">
        <v>112</v>
      </c>
      <c r="B75" s="70">
        <f t="shared" si="20"/>
        <v>0</v>
      </c>
      <c r="C75" s="70">
        <f t="shared" si="21"/>
        <v>0</v>
      </c>
      <c r="D75" s="207">
        <f t="shared" si="22"/>
        <v>0</v>
      </c>
    </row>
    <row r="76" spans="1:7" ht="14.4" x14ac:dyDescent="0.3">
      <c r="A76" s="70" t="s">
        <v>76</v>
      </c>
      <c r="B76" s="70">
        <f t="shared" si="20"/>
        <v>2.3799132052076878E-2</v>
      </c>
      <c r="C76" s="70">
        <f t="shared" si="21"/>
        <v>1.4879107253564788E-7</v>
      </c>
      <c r="D76" s="207">
        <f t="shared" si="22"/>
        <v>5.9516429014259153E-7</v>
      </c>
    </row>
    <row r="77" spans="1:7" ht="14.4" x14ac:dyDescent="0.3">
      <c r="A77" s="70" t="s">
        <v>79</v>
      </c>
      <c r="B77" s="70">
        <f t="shared" si="20"/>
        <v>0</v>
      </c>
      <c r="C77" s="70">
        <f t="shared" si="21"/>
        <v>0</v>
      </c>
      <c r="D77" s="207">
        <f t="shared" si="22"/>
        <v>0</v>
      </c>
    </row>
    <row r="78" spans="1:7" ht="14.4" x14ac:dyDescent="0.3">
      <c r="A78" s="70" t="s">
        <v>115</v>
      </c>
      <c r="B78" s="70">
        <f t="shared" si="20"/>
        <v>0</v>
      </c>
      <c r="C78" s="70">
        <f t="shared" si="21"/>
        <v>0</v>
      </c>
      <c r="D78" s="207">
        <f t="shared" si="22"/>
        <v>0</v>
      </c>
    </row>
    <row r="79" spans="1:7" ht="14.4" x14ac:dyDescent="0.3">
      <c r="A79" s="70" t="s">
        <v>84</v>
      </c>
      <c r="B79" s="70">
        <f t="shared" si="20"/>
        <v>40.051211591306512</v>
      </c>
      <c r="C79" s="70">
        <f t="shared" si="21"/>
        <v>1.2490632025980513E-3</v>
      </c>
      <c r="D79" s="207">
        <f t="shared" si="22"/>
        <v>4.9962528103922052E-3</v>
      </c>
    </row>
    <row r="80" spans="1:7" ht="14.4" x14ac:dyDescent="0.3">
      <c r="A80" s="70" t="s">
        <v>119</v>
      </c>
      <c r="B80" s="70">
        <f t="shared" si="20"/>
        <v>0</v>
      </c>
      <c r="C80" s="70">
        <f t="shared" si="21"/>
        <v>0</v>
      </c>
      <c r="D80" s="207">
        <f t="shared" si="22"/>
        <v>0</v>
      </c>
    </row>
    <row r="81" spans="1:4" ht="14.4" x14ac:dyDescent="0.3">
      <c r="A81" s="70" t="s">
        <v>299</v>
      </c>
      <c r="B81" s="70">
        <f t="shared" si="20"/>
        <v>0</v>
      </c>
      <c r="C81" s="70">
        <f t="shared" si="21"/>
        <v>0</v>
      </c>
      <c r="D81" s="207">
        <f t="shared" si="22"/>
        <v>0</v>
      </c>
    </row>
    <row r="82" spans="1:4" ht="14.4" x14ac:dyDescent="0.3">
      <c r="A82" s="71" t="s">
        <v>356</v>
      </c>
      <c r="B82" s="70" t="s">
        <v>322</v>
      </c>
      <c r="C82" s="70"/>
    </row>
    <row r="83" spans="1:4" ht="14.4" x14ac:dyDescent="0.3">
      <c r="A83" t="s">
        <v>116</v>
      </c>
      <c r="B83" s="70">
        <f>B78*78.96/126.96</f>
        <v>0</v>
      </c>
      <c r="C83" s="70"/>
    </row>
    <row r="84" spans="1:4" ht="14.4" x14ac:dyDescent="0.3">
      <c r="A84" t="s">
        <v>87</v>
      </c>
      <c r="B84" s="70">
        <f>B76*95.95/159.95</f>
        <v>1.4276503409795416E-2</v>
      </c>
      <c r="C84" s="70"/>
    </row>
    <row r="85" spans="1:4" ht="14.4" x14ac:dyDescent="0.3">
      <c r="A85" t="s">
        <v>88</v>
      </c>
      <c r="B85" s="70">
        <f>B74*10.911/58.81</f>
        <v>1.0588064046579331E-3</v>
      </c>
      <c r="C85" s="70"/>
    </row>
    <row r="86" spans="1:4" ht="14.4" x14ac:dyDescent="0.3">
      <c r="A86" t="s">
        <v>393</v>
      </c>
      <c r="B86" s="70">
        <f>C30*Library!C14/Library!C15*1000</f>
        <v>206.95780903034787</v>
      </c>
      <c r="C86" s="70"/>
    </row>
    <row r="87" spans="1:4" ht="14.4" x14ac:dyDescent="0.3">
      <c r="A87" t="str">
        <f>A33</f>
        <v>Yeast Extract</v>
      </c>
      <c r="B87" s="70">
        <f>VLOOKUP(A87,$A$33:$D$38,3,FALSE)*1000</f>
        <v>2000</v>
      </c>
      <c r="C87" s="70"/>
    </row>
    <row r="88" spans="1:4" ht="14.4" x14ac:dyDescent="0.3">
      <c r="A88" t="str">
        <f>A34</f>
        <v>Casitone</v>
      </c>
      <c r="B88" s="70">
        <f t="shared" ref="B88:B90" si="23">VLOOKUP(A88,$A$33:$D$38,3,FALSE)*1000</f>
        <v>2000</v>
      </c>
      <c r="C88" s="70"/>
    </row>
    <row r="89" spans="1:4" ht="14.4" x14ac:dyDescent="0.3">
      <c r="A89" t="str">
        <f>A38</f>
        <v>Methanol</v>
      </c>
      <c r="B89" s="70">
        <f t="shared" si="23"/>
        <v>7917.9999999999991</v>
      </c>
      <c r="C89" s="70"/>
    </row>
    <row r="90" spans="1:4" ht="14.4" x14ac:dyDescent="0.3">
      <c r="A90" t="s">
        <v>295</v>
      </c>
      <c r="B90" s="70">
        <f t="shared" si="23"/>
        <v>2500</v>
      </c>
      <c r="C90" s="70"/>
    </row>
    <row r="91" spans="1:4" ht="14.4" x14ac:dyDescent="0.3">
      <c r="A91" s="71" t="s">
        <v>315</v>
      </c>
      <c r="B91" s="71" t="s">
        <v>322</v>
      </c>
      <c r="C91" s="71" t="s">
        <v>61</v>
      </c>
    </row>
    <row r="92" spans="1:4" ht="14.4" x14ac:dyDescent="0.3">
      <c r="A92" s="70" t="s">
        <v>44</v>
      </c>
      <c r="B92" s="70">
        <f>SUM(AD10:AD49)*1000</f>
        <v>120.54454775319105</v>
      </c>
      <c r="C92" s="70">
        <f>SUM(Z10:Z49)</f>
        <v>3.8923005409490169E-3</v>
      </c>
    </row>
    <row r="93" spans="1:4" ht="14.4" x14ac:dyDescent="0.3">
      <c r="A93" s="70" t="s">
        <v>47</v>
      </c>
      <c r="B93" s="70">
        <f>SUM(AC10:AC49)*1000</f>
        <v>154.92761073977618</v>
      </c>
      <c r="C93" s="70">
        <f>SUM(Y10:Y49)</f>
        <v>1.1058359082068248E-2</v>
      </c>
    </row>
    <row r="94" spans="1:4" ht="15" customHeight="1" x14ac:dyDescent="0.3">
      <c r="A94" s="70" t="s">
        <v>196</v>
      </c>
      <c r="B94" s="70">
        <f>SUM(AE10:AE49)*1000</f>
        <v>163.28103847554888</v>
      </c>
      <c r="C94" s="70">
        <f>SUM(AA10:AA49)</f>
        <v>5.091395025742091E-3</v>
      </c>
    </row>
    <row r="95" spans="1:4" ht="15" customHeight="1" x14ac:dyDescent="0.3">
      <c r="A95" s="70" t="s">
        <v>51</v>
      </c>
      <c r="B95" s="70">
        <f>SUM(AB10:AB49)*1000</f>
        <v>4413.7612760623078</v>
      </c>
      <c r="C95" s="70">
        <f>SUM(X10:X49)</f>
        <v>0.36750718368545454</v>
      </c>
    </row>
    <row r="96" spans="1:4" ht="15" customHeight="1" x14ac:dyDescent="0.3">
      <c r="A96" s="209" t="s">
        <v>320</v>
      </c>
      <c r="B96" s="209" t="s">
        <v>325</v>
      </c>
      <c r="C96" s="71" t="s">
        <v>61</v>
      </c>
    </row>
    <row r="97" spans="1:3" ht="15" customHeight="1" x14ac:dyDescent="0.3">
      <c r="A97" t="s">
        <v>15</v>
      </c>
      <c r="B97" s="99">
        <f>VLOOKUP(A97,$A$40:$E$49,3,FALSE)*1000</f>
        <v>20</v>
      </c>
      <c r="C97" s="99">
        <f>VLOOKUP(A97,$A$40:$E$49,5,FALSE)</f>
        <v>8.1863206581801814E-8</v>
      </c>
    </row>
    <row r="98" spans="1:3" ht="15" customHeight="1" x14ac:dyDescent="0.3">
      <c r="A98" t="s">
        <v>19</v>
      </c>
      <c r="B98" s="99">
        <f t="shared" ref="B98:B106" si="24">VLOOKUP(A98,$A$40:$E$49,3,FALSE)*1000</f>
        <v>20</v>
      </c>
      <c r="C98" s="99">
        <f t="shared" ref="C98:C106" si="25">VLOOKUP(A98,$A$40:$E$49,5,FALSE)</f>
        <v>4.5310376076121436E-8</v>
      </c>
    </row>
    <row r="99" spans="1:3" ht="15" customHeight="1" x14ac:dyDescent="0.3">
      <c r="A99" t="s">
        <v>120</v>
      </c>
      <c r="B99" s="99">
        <f t="shared" si="24"/>
        <v>100</v>
      </c>
      <c r="C99" s="99">
        <f t="shared" si="25"/>
        <v>4.8628671464695592E-7</v>
      </c>
    </row>
    <row r="100" spans="1:3" ht="15" customHeight="1" x14ac:dyDescent="0.3">
      <c r="A100" t="s">
        <v>121</v>
      </c>
      <c r="B100" s="99">
        <f t="shared" si="24"/>
        <v>50</v>
      </c>
      <c r="C100" s="99">
        <f t="shared" si="25"/>
        <v>1.4824917721706646E-7</v>
      </c>
    </row>
    <row r="101" spans="1:3" ht="15" customHeight="1" x14ac:dyDescent="0.3">
      <c r="A101" t="s">
        <v>30</v>
      </c>
      <c r="B101" s="99">
        <f t="shared" si="24"/>
        <v>50</v>
      </c>
      <c r="C101" s="99">
        <f t="shared" si="25"/>
        <v>1.3284799532375059E-7</v>
      </c>
    </row>
    <row r="102" spans="1:3" ht="15" customHeight="1" x14ac:dyDescent="0.3">
      <c r="A102" t="s">
        <v>34</v>
      </c>
      <c r="B102" s="99">
        <f t="shared" si="24"/>
        <v>50</v>
      </c>
      <c r="C102" s="99">
        <f t="shared" si="25"/>
        <v>4.0614084964665748E-7</v>
      </c>
    </row>
    <row r="103" spans="1:3" ht="15" customHeight="1" x14ac:dyDescent="0.3">
      <c r="A103" t="s">
        <v>122</v>
      </c>
      <c r="B103" s="99">
        <f t="shared" si="24"/>
        <v>50</v>
      </c>
      <c r="C103" s="99">
        <f t="shared" si="25"/>
        <v>1.0492518834071308E-7</v>
      </c>
    </row>
    <row r="104" spans="1:3" ht="15" customHeight="1" x14ac:dyDescent="0.3">
      <c r="A104" t="s">
        <v>42</v>
      </c>
      <c r="B104" s="99">
        <f t="shared" si="24"/>
        <v>1</v>
      </c>
      <c r="C104" s="99">
        <f t="shared" si="25"/>
        <v>7.37805912776585E-10</v>
      </c>
    </row>
    <row r="105" spans="1:3" ht="15" customHeight="1" x14ac:dyDescent="0.3">
      <c r="A105" t="s">
        <v>45</v>
      </c>
      <c r="B105" s="99">
        <f t="shared" si="24"/>
        <v>50</v>
      </c>
      <c r="C105" s="99">
        <f t="shared" si="25"/>
        <v>3.6459092897768708E-7</v>
      </c>
    </row>
    <row r="106" spans="1:3" ht="15" customHeight="1" x14ac:dyDescent="0.3">
      <c r="A106" t="s">
        <v>288</v>
      </c>
      <c r="B106" s="99">
        <f t="shared" si="24"/>
        <v>50</v>
      </c>
      <c r="C106" s="99">
        <f t="shared" si="25"/>
        <v>2.4233024766151311E-7</v>
      </c>
    </row>
    <row r="107" spans="1:3" ht="15" customHeight="1" x14ac:dyDescent="0.3">
      <c r="A107" s="25" t="s">
        <v>22</v>
      </c>
      <c r="B107" s="289">
        <f>B99*169.18/205.64</f>
        <v>82.269986383971997</v>
      </c>
      <c r="C107" s="99"/>
    </row>
    <row r="108" spans="1:3" ht="15" customHeight="1" x14ac:dyDescent="0.3">
      <c r="A108" s="25" t="s">
        <v>26</v>
      </c>
      <c r="B108" s="289">
        <f>B100*265.36/337.27</f>
        <v>39.339401666320754</v>
      </c>
      <c r="C108" s="99"/>
    </row>
    <row r="109" spans="1:3" ht="15" customHeight="1" x14ac:dyDescent="0.3">
      <c r="A109" s="25" t="s">
        <v>38</v>
      </c>
      <c r="B109" s="289">
        <f>B103</f>
        <v>50</v>
      </c>
      <c r="C109" s="99"/>
    </row>
    <row r="110" spans="1:3" ht="15" customHeight="1" x14ac:dyDescent="0.3">
      <c r="A110" s="25" t="s">
        <v>49</v>
      </c>
      <c r="B110" s="289">
        <f>B106</f>
        <v>50</v>
      </c>
      <c r="C110" s="99"/>
    </row>
    <row r="111" spans="1:3" ht="15" customHeight="1" x14ac:dyDescent="0.3">
      <c r="A111" s="181" t="s">
        <v>123</v>
      </c>
      <c r="B111" s="289">
        <f>B106</f>
        <v>50</v>
      </c>
      <c r="C111" s="99"/>
    </row>
    <row r="112" spans="1:3" ht="15" customHeight="1" x14ac:dyDescent="0.3">
      <c r="A112" s="7" t="s">
        <v>279</v>
      </c>
      <c r="B112" s="269">
        <f>SUM(B54:B58,B68:B72)/1000</f>
        <v>6.6124893497267436</v>
      </c>
      <c r="C112" s="99" t="s">
        <v>97</v>
      </c>
    </row>
    <row r="113" spans="1:3" ht="15" customHeight="1" x14ac:dyDescent="0.3">
      <c r="A113" s="7" t="s">
        <v>4</v>
      </c>
      <c r="B113" s="269">
        <f>SUM(D54:D66,D68:D80)/2</f>
        <v>0.12512233444281703</v>
      </c>
      <c r="C113" s="99" t="e">
        <f>VLOOKUP(A113,$A$44:$E$49,5,FALSE)</f>
        <v>#N/A</v>
      </c>
    </row>
    <row r="124" spans="1:3" ht="15" customHeight="1" x14ac:dyDescent="0.3">
      <c r="A124" s="7"/>
      <c r="B124" s="7"/>
      <c r="C124" s="7"/>
    </row>
    <row r="129" spans="1:3" ht="15" customHeight="1" x14ac:dyDescent="0.3">
      <c r="A129" s="7"/>
      <c r="B129" s="7"/>
      <c r="C129" s="7"/>
    </row>
  </sheetData>
  <pageMargins left="0.7" right="0.7" top="0.75" bottom="0.75" header="0.3" footer="0.3"/>
  <pageSetup scale="42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89BA4-FC01-493C-963B-E3A347F4171A}">
  <sheetPr>
    <tabColor rgb="FFFF0000"/>
    <pageSetUpPr fitToPage="1"/>
  </sheetPr>
  <dimension ref="A1:AE129"/>
  <sheetViews>
    <sheetView topLeftCell="A4" workbookViewId="0">
      <selection activeCell="I58" sqref="I58"/>
    </sheetView>
  </sheetViews>
  <sheetFormatPr defaultColWidth="9.109375" defaultRowHeight="15" customHeight="1" x14ac:dyDescent="0.3"/>
  <cols>
    <col min="1" max="1" width="48.109375" customWidth="1"/>
    <col min="2" max="2" width="12.44140625" customWidth="1"/>
    <col min="3" max="3" width="11.44140625" customWidth="1"/>
    <col min="4" max="4" width="7.5546875" customWidth="1"/>
    <col min="5" max="5" width="11.109375" customWidth="1"/>
    <col min="6" max="6" width="10.44140625" customWidth="1"/>
    <col min="7" max="7" width="10.33203125" customWidth="1"/>
    <col min="8" max="8" width="12" customWidth="1"/>
    <col min="9" max="9" width="15.109375" customWidth="1"/>
    <col min="10" max="11" width="16.44140625" customWidth="1"/>
    <col min="12" max="13" width="11.88671875" customWidth="1"/>
    <col min="14" max="16" width="9.109375" bestFit="1" customWidth="1"/>
    <col min="20" max="20" width="12.109375" customWidth="1"/>
    <col min="21" max="21" width="11.88671875" customWidth="1"/>
    <col min="27" max="27" width="12" bestFit="1" customWidth="1"/>
  </cols>
  <sheetData>
    <row r="1" spans="1:31" ht="14.4" customHeight="1" x14ac:dyDescent="0.35">
      <c r="A1" s="47" t="s">
        <v>90</v>
      </c>
    </row>
    <row r="2" spans="1:31" ht="14.4" x14ac:dyDescent="0.3"/>
    <row r="3" spans="1:31" ht="14.4" x14ac:dyDescent="0.3">
      <c r="A3" s="7" t="s">
        <v>91</v>
      </c>
      <c r="B3" s="7" t="s">
        <v>92</v>
      </c>
      <c r="C3" s="7" t="s">
        <v>3</v>
      </c>
      <c r="D3" s="7" t="s">
        <v>93</v>
      </c>
    </row>
    <row r="4" spans="1:31" ht="14.4" x14ac:dyDescent="0.3">
      <c r="A4" t="s">
        <v>94</v>
      </c>
      <c r="B4">
        <v>995</v>
      </c>
      <c r="C4" s="8">
        <f>B69</f>
        <v>195.35409810752253</v>
      </c>
      <c r="D4" s="9">
        <f>B4/1000</f>
        <v>0.995</v>
      </c>
    </row>
    <row r="5" spans="1:31" ht="14.4" x14ac:dyDescent="0.3">
      <c r="A5" t="s">
        <v>95</v>
      </c>
      <c r="B5">
        <v>5</v>
      </c>
      <c r="C5" s="8" t="e">
        <f>#REF!</f>
        <v>#REF!</v>
      </c>
      <c r="D5" s="9">
        <f>B5/1000</f>
        <v>5.0000000000000001E-3</v>
      </c>
    </row>
    <row r="6" spans="1:31" thickBot="1" x14ac:dyDescent="0.35"/>
    <row r="7" spans="1:31" ht="15" customHeight="1" thickBot="1" x14ac:dyDescent="0.35">
      <c r="F7" s="136" t="s">
        <v>98</v>
      </c>
      <c r="G7" s="137"/>
      <c r="H7" s="137"/>
      <c r="I7" s="137"/>
      <c r="J7" s="137"/>
      <c r="K7" s="137"/>
      <c r="L7" s="137"/>
      <c r="M7" s="194" t="s">
        <v>99</v>
      </c>
      <c r="N7" s="195"/>
      <c r="O7" s="196"/>
      <c r="P7" s="196"/>
      <c r="Q7" s="196"/>
      <c r="R7" s="196"/>
      <c r="S7" s="197"/>
      <c r="T7" s="52" t="s">
        <v>51</v>
      </c>
      <c r="U7" s="221" t="s">
        <v>47</v>
      </c>
      <c r="V7" s="221" t="s">
        <v>44</v>
      </c>
      <c r="W7" s="222" t="s">
        <v>196</v>
      </c>
      <c r="X7" s="52" t="s">
        <v>51</v>
      </c>
      <c r="Y7" s="221" t="s">
        <v>47</v>
      </c>
      <c r="Z7" s="221" t="s">
        <v>44</v>
      </c>
      <c r="AA7" s="222" t="s">
        <v>196</v>
      </c>
      <c r="AB7" s="52" t="s">
        <v>51</v>
      </c>
      <c r="AC7" s="221" t="s">
        <v>47</v>
      </c>
      <c r="AD7" s="221" t="s">
        <v>44</v>
      </c>
      <c r="AE7" s="222" t="s">
        <v>196</v>
      </c>
    </row>
    <row r="8" spans="1:31" ht="14.4" x14ac:dyDescent="0.3">
      <c r="A8" s="13" t="s">
        <v>341</v>
      </c>
      <c r="B8" s="14" t="s">
        <v>100</v>
      </c>
      <c r="C8" s="15" t="s">
        <v>102</v>
      </c>
      <c r="D8" s="16" t="s">
        <v>8</v>
      </c>
      <c r="E8" s="16" t="s">
        <v>103</v>
      </c>
      <c r="F8" s="17" t="s">
        <v>98</v>
      </c>
      <c r="G8" s="17" t="s">
        <v>104</v>
      </c>
      <c r="H8" s="17" t="s">
        <v>105</v>
      </c>
      <c r="I8" s="17" t="s">
        <v>106</v>
      </c>
      <c r="J8" s="179" t="s">
        <v>107</v>
      </c>
      <c r="K8" s="179" t="s">
        <v>318</v>
      </c>
      <c r="L8" s="37" t="s">
        <v>108</v>
      </c>
      <c r="M8" s="198" t="s">
        <v>99</v>
      </c>
      <c r="N8" s="85" t="s">
        <v>104</v>
      </c>
      <c r="O8" s="20" t="s">
        <v>105</v>
      </c>
      <c r="P8" s="40" t="s">
        <v>109</v>
      </c>
      <c r="Q8" s="40" t="s">
        <v>107</v>
      </c>
      <c r="R8" s="179" t="s">
        <v>318</v>
      </c>
      <c r="S8" s="199" t="s">
        <v>110</v>
      </c>
      <c r="T8" s="215" t="s">
        <v>104</v>
      </c>
      <c r="U8" s="184"/>
      <c r="V8" s="184"/>
      <c r="W8" s="216"/>
      <c r="X8" s="215" t="s">
        <v>61</v>
      </c>
      <c r="Y8" s="184"/>
      <c r="Z8" s="184"/>
      <c r="AA8" s="216"/>
      <c r="AB8" s="215" t="s">
        <v>334</v>
      </c>
      <c r="AC8" s="184"/>
      <c r="AD8" s="184"/>
      <c r="AE8" s="216"/>
    </row>
    <row r="9" spans="1:31" ht="14.4" x14ac:dyDescent="0.3">
      <c r="A9" s="20" t="s">
        <v>342</v>
      </c>
      <c r="B9" s="25"/>
      <c r="C9" s="26"/>
      <c r="D9" s="26"/>
      <c r="E9" s="26"/>
      <c r="F9" s="25"/>
      <c r="G9" s="25"/>
      <c r="H9" s="25"/>
      <c r="I9" s="25"/>
      <c r="J9" s="178"/>
      <c r="K9" s="183"/>
      <c r="L9" s="28"/>
      <c r="M9" s="86"/>
      <c r="N9" s="27"/>
      <c r="O9" s="25"/>
      <c r="P9" s="25"/>
      <c r="Q9" s="25"/>
      <c r="R9" s="25"/>
      <c r="S9" s="200"/>
      <c r="T9" s="217"/>
      <c r="U9" s="185"/>
      <c r="V9" s="185"/>
      <c r="W9" s="218"/>
      <c r="X9" s="217"/>
      <c r="Y9" s="185"/>
      <c r="Z9" s="185"/>
      <c r="AA9" s="218"/>
      <c r="AB9" s="217"/>
      <c r="AC9" s="185"/>
      <c r="AD9" s="185"/>
      <c r="AE9" s="218"/>
    </row>
    <row r="10" spans="1:31" ht="14.4" x14ac:dyDescent="0.3">
      <c r="A10" s="25" t="s">
        <v>307</v>
      </c>
      <c r="B10" s="25">
        <f>IFERROR(VLOOKUP(A10,Library!$B$4:$G$69,2,FALSE),"")</f>
        <v>136.09</v>
      </c>
      <c r="C10" s="26">
        <f>VLOOKUP(A10,'DSMZ 120 v2'!$F$5:$G$21,2,FALSE)*1000/'DSMZ 120 v2'!$G$23</f>
        <v>0.35</v>
      </c>
      <c r="D10" s="26" t="s">
        <v>97</v>
      </c>
      <c r="E10" s="26">
        <f>IF(D10="g/L",C10/B10,IF(D10="mg/L",C10/(1000*B10),IF(D10="ug/L",C10/(1000000*B10),"error")))</f>
        <v>2.5718274671173488E-3</v>
      </c>
      <c r="F10" s="25" t="s">
        <v>66</v>
      </c>
      <c r="G10" s="25">
        <v>1</v>
      </c>
      <c r="H10" s="25">
        <f>VLOOKUP(F10,Library!$K$4:$N$36,3,FALSE)</f>
        <v>1</v>
      </c>
      <c r="I10" s="25">
        <f>E10*G10</f>
        <v>2.5718274671173488E-3</v>
      </c>
      <c r="J10" s="178">
        <f>IF(F10="N/A",0,VLOOKUP(F10,Library!$K$4:$M$36,2,FALSE))</f>
        <v>39.093800000000002</v>
      </c>
      <c r="K10" s="183">
        <f>I10*(H10^2)</f>
        <v>2.5718274671173488E-3</v>
      </c>
      <c r="L10" s="28">
        <f>I10*J10</f>
        <v>0.10054250863399221</v>
      </c>
      <c r="M10" s="86" t="s">
        <v>82</v>
      </c>
      <c r="N10" s="27">
        <v>1</v>
      </c>
      <c r="O10" s="25">
        <f>IFERROR(VLOOKUP(M10,Library!$K$4:$M$36,3,FALSE),"")</f>
        <v>-3</v>
      </c>
      <c r="P10" s="25">
        <f>E10*N10</f>
        <v>2.5718274671173488E-3</v>
      </c>
      <c r="Q10" s="25">
        <f>IFERROR(IF(M10="N/A",0,VLOOKUP(M10,Library!$K$4:$N$36,2,FALSE)),"")</f>
        <v>94.97</v>
      </c>
      <c r="R10" s="25">
        <f>IFERROR(P10*(O10^2),"")</f>
        <v>2.3146447204056141E-2</v>
      </c>
      <c r="S10" s="200">
        <f>IFERROR(P10*Q10,"")</f>
        <v>0.24424645455213462</v>
      </c>
      <c r="T10" s="217">
        <f>VLOOKUP(A10,Library!$B$4:$G$69,3,FALSE)</f>
        <v>0</v>
      </c>
      <c r="U10" s="185">
        <f>VLOOKUP(A10,Library!$B$4:$G$69,4,FALSE)</f>
        <v>0</v>
      </c>
      <c r="V10" s="185">
        <f>VLOOKUP(A10,Library!$B$4:$G$69,5,FALSE)</f>
        <v>1</v>
      </c>
      <c r="W10" s="218">
        <f>VLOOKUP(A10,Library!$B$4:$G$69,6,FALSE)</f>
        <v>0</v>
      </c>
      <c r="X10" s="217">
        <f>T10*E10</f>
        <v>0</v>
      </c>
      <c r="Y10" s="185">
        <f>U10*E10</f>
        <v>0</v>
      </c>
      <c r="Z10" s="185">
        <f>V10*E10</f>
        <v>2.5718274671173488E-3</v>
      </c>
      <c r="AA10" s="218">
        <f>W10*E10</f>
        <v>0</v>
      </c>
      <c r="AB10" s="217">
        <f>X10*VLOOKUP($AB$7,Library!$T$4:$U$7,2,FALSE)</f>
        <v>0</v>
      </c>
      <c r="AC10" s="185">
        <f>Y10*VLOOKUP($AC$7,Library!$T$4:$U$7,2,FALSE)</f>
        <v>0</v>
      </c>
      <c r="AD10" s="185">
        <f>Z10*VLOOKUP($AD$7,Library!$T$4:$U$7,2,FALSE)</f>
        <v>7.9649496656624283E-2</v>
      </c>
      <c r="AE10" s="218">
        <f>AA10*VLOOKUP($AE$7,Library!$T$4:$U$7,2,FALSE)</f>
        <v>0</v>
      </c>
    </row>
    <row r="11" spans="1:31" ht="14.4" x14ac:dyDescent="0.3">
      <c r="A11" s="25" t="s">
        <v>308</v>
      </c>
      <c r="B11" s="25">
        <f>IFERROR(VLOOKUP(A11,Library!$B$4:$G$69,2,FALSE),"")</f>
        <v>174.18</v>
      </c>
      <c r="C11" s="26">
        <f>VLOOKUP(A11,'DSMZ 120 v1'!$F$5:$G$21,2,FALSE)*1000/'DSMZ 120 v1'!$G$23</f>
        <v>0.23</v>
      </c>
      <c r="D11" s="41" t="s">
        <v>97</v>
      </c>
      <c r="E11" s="26">
        <f t="shared" ref="E11:E49" si="0">IF(D11="g/L",C11/B11,IF(D11="mg/L",C11/(1000*B11),IF(D11="ug/L",C11/(1000000*B11),"error")))</f>
        <v>1.3204730738316684E-3</v>
      </c>
      <c r="F11" s="25" t="s">
        <v>66</v>
      </c>
      <c r="G11" s="28">
        <v>2</v>
      </c>
      <c r="H11" s="25">
        <f>VLOOKUP(F11,Library!$K$4:$N$36,3,FALSE)</f>
        <v>1</v>
      </c>
      <c r="I11" s="25">
        <f t="shared" ref="I11:I37" si="1">E11*G11</f>
        <v>2.6409461476633368E-3</v>
      </c>
      <c r="J11" s="178">
        <f>IF(F11="N/A",0,VLOOKUP(F11,Library!$K$4:$M$36,2,FALSE))</f>
        <v>39.093800000000002</v>
      </c>
      <c r="K11" s="183">
        <f t="shared" ref="K11:K31" si="2">I11*(H11^2)</f>
        <v>2.6409461476633368E-3</v>
      </c>
      <c r="L11" s="28">
        <f t="shared" ref="L11:L31" si="3">I11*J11</f>
        <v>0.10324462050752096</v>
      </c>
      <c r="M11" s="86" t="s">
        <v>82</v>
      </c>
      <c r="N11" s="25">
        <v>1</v>
      </c>
      <c r="O11" s="25">
        <f>IFERROR(VLOOKUP(M11,Library!$K$4:$M$36,3,FALSE),"")</f>
        <v>-3</v>
      </c>
      <c r="P11" s="25">
        <f t="shared" ref="P11:P37" si="4">E11*N11</f>
        <v>1.3204730738316684E-3</v>
      </c>
      <c r="Q11" s="25">
        <f>IFERROR(IF(M11="N/A",0,VLOOKUP(M11,Library!$K$4:$N$36,2,FALSE)),"")</f>
        <v>94.97</v>
      </c>
      <c r="R11" s="25">
        <f t="shared" ref="R11:R37" si="5">IFERROR(P11*(O11^2),"")</f>
        <v>1.1884257664485016E-2</v>
      </c>
      <c r="S11" s="200">
        <f t="shared" ref="S11:S37" si="6">IFERROR(P11*Q11,"")</f>
        <v>0.12540532782179353</v>
      </c>
      <c r="T11" s="217">
        <f>VLOOKUP(A11,Library!$B$4:$G$69,3,FALSE)</f>
        <v>0</v>
      </c>
      <c r="U11" s="185">
        <f>VLOOKUP(A11,Library!$B$4:$G$69,4,FALSE)</f>
        <v>0</v>
      </c>
      <c r="V11" s="185">
        <f>VLOOKUP(A11,Library!$B$4:$G$69,5,FALSE)</f>
        <v>1</v>
      </c>
      <c r="W11" s="218">
        <f>VLOOKUP(A11,Library!$B$4:$G$69,6,FALSE)</f>
        <v>0</v>
      </c>
      <c r="X11" s="217">
        <f t="shared" ref="X11:X15" si="7">T11*E11</f>
        <v>0</v>
      </c>
      <c r="Y11" s="185">
        <f t="shared" ref="Y11:Y15" si="8">U11*E11</f>
        <v>0</v>
      </c>
      <c r="Z11" s="185">
        <f t="shared" ref="Z11:Z15" si="9">V11*E11</f>
        <v>1.3204730738316684E-3</v>
      </c>
      <c r="AA11" s="218">
        <f t="shared" ref="AA11:AA15" si="10">W11*E11</f>
        <v>0</v>
      </c>
      <c r="AB11" s="217">
        <f>X11*VLOOKUP($AB$7,Library!$T$4:$U$7,2,FALSE)</f>
        <v>0</v>
      </c>
      <c r="AC11" s="185">
        <f>Y11*VLOOKUP($AC$7,Library!$T$4:$U$7,2,FALSE)</f>
        <v>0</v>
      </c>
      <c r="AD11" s="185">
        <f>Z11*VLOOKUP($AD$7,Library!$T$4:$U$7,2,FALSE)</f>
        <v>4.089505109656677E-2</v>
      </c>
      <c r="AE11" s="218">
        <f>AA11*VLOOKUP($AE$7,Library!$T$4:$U$7,2,FALSE)</f>
        <v>0</v>
      </c>
    </row>
    <row r="12" spans="1:31" ht="14.4" x14ac:dyDescent="0.3">
      <c r="A12" s="25" t="s">
        <v>21</v>
      </c>
      <c r="B12" s="25">
        <f>IFERROR(VLOOKUP(A12,Library!$B$4:$G$69,2,FALSE),"")</f>
        <v>53.49</v>
      </c>
      <c r="C12" s="26">
        <f>VLOOKUP(A12,'DSMZ 120 v1'!$F$5:$G$21,2,FALSE)*1000/'DSMZ 120 v1'!$G$23</f>
        <v>0.5</v>
      </c>
      <c r="D12" s="41" t="s">
        <v>97</v>
      </c>
      <c r="E12" s="26">
        <f t="shared" si="0"/>
        <v>9.3475415965601043E-3</v>
      </c>
      <c r="F12" s="25" t="s">
        <v>78</v>
      </c>
      <c r="G12" s="28">
        <v>1</v>
      </c>
      <c r="H12" s="25">
        <f>VLOOKUP(F12,Library!$K$4:$N$36,3,FALSE)</f>
        <v>1</v>
      </c>
      <c r="I12" s="25">
        <f t="shared" si="1"/>
        <v>9.3475415965601043E-3</v>
      </c>
      <c r="J12" s="178">
        <f>IF(F12="N/A",0,VLOOKUP(F12,Library!$K$4:$M$36,2,FALSE))</f>
        <v>18.04</v>
      </c>
      <c r="K12" s="183">
        <f t="shared" si="2"/>
        <v>9.3475415965601043E-3</v>
      </c>
      <c r="L12" s="28">
        <f t="shared" si="3"/>
        <v>0.16862965040194428</v>
      </c>
      <c r="M12" s="25" t="s">
        <v>70</v>
      </c>
      <c r="N12" s="25">
        <v>1</v>
      </c>
      <c r="O12" s="25">
        <f>IFERROR(VLOOKUP(M12,Library!$K$4:$M$36,3,FALSE),"")</f>
        <v>-1</v>
      </c>
      <c r="P12" s="25">
        <f t="shared" si="4"/>
        <v>9.3475415965601043E-3</v>
      </c>
      <c r="Q12" s="25">
        <f>IFERROR(IF(M12="N/A",0,VLOOKUP(M12,Library!$K$4:$N$36,2,FALSE)),"")</f>
        <v>35.453000000000003</v>
      </c>
      <c r="R12" s="25">
        <f t="shared" si="5"/>
        <v>9.3475415965601043E-3</v>
      </c>
      <c r="S12" s="200">
        <f t="shared" si="6"/>
        <v>0.33139839222284539</v>
      </c>
      <c r="T12" s="217">
        <f>VLOOKUP(A12,Library!$B$4:$G$69,3,FALSE)</f>
        <v>0</v>
      </c>
      <c r="U12" s="185">
        <f>VLOOKUP(A12,Library!$B$4:$G$69,4,FALSE)</f>
        <v>1</v>
      </c>
      <c r="V12" s="185">
        <f>VLOOKUP(A12,Library!$B$4:$G$69,5,FALSE)</f>
        <v>0</v>
      </c>
      <c r="W12" s="218">
        <f>VLOOKUP(A12,Library!$B$4:$G$69,6,FALSE)</f>
        <v>0</v>
      </c>
      <c r="X12" s="217">
        <f t="shared" si="7"/>
        <v>0</v>
      </c>
      <c r="Y12" s="185">
        <f t="shared" si="8"/>
        <v>9.3475415965601043E-3</v>
      </c>
      <c r="Z12" s="185">
        <f t="shared" si="9"/>
        <v>0</v>
      </c>
      <c r="AA12" s="218">
        <f t="shared" si="10"/>
        <v>0</v>
      </c>
      <c r="AB12" s="217">
        <f>X12*VLOOKUP($AB$7,Library!$T$4:$U$7,2,FALSE)</f>
        <v>0</v>
      </c>
      <c r="AC12" s="185">
        <f>Y12*VLOOKUP($AC$7,Library!$T$4:$U$7,2,FALSE)</f>
        <v>0.13095905776780706</v>
      </c>
      <c r="AD12" s="185">
        <f>Z12*VLOOKUP($AD$7,Library!$T$4:$U$7,2,FALSE)</f>
        <v>0</v>
      </c>
      <c r="AE12" s="218">
        <f>AA12*VLOOKUP($AE$7,Library!$T$4:$U$7,2,FALSE)</f>
        <v>0</v>
      </c>
    </row>
    <row r="13" spans="1:31" ht="14.4" x14ac:dyDescent="0.3">
      <c r="A13" s="25" t="s">
        <v>290</v>
      </c>
      <c r="B13" s="25">
        <f>IFERROR(VLOOKUP(A13,Library!$B$4:$G$69,2,FALSE),"")</f>
        <v>246.48</v>
      </c>
      <c r="C13" s="26">
        <f>VLOOKUP(A13,'DSMZ 120 v1'!$F$5:$G$21,2,FALSE)*1000/'DSMZ 120 v1'!$G$23</f>
        <v>0.5</v>
      </c>
      <c r="D13" s="41" t="s">
        <v>97</v>
      </c>
      <c r="E13" s="26">
        <f t="shared" si="0"/>
        <v>2.0285621551444336E-3</v>
      </c>
      <c r="F13" s="25" t="s">
        <v>64</v>
      </c>
      <c r="G13" s="28">
        <v>1</v>
      </c>
      <c r="H13" s="25">
        <f>VLOOKUP(F13,Library!$K$4:$N$36,3,FALSE)</f>
        <v>2</v>
      </c>
      <c r="I13" s="25">
        <f t="shared" si="1"/>
        <v>2.0285621551444336E-3</v>
      </c>
      <c r="J13" s="178">
        <f>IF(F13="N/A",0,VLOOKUP(F13,Library!$K$4:$M$36,2,FALSE))</f>
        <v>24.305</v>
      </c>
      <c r="K13" s="183">
        <f t="shared" si="2"/>
        <v>8.1142486205777343E-3</v>
      </c>
      <c r="L13" s="28">
        <f t="shared" si="3"/>
        <v>4.9304203180785461E-2</v>
      </c>
      <c r="M13" s="25" t="s">
        <v>69</v>
      </c>
      <c r="N13" s="25">
        <v>1</v>
      </c>
      <c r="O13" s="25">
        <f>IFERROR(VLOOKUP(M13,Library!$K$4:$M$36,3,FALSE),"")</f>
        <v>-2</v>
      </c>
      <c r="P13" s="25">
        <f t="shared" si="4"/>
        <v>2.0285621551444336E-3</v>
      </c>
      <c r="Q13" s="25">
        <f>IFERROR(IF(M13="N/A",0,VLOOKUP(M13,Library!$K$4:$N$36,2,FALSE)),"")</f>
        <v>96.06</v>
      </c>
      <c r="R13" s="25">
        <f t="shared" si="5"/>
        <v>8.1142486205777343E-3</v>
      </c>
      <c r="S13" s="200">
        <f t="shared" si="6"/>
        <v>0.1948636806231743</v>
      </c>
      <c r="T13" s="217">
        <f>VLOOKUP(A13,Library!$B$4:$G$69,3,FALSE)</f>
        <v>0</v>
      </c>
      <c r="U13" s="185">
        <f>VLOOKUP(A13,Library!$B$4:$G$69,4,FALSE)</f>
        <v>0</v>
      </c>
      <c r="V13" s="185">
        <f>VLOOKUP(A13,Library!$B$4:$G$69,5,FALSE)</f>
        <v>0</v>
      </c>
      <c r="W13" s="218">
        <f>VLOOKUP(A13,Library!$B$4:$G$69,6,FALSE)</f>
        <v>1</v>
      </c>
      <c r="X13" s="217">
        <f t="shared" si="7"/>
        <v>0</v>
      </c>
      <c r="Y13" s="185">
        <f t="shared" si="8"/>
        <v>0</v>
      </c>
      <c r="Z13" s="185">
        <f t="shared" si="9"/>
        <v>0</v>
      </c>
      <c r="AA13" s="218">
        <f t="shared" si="10"/>
        <v>2.0285621551444336E-3</v>
      </c>
      <c r="AB13" s="217">
        <f>X13*VLOOKUP($AB$7,Library!$T$4:$U$7,2,FALSE)</f>
        <v>0</v>
      </c>
      <c r="AC13" s="185">
        <f>Y13*VLOOKUP($AC$7,Library!$T$4:$U$7,2,FALSE)</f>
        <v>0</v>
      </c>
      <c r="AD13" s="185">
        <f>Z13*VLOOKUP($AD$7,Library!$T$4:$U$7,2,FALSE)</f>
        <v>0</v>
      </c>
      <c r="AE13" s="218">
        <f>AA13*VLOOKUP($AE$7,Library!$T$4:$U$7,2,FALSE)</f>
        <v>6.5055988315481983E-2</v>
      </c>
    </row>
    <row r="14" spans="1:31" ht="14.4" x14ac:dyDescent="0.3">
      <c r="A14" s="25" t="s">
        <v>29</v>
      </c>
      <c r="B14" s="25">
        <f>IFERROR(VLOOKUP(A14,Library!$B$4:$G$69,2,FALSE),"")</f>
        <v>147.01</v>
      </c>
      <c r="C14" s="26">
        <f>VLOOKUP(A14,'DSMZ 120 v1'!$F$5:$G$21,2,FALSE)*1000/'DSMZ 120 v1'!$G$23</f>
        <v>0.25</v>
      </c>
      <c r="D14" s="41" t="s">
        <v>97</v>
      </c>
      <c r="E14" s="26">
        <f t="shared" si="0"/>
        <v>1.7005645874430312E-3</v>
      </c>
      <c r="F14" s="25" t="s">
        <v>65</v>
      </c>
      <c r="G14" s="28">
        <v>1</v>
      </c>
      <c r="H14" s="25">
        <f>VLOOKUP(F14,Library!$K$4:$N$36,3,FALSE)</f>
        <v>2</v>
      </c>
      <c r="I14" s="25">
        <f t="shared" si="1"/>
        <v>1.7005645874430312E-3</v>
      </c>
      <c r="J14" s="178">
        <f>IF(F14="N/A",0,VLOOKUP(F14,Library!$K$4:$M$36,2,FALSE))</f>
        <v>40.078000000000003</v>
      </c>
      <c r="K14" s="183">
        <f t="shared" si="2"/>
        <v>6.8022583497721247E-3</v>
      </c>
      <c r="L14" s="28">
        <f t="shared" si="3"/>
        <v>6.8155227535541804E-2</v>
      </c>
      <c r="M14" s="25" t="s">
        <v>70</v>
      </c>
      <c r="N14" s="25">
        <v>2</v>
      </c>
      <c r="O14" s="25">
        <f>IFERROR(VLOOKUP(M14,Library!$K$4:$M$36,3,FALSE),"")</f>
        <v>-1</v>
      </c>
      <c r="P14" s="25">
        <f t="shared" si="4"/>
        <v>3.4011291748860624E-3</v>
      </c>
      <c r="Q14" s="25">
        <f>IFERROR(IF(M14="N/A",0,VLOOKUP(M14,Library!$K$4:$N$36,2,FALSE)),"")</f>
        <v>35.453000000000003</v>
      </c>
      <c r="R14" s="25">
        <f t="shared" si="5"/>
        <v>3.4011291748860624E-3</v>
      </c>
      <c r="S14" s="200">
        <f t="shared" si="6"/>
        <v>0.12058023263723558</v>
      </c>
      <c r="T14" s="217">
        <f>VLOOKUP(A14,Library!$B$4:$G$69,3,FALSE)</f>
        <v>0</v>
      </c>
      <c r="U14" s="185">
        <f>VLOOKUP(A14,Library!$B$4:$G$69,4,FALSE)</f>
        <v>0</v>
      </c>
      <c r="V14" s="185">
        <f>VLOOKUP(A14,Library!$B$4:$G$69,5,FALSE)</f>
        <v>0</v>
      </c>
      <c r="W14" s="218">
        <f>VLOOKUP(A14,Library!$B$4:$G$69,6,FALSE)</f>
        <v>0</v>
      </c>
      <c r="X14" s="217">
        <f t="shared" si="7"/>
        <v>0</v>
      </c>
      <c r="Y14" s="185">
        <f t="shared" si="8"/>
        <v>0</v>
      </c>
      <c r="Z14" s="185">
        <f t="shared" si="9"/>
        <v>0</v>
      </c>
      <c r="AA14" s="218">
        <f t="shared" si="10"/>
        <v>0</v>
      </c>
      <c r="AB14" s="217">
        <f>X14*VLOOKUP($AB$7,Library!$T$4:$U$7,2,FALSE)</f>
        <v>0</v>
      </c>
      <c r="AC14" s="185">
        <f>Y14*VLOOKUP($AC$7,Library!$T$4:$U$7,2,FALSE)</f>
        <v>0</v>
      </c>
      <c r="AD14" s="185">
        <f>Z14*VLOOKUP($AD$7,Library!$T$4:$U$7,2,FALSE)</f>
        <v>0</v>
      </c>
      <c r="AE14" s="218">
        <f>AA14*VLOOKUP($AE$7,Library!$T$4:$U$7,2,FALSE)</f>
        <v>0</v>
      </c>
    </row>
    <row r="15" spans="1:31" ht="14.4" x14ac:dyDescent="0.3">
      <c r="A15" s="25" t="s">
        <v>33</v>
      </c>
      <c r="B15" s="25">
        <f>IFERROR(VLOOKUP(A15,Library!$B$4:$G$69,2,FALSE),"")</f>
        <v>58.44</v>
      </c>
      <c r="C15" s="26">
        <f>VLOOKUP(A15,'DSMZ 120 v1'!$F$5:$G$21,2,FALSE)*1000/'DSMZ 120 v1'!$G$23</f>
        <v>2.25</v>
      </c>
      <c r="D15" s="41" t="s">
        <v>97</v>
      </c>
      <c r="E15" s="26">
        <f t="shared" si="0"/>
        <v>3.8501026694045176E-2</v>
      </c>
      <c r="F15" s="25" t="s">
        <v>63</v>
      </c>
      <c r="G15" s="28">
        <v>1</v>
      </c>
      <c r="H15" s="25">
        <f>VLOOKUP(F15,Library!$K$4:$N$36,3,FALSE)</f>
        <v>1</v>
      </c>
      <c r="I15" s="25">
        <f t="shared" si="1"/>
        <v>3.8501026694045176E-2</v>
      </c>
      <c r="J15" s="178">
        <f>IF(F15="N/A",0,VLOOKUP(F15,Library!$K$4:$M$36,2,FALSE))</f>
        <v>28.989768999999999</v>
      </c>
      <c r="K15" s="183">
        <f t="shared" si="2"/>
        <v>3.8501026694045176E-2</v>
      </c>
      <c r="L15" s="28">
        <f t="shared" si="3"/>
        <v>1.1161358701232034</v>
      </c>
      <c r="M15" s="25" t="s">
        <v>70</v>
      </c>
      <c r="N15" s="25">
        <v>1</v>
      </c>
      <c r="O15" s="25">
        <f>IFERROR(VLOOKUP(M15,Library!$K$4:$M$36,3,FALSE),"")</f>
        <v>-1</v>
      </c>
      <c r="P15" s="25">
        <f t="shared" si="4"/>
        <v>3.8501026694045176E-2</v>
      </c>
      <c r="Q15" s="25">
        <f>IFERROR(IF(M15="N/A",0,VLOOKUP(M15,Library!$K$4:$N$36,2,FALSE)),"")</f>
        <v>35.453000000000003</v>
      </c>
      <c r="R15" s="25">
        <f t="shared" si="5"/>
        <v>3.8501026694045176E-2</v>
      </c>
      <c r="S15" s="200">
        <f t="shared" si="6"/>
        <v>1.3649768993839837</v>
      </c>
      <c r="T15" s="217">
        <f>VLOOKUP(A15,Library!$B$4:$G$69,3,FALSE)</f>
        <v>0</v>
      </c>
      <c r="U15" s="185">
        <f>VLOOKUP(A15,Library!$B$4:$G$69,4,FALSE)</f>
        <v>0</v>
      </c>
      <c r="V15" s="185">
        <f>VLOOKUP(A15,Library!$B$4:$G$69,5,FALSE)</f>
        <v>0</v>
      </c>
      <c r="W15" s="218">
        <f>VLOOKUP(A15,Library!$B$4:$G$69,6,FALSE)</f>
        <v>0</v>
      </c>
      <c r="X15" s="217">
        <f t="shared" si="7"/>
        <v>0</v>
      </c>
      <c r="Y15" s="185">
        <f t="shared" si="8"/>
        <v>0</v>
      </c>
      <c r="Z15" s="185">
        <f t="shared" si="9"/>
        <v>0</v>
      </c>
      <c r="AA15" s="218">
        <f t="shared" si="10"/>
        <v>0</v>
      </c>
      <c r="AB15" s="217">
        <f>X15*VLOOKUP($AB$7,Library!$T$4:$U$7,2,FALSE)</f>
        <v>0</v>
      </c>
      <c r="AC15" s="185">
        <f>Y15*VLOOKUP($AC$7,Library!$T$4:$U$7,2,FALSE)</f>
        <v>0</v>
      </c>
      <c r="AD15" s="185">
        <f>Z15*VLOOKUP($AD$7,Library!$T$4:$U$7,2,FALSE)</f>
        <v>0</v>
      </c>
      <c r="AE15" s="218">
        <f>AA15*VLOOKUP($AE$7,Library!$T$4:$U$7,2,FALSE)</f>
        <v>0</v>
      </c>
    </row>
    <row r="16" spans="1:31" ht="14.4" x14ac:dyDescent="0.3">
      <c r="A16" s="20" t="s">
        <v>291</v>
      </c>
      <c r="B16" s="253"/>
      <c r="C16" s="267"/>
      <c r="D16" s="267"/>
      <c r="E16" s="262"/>
      <c r="F16" s="253"/>
      <c r="G16" s="257"/>
      <c r="H16" s="253"/>
      <c r="I16" s="253"/>
      <c r="J16" s="263"/>
      <c r="K16" s="264"/>
      <c r="L16" s="257"/>
      <c r="M16" s="253"/>
      <c r="N16" s="253"/>
      <c r="O16" s="253"/>
      <c r="P16" s="253"/>
      <c r="Q16" s="253"/>
      <c r="R16" s="253"/>
      <c r="S16" s="265"/>
      <c r="T16" s="259"/>
      <c r="U16" s="260"/>
      <c r="V16" s="260"/>
      <c r="W16" s="261"/>
      <c r="X16" s="259"/>
      <c r="Y16" s="260"/>
      <c r="Z16" s="260"/>
      <c r="AA16" s="261"/>
      <c r="AB16" s="259"/>
      <c r="AC16" s="260"/>
      <c r="AD16" s="260"/>
      <c r="AE16" s="261"/>
    </row>
    <row r="17" spans="1:31" ht="14.4" x14ac:dyDescent="0.3">
      <c r="A17" s="25" t="s">
        <v>59</v>
      </c>
      <c r="B17" s="25">
        <f>IFERROR(VLOOKUP(A17,Library!$B$4:$G$69,2,FALSE),"")</f>
        <v>392.14</v>
      </c>
      <c r="C17" s="26">
        <f>VLOOKUP(A17,'DSMZ 120 v2'!I20:J22,2,FALSE)*(1000/'DSMZ 120 v2'!$J$22)*('DSMZ 120 v2'!$G$11/'DSMZ 120 v2'!$G$23)</f>
        <v>2.0020020020020024E-3</v>
      </c>
      <c r="D17" s="41" t="s">
        <v>97</v>
      </c>
      <c r="E17" s="26">
        <f t="shared" si="0"/>
        <v>5.1053246340643714E-6</v>
      </c>
      <c r="F17" s="25" t="s">
        <v>80</v>
      </c>
      <c r="G17" s="28">
        <v>1</v>
      </c>
      <c r="H17" s="25">
        <f>VLOOKUP(F17,Library!$K$4:$N$36,3,FALSE)</f>
        <v>2</v>
      </c>
      <c r="I17" s="25">
        <f>E17*G17</f>
        <v>5.1053246340643714E-6</v>
      </c>
      <c r="J17" s="178">
        <f>IF(F17="N/A",0,VLOOKUP(F17,Library!$K$4:$M$36,2,FALSE))</f>
        <v>55.844999999999999</v>
      </c>
      <c r="K17" s="183">
        <f t="shared" si="2"/>
        <v>2.0421298536257486E-5</v>
      </c>
      <c r="L17" s="28">
        <f t="shared" si="3"/>
        <v>2.8510685418932483E-4</v>
      </c>
      <c r="M17" s="25" t="s">
        <v>69</v>
      </c>
      <c r="N17" s="25">
        <v>1</v>
      </c>
      <c r="O17" s="25">
        <f>IFERROR(VLOOKUP(M17,Library!$K$4:$M$36,3,FALSE),"")</f>
        <v>-2</v>
      </c>
      <c r="P17" s="25">
        <f>E17*N17</f>
        <v>5.1053246340643714E-6</v>
      </c>
      <c r="Q17" s="25">
        <f>IFERROR(IF(M17="N/A",0,VLOOKUP(M17,Library!$K$4:$N$36,2,FALSE)),"")</f>
        <v>96.06</v>
      </c>
      <c r="R17" s="25">
        <f>IFERROR(P17*(O17^2),"")</f>
        <v>2.0421298536257486E-5</v>
      </c>
      <c r="S17" s="200">
        <f>IFERROR(P17*Q17,"")</f>
        <v>4.9041748434822357E-4</v>
      </c>
      <c r="T17" s="217">
        <f>VLOOKUP(A17,Library!$B$4:$G$69,3,FALSE)</f>
        <v>0</v>
      </c>
      <c r="U17" s="185">
        <f>VLOOKUP(A17,Library!$B$4:$G$69,4,FALSE)</f>
        <v>0</v>
      </c>
      <c r="V17" s="185">
        <f>VLOOKUP(A17,Library!$B$4:$G$69,5,FALSE)</f>
        <v>0</v>
      </c>
      <c r="W17" s="218">
        <f>VLOOKUP(A17,Library!$B$4:$G$69,6,FALSE)</f>
        <v>1</v>
      </c>
      <c r="X17" s="217">
        <f t="shared" ref="X17:X49" si="11">T17*E17</f>
        <v>0</v>
      </c>
      <c r="Y17" s="185">
        <f>U17*E17</f>
        <v>0</v>
      </c>
      <c r="Z17" s="185">
        <f>V17*E17</f>
        <v>0</v>
      </c>
      <c r="AA17" s="218">
        <f>W17*E17</f>
        <v>5.1053246340643714E-6</v>
      </c>
      <c r="AB17" s="217">
        <f>X17*VLOOKUP($AB$7,Library!$T$4:$U$7,2,FALSE)</f>
        <v>0</v>
      </c>
      <c r="AC17" s="185">
        <f>Y17*VLOOKUP($AC$7,Library!$T$4:$U$7,2,FALSE)</f>
        <v>0</v>
      </c>
      <c r="AD17" s="185">
        <f>Z17*VLOOKUP($AD$7,Library!$T$4:$U$7,2,FALSE)</f>
        <v>0</v>
      </c>
      <c r="AE17" s="218">
        <f>AA17*VLOOKUP($AE$7,Library!$T$4:$U$7,2,FALSE)</f>
        <v>1.637277610144444E-4</v>
      </c>
    </row>
    <row r="18" spans="1:31" ht="14.4" x14ac:dyDescent="0.3">
      <c r="A18" s="25" t="s">
        <v>348</v>
      </c>
      <c r="B18" s="25">
        <f>IFERROR(VLOOKUP(A18,Library!$B$4:$G$69,2,FALSE),"")</f>
        <v>98.085999999999999</v>
      </c>
      <c r="C18" s="26">
        <f>'DSMZ 120 v2'!$M$20*('DSMZ 120 v2'!J22/1000)*('DSMZ 120 v2'!$G$11/'DSMZ 120 v2'!$G$23)</f>
        <v>9.7902000000000006E-3</v>
      </c>
      <c r="D18" s="41" t="s">
        <v>97</v>
      </c>
      <c r="E18" s="26">
        <f t="shared" si="0"/>
        <v>9.981240951817794E-5</v>
      </c>
      <c r="F18" s="25" t="s">
        <v>339</v>
      </c>
      <c r="G18" s="28">
        <v>2</v>
      </c>
      <c r="H18" s="25">
        <f>VLOOKUP(F18,Library!$K$4:$N$36,3,FALSE)</f>
        <v>1</v>
      </c>
      <c r="I18" s="25">
        <f>E18*G18</f>
        <v>1.9962481903635588E-4</v>
      </c>
      <c r="J18" s="178">
        <f>IF(F18="N/A",0,VLOOKUP(F18,Library!$K$4:$M$36,2,FALSE))</f>
        <v>1.0078400000000001</v>
      </c>
      <c r="K18" s="183">
        <f t="shared" si="2"/>
        <v>1.9962481903635588E-4</v>
      </c>
      <c r="L18" s="28">
        <f t="shared" si="3"/>
        <v>2.0118987761760093E-4</v>
      </c>
      <c r="M18" s="25" t="s">
        <v>69</v>
      </c>
      <c r="N18" s="25">
        <v>1</v>
      </c>
      <c r="O18" s="25">
        <f>IFERROR(VLOOKUP(M18,Library!$K$4:$M$36,3,FALSE),"")</f>
        <v>-2</v>
      </c>
      <c r="P18" s="25">
        <f>E18*N18</f>
        <v>9.981240951817794E-5</v>
      </c>
      <c r="Q18" s="25"/>
      <c r="R18" s="25">
        <f>IFERROR(P18*(O18^2),"")</f>
        <v>3.9924963807271176E-4</v>
      </c>
      <c r="S18" s="200"/>
      <c r="T18" s="217">
        <f>VLOOKUP(A18,Library!$B$4:$G$69,3,FALSE)</f>
        <v>0</v>
      </c>
      <c r="U18" s="185">
        <f>VLOOKUP(A18,Library!$B$4:$G$69,4,FALSE)</f>
        <v>0</v>
      </c>
      <c r="V18" s="185">
        <f>VLOOKUP(A18,Library!$B$4:$G$69,5,FALSE)</f>
        <v>0</v>
      </c>
      <c r="W18" s="218">
        <f>VLOOKUP(A18,Library!$B$4:$G$69,6,FALSE)</f>
        <v>1</v>
      </c>
      <c r="X18" s="217">
        <f t="shared" si="11"/>
        <v>0</v>
      </c>
      <c r="Y18" s="185">
        <f t="shared" ref="Y18:Y49" si="12">U18*E18</f>
        <v>0</v>
      </c>
      <c r="Z18" s="185">
        <f t="shared" ref="Z18:Z49" si="13">V18*E18</f>
        <v>0</v>
      </c>
      <c r="AA18" s="218">
        <f t="shared" ref="AA18:AA49" si="14">W18*E18</f>
        <v>9.981240951817794E-5</v>
      </c>
      <c r="AB18" s="217">
        <f>X18*VLOOKUP($AB$7,Library!$T$4:$U$7,2,FALSE)</f>
        <v>0</v>
      </c>
      <c r="AC18" s="185">
        <f>Y18*VLOOKUP($AC$7,Library!$T$4:$U$7,2,FALSE)</f>
        <v>0</v>
      </c>
      <c r="AD18" s="185">
        <f>Z18*VLOOKUP($AD$7,Library!$T$4:$U$7,2,FALSE)</f>
        <v>0</v>
      </c>
      <c r="AE18" s="218">
        <f>AA18*VLOOKUP($AE$7,Library!$T$4:$U$7,2,FALSE)</f>
        <v>3.2009839732479667E-3</v>
      </c>
    </row>
    <row r="19" spans="1:31" ht="14.4" x14ac:dyDescent="0.3">
      <c r="A19" s="20" t="s">
        <v>327</v>
      </c>
      <c r="B19" s="253"/>
      <c r="C19" s="262"/>
      <c r="D19" s="267"/>
      <c r="E19" s="262"/>
      <c r="F19" s="253"/>
      <c r="G19" s="257"/>
      <c r="H19" s="253"/>
      <c r="I19" s="253"/>
      <c r="J19" s="263"/>
      <c r="K19" s="264"/>
      <c r="L19" s="257"/>
      <c r="M19" s="253"/>
      <c r="N19" s="253"/>
      <c r="O19" s="253"/>
      <c r="P19" s="253"/>
      <c r="Q19" s="253"/>
      <c r="R19" s="253"/>
      <c r="S19" s="265"/>
      <c r="T19" s="259"/>
      <c r="U19" s="260"/>
      <c r="V19" s="260"/>
      <c r="W19" s="261"/>
      <c r="X19" s="259">
        <f t="shared" si="11"/>
        <v>0</v>
      </c>
      <c r="Y19" s="260">
        <f t="shared" si="12"/>
        <v>0</v>
      </c>
      <c r="Z19" s="260">
        <f t="shared" si="13"/>
        <v>0</v>
      </c>
      <c r="AA19" s="261">
        <f t="shared" si="14"/>
        <v>0</v>
      </c>
      <c r="AB19" s="259"/>
      <c r="AC19" s="260"/>
      <c r="AD19" s="260"/>
      <c r="AE19" s="261"/>
    </row>
    <row r="20" spans="1:31" ht="14.4" x14ac:dyDescent="0.3">
      <c r="A20" s="25" t="s">
        <v>124</v>
      </c>
      <c r="B20" s="25">
        <f>IFERROR(VLOOKUP(A20,Library!$B$4:$G$69,2,FALSE),"")</f>
        <v>36.46</v>
      </c>
      <c r="C20" s="26">
        <f>'DSMZ 120 v2'!P20*('DSMZ 120 v2'!$M$4/'DSMZ 120 v2'!$M$14)*('DSMZ 120 v2'!$G$12/'DSMZ 120 v2'!$G$23)</f>
        <v>2.9500000000000004E-3</v>
      </c>
      <c r="D20" s="41" t="s">
        <v>97</v>
      </c>
      <c r="E20" s="26">
        <f t="shared" si="0"/>
        <v>8.091058694459683E-5</v>
      </c>
      <c r="F20" s="25" t="s">
        <v>339</v>
      </c>
      <c r="G20" s="28">
        <v>1</v>
      </c>
      <c r="H20" s="25">
        <f>VLOOKUP(F20,Library!$K$4:$N$36,3,FALSE)</f>
        <v>1</v>
      </c>
      <c r="I20" s="25">
        <f t="shared" si="1"/>
        <v>8.091058694459683E-5</v>
      </c>
      <c r="J20" s="178">
        <f>IF(F20="N/A",0,VLOOKUP(F20,Library!$K$4:$M$36,2,FALSE))</f>
        <v>1.0078400000000001</v>
      </c>
      <c r="K20" s="183">
        <f t="shared" si="2"/>
        <v>8.091058694459683E-5</v>
      </c>
      <c r="L20" s="28">
        <f t="shared" si="3"/>
        <v>8.1544925946242482E-5</v>
      </c>
      <c r="M20" s="25" t="s">
        <v>70</v>
      </c>
      <c r="N20" s="25">
        <v>1</v>
      </c>
      <c r="O20" s="25">
        <f>IFERROR(VLOOKUP(M20,Library!$K$4:$M$36,3,FALSE),"")</f>
        <v>-1</v>
      </c>
      <c r="P20" s="25">
        <f t="shared" si="4"/>
        <v>8.091058694459683E-5</v>
      </c>
      <c r="Q20" s="25">
        <f>IFERROR(IF(M20="N/A",0,VLOOKUP(M20,Library!$K$4:$N$36,2,FALSE)),"")</f>
        <v>35.453000000000003</v>
      </c>
      <c r="R20" s="25">
        <f t="shared" si="5"/>
        <v>8.091058694459683E-5</v>
      </c>
      <c r="S20" s="200">
        <f t="shared" si="6"/>
        <v>2.8685230389467915E-3</v>
      </c>
      <c r="T20" s="217">
        <f>VLOOKUP(A20,Library!$B$4:$G$69,3,FALSE)</f>
        <v>0</v>
      </c>
      <c r="U20" s="185">
        <f>VLOOKUP(A20,Library!$B$4:$G$69,4,FALSE)</f>
        <v>0</v>
      </c>
      <c r="V20" s="185">
        <f>VLOOKUP(A20,Library!$B$4:$G$69,5,FALSE)</f>
        <v>0</v>
      </c>
      <c r="W20" s="218">
        <f>VLOOKUP(A20,Library!$B$4:$G$69,6,FALSE)</f>
        <v>0</v>
      </c>
      <c r="X20" s="217">
        <f t="shared" si="11"/>
        <v>0</v>
      </c>
      <c r="Y20" s="185">
        <f t="shared" si="12"/>
        <v>0</v>
      </c>
      <c r="Z20" s="185">
        <f t="shared" si="13"/>
        <v>0</v>
      </c>
      <c r="AA20" s="218">
        <f t="shared" si="14"/>
        <v>0</v>
      </c>
      <c r="AB20" s="217">
        <f>X20*VLOOKUP($AB$7,Library!$T$4:$U$7,2,FALSE)</f>
        <v>0</v>
      </c>
      <c r="AC20" s="185">
        <f>Y20*VLOOKUP($AC$7,Library!$T$4:$U$7,2,FALSE)</f>
        <v>0</v>
      </c>
      <c r="AD20" s="185">
        <f>Z20*VLOOKUP($AD$7,Library!$T$4:$U$7,2,FALSE)</f>
        <v>0</v>
      </c>
      <c r="AE20" s="218">
        <f>AA20*VLOOKUP($AE$7,Library!$T$4:$U$7,2,FALSE)</f>
        <v>0</v>
      </c>
    </row>
    <row r="21" spans="1:31" ht="14.4" x14ac:dyDescent="0.3">
      <c r="A21" s="25" t="s">
        <v>164</v>
      </c>
      <c r="B21" s="25">
        <f>IFERROR(VLOOKUP(A21,Library!$B$4:$G$69,2,FALSE),"")</f>
        <v>198.81</v>
      </c>
      <c r="C21" s="26">
        <f>VLOOKUP(A21,'DSMZ 120 v2'!$L$4:$M$13,2,FALSE)*('DSMZ 120 v2'!$G$12/'DSMZ 120 v2'!$G$23)</f>
        <v>1.5E-3</v>
      </c>
      <c r="D21" s="41" t="s">
        <v>97</v>
      </c>
      <c r="E21" s="26">
        <f t="shared" si="0"/>
        <v>7.5448921080428549E-6</v>
      </c>
      <c r="F21" s="25" t="s">
        <v>80</v>
      </c>
      <c r="G21" s="28">
        <v>1</v>
      </c>
      <c r="H21" s="25">
        <f>VLOOKUP(F21,Library!$K$4:$N$36,3,FALSE)</f>
        <v>2</v>
      </c>
      <c r="I21" s="25">
        <f t="shared" si="1"/>
        <v>7.5448921080428549E-6</v>
      </c>
      <c r="J21" s="178">
        <f>IF(F21="N/A",0,VLOOKUP(F21,Library!$K$4:$M$36,2,FALSE))</f>
        <v>55.844999999999999</v>
      </c>
      <c r="K21" s="183">
        <f t="shared" si="2"/>
        <v>3.017956843217142E-5</v>
      </c>
      <c r="L21" s="28">
        <f t="shared" si="3"/>
        <v>4.2134449977365322E-4</v>
      </c>
      <c r="M21" s="25" t="s">
        <v>70</v>
      </c>
      <c r="N21" s="25">
        <v>2</v>
      </c>
      <c r="O21" s="25">
        <f>IFERROR(VLOOKUP(M21,Library!$K$4:$M$36,3,FALSE),"")</f>
        <v>-1</v>
      </c>
      <c r="P21" s="25">
        <f t="shared" si="4"/>
        <v>1.508978421608571E-5</v>
      </c>
      <c r="Q21" s="25">
        <f>IFERROR(IF(M21="N/A",0,VLOOKUP(M21,Library!$K$4:$N$36,2,FALSE)),"")</f>
        <v>35.453000000000003</v>
      </c>
      <c r="R21" s="25">
        <f t="shared" si="5"/>
        <v>1.508978421608571E-5</v>
      </c>
      <c r="S21" s="200">
        <f t="shared" si="6"/>
        <v>5.3497811981288669E-4</v>
      </c>
      <c r="T21" s="217">
        <f>VLOOKUP(A21,Library!$B$4:$G$69,3,FALSE)</f>
        <v>0</v>
      </c>
      <c r="U21" s="185">
        <f>VLOOKUP(A21,Library!$B$4:$G$69,4,FALSE)</f>
        <v>0</v>
      </c>
      <c r="V21" s="185">
        <f>VLOOKUP(A21,Library!$B$4:$G$69,5,FALSE)</f>
        <v>0</v>
      </c>
      <c r="W21" s="218">
        <f>VLOOKUP(A21,Library!$B$4:$G$69,6,FALSE)</f>
        <v>0</v>
      </c>
      <c r="X21" s="217">
        <f t="shared" si="11"/>
        <v>0</v>
      </c>
      <c r="Y21" s="185">
        <f t="shared" si="12"/>
        <v>0</v>
      </c>
      <c r="Z21" s="185">
        <f t="shared" si="13"/>
        <v>0</v>
      </c>
      <c r="AA21" s="218">
        <f t="shared" si="14"/>
        <v>0</v>
      </c>
      <c r="AB21" s="217">
        <f>X21*VLOOKUP($AB$7,Library!$T$4:$U$7,2,FALSE)</f>
        <v>0</v>
      </c>
      <c r="AC21" s="185">
        <f>Y21*VLOOKUP($AC$7,Library!$T$4:$U$7,2,FALSE)</f>
        <v>0</v>
      </c>
      <c r="AD21" s="185">
        <f>Z21*VLOOKUP($AD$7,Library!$T$4:$U$7,2,FALSE)</f>
        <v>0</v>
      </c>
      <c r="AE21" s="218">
        <f>AA21*VLOOKUP($AE$7,Library!$T$4:$U$7,2,FALSE)</f>
        <v>0</v>
      </c>
    </row>
    <row r="22" spans="1:31" ht="14.4" x14ac:dyDescent="0.3">
      <c r="A22" s="25" t="s">
        <v>168</v>
      </c>
      <c r="B22" s="25">
        <f>IFERROR(VLOOKUP(A22,Library!$B$4:$G$69,2,FALSE),"")</f>
        <v>136.29</v>
      </c>
      <c r="C22" s="26">
        <f>VLOOKUP(A22,'DSMZ 120 v2'!$L$4:$M$13,2,FALSE)*('DSMZ 120 v2'!$G$12/'DSMZ 120 v2'!$G$23)</f>
        <v>7.0000000000000007E-2</v>
      </c>
      <c r="D22" s="41" t="s">
        <v>16</v>
      </c>
      <c r="E22" s="26">
        <f t="shared" si="0"/>
        <v>5.1361068310220855E-7</v>
      </c>
      <c r="F22" s="25" t="s">
        <v>73</v>
      </c>
      <c r="G22" s="28">
        <v>1</v>
      </c>
      <c r="H22" s="25">
        <f>VLOOKUP(F22,Library!$K$4:$N$36,3,FALSE)</f>
        <v>2</v>
      </c>
      <c r="I22" s="25">
        <f t="shared" si="1"/>
        <v>5.1361068310220855E-7</v>
      </c>
      <c r="J22" s="178">
        <f>IF(F22="N/A",0,VLOOKUP(F22,Library!$K$4:$M$36,2,FALSE))</f>
        <v>65.926034000000001</v>
      </c>
      <c r="K22" s="183">
        <f t="shared" si="2"/>
        <v>2.0544427324088342E-6</v>
      </c>
      <c r="L22" s="28">
        <f t="shared" si="3"/>
        <v>3.3860315356959429E-5</v>
      </c>
      <c r="M22" s="25" t="s">
        <v>70</v>
      </c>
      <c r="N22" s="25">
        <v>2</v>
      </c>
      <c r="O22" s="25">
        <f>IFERROR(VLOOKUP(M22,Library!$K$4:$M$36,3,FALSE),"")</f>
        <v>-1</v>
      </c>
      <c r="P22" s="25">
        <f t="shared" si="4"/>
        <v>1.0272213662044171E-6</v>
      </c>
      <c r="Q22" s="25">
        <f>IFERROR(IF(M22="N/A",0,VLOOKUP(M22,Library!$K$4:$N$36,2,FALSE)),"")</f>
        <v>35.453000000000003</v>
      </c>
      <c r="R22" s="25">
        <f t="shared" si="5"/>
        <v>1.0272213662044171E-6</v>
      </c>
      <c r="S22" s="200">
        <f t="shared" si="6"/>
        <v>3.64180790960452E-5</v>
      </c>
      <c r="T22" s="217">
        <f>VLOOKUP(A22,Library!$B$4:$G$69,3,FALSE)</f>
        <v>0</v>
      </c>
      <c r="U22" s="185">
        <f>VLOOKUP(A22,Library!$B$4:$G$69,4,FALSE)</f>
        <v>0</v>
      </c>
      <c r="V22" s="185">
        <f>VLOOKUP(A22,Library!$B$4:$G$69,5,FALSE)</f>
        <v>0</v>
      </c>
      <c r="W22" s="218">
        <f>VLOOKUP(A22,Library!$B$4:$G$69,6,FALSE)</f>
        <v>0</v>
      </c>
      <c r="X22" s="217">
        <f t="shared" si="11"/>
        <v>0</v>
      </c>
      <c r="Y22" s="185">
        <f t="shared" si="12"/>
        <v>0</v>
      </c>
      <c r="Z22" s="185">
        <f t="shared" si="13"/>
        <v>0</v>
      </c>
      <c r="AA22" s="218">
        <f t="shared" si="14"/>
        <v>0</v>
      </c>
      <c r="AB22" s="217">
        <f>X22*VLOOKUP($AB$7,Library!$T$4:$U$7,2,FALSE)</f>
        <v>0</v>
      </c>
      <c r="AC22" s="185">
        <f>Y22*VLOOKUP($AC$7,Library!$T$4:$U$7,2,FALSE)</f>
        <v>0</v>
      </c>
      <c r="AD22" s="185">
        <f>Z22*VLOOKUP($AD$7,Library!$T$4:$U$7,2,FALSE)</f>
        <v>0</v>
      </c>
      <c r="AE22" s="218">
        <f>AA22*VLOOKUP($AE$7,Library!$T$4:$U$7,2,FALSE)</f>
        <v>0</v>
      </c>
    </row>
    <row r="23" spans="1:31" ht="14.4" x14ac:dyDescent="0.3">
      <c r="A23" s="25" t="s">
        <v>163</v>
      </c>
      <c r="B23" s="25">
        <f>IFERROR(VLOOKUP(A23,Library!$B$4:$G$69,2,FALSE),"")</f>
        <v>197.91</v>
      </c>
      <c r="C23" s="26">
        <f>VLOOKUP(A23,'DSMZ 120 v2'!$L$4:$M$13,2,FALSE)*('DSMZ 120 v2'!$G$12/'DSMZ 120 v2'!$G$23)</f>
        <v>0.1</v>
      </c>
      <c r="D23" s="41" t="s">
        <v>16</v>
      </c>
      <c r="E23" s="26">
        <f t="shared" si="0"/>
        <v>5.0528017785862262E-7</v>
      </c>
      <c r="F23" s="25" t="s">
        <v>74</v>
      </c>
      <c r="G23" s="28">
        <v>1</v>
      </c>
      <c r="H23" s="25">
        <f>VLOOKUP(F23,Library!$K$4:$N$36,3,FALSE)</f>
        <v>2</v>
      </c>
      <c r="I23" s="25">
        <f t="shared" si="1"/>
        <v>5.0528017785862262E-7</v>
      </c>
      <c r="J23" s="178">
        <f>IF(F23="N/A",0,VLOOKUP(F23,Library!$K$4:$M$36,2,FALSE))</f>
        <v>54.94</v>
      </c>
      <c r="K23" s="183">
        <f t="shared" si="2"/>
        <v>2.0211207114344905E-6</v>
      </c>
      <c r="L23" s="28">
        <f t="shared" si="3"/>
        <v>2.7760092971552727E-5</v>
      </c>
      <c r="M23" s="25" t="s">
        <v>70</v>
      </c>
      <c r="N23" s="25">
        <v>2</v>
      </c>
      <c r="O23" s="25">
        <f>IFERROR(VLOOKUP(M23,Library!$K$4:$M$36,3,FALSE),"")</f>
        <v>-1</v>
      </c>
      <c r="P23" s="25">
        <f t="shared" si="4"/>
        <v>1.0105603557172452E-6</v>
      </c>
      <c r="Q23" s="25">
        <f>IFERROR(IF(M23="N/A",0,VLOOKUP(M23,Library!$K$4:$N$36,2,FALSE)),"")</f>
        <v>35.453000000000003</v>
      </c>
      <c r="R23" s="25">
        <f t="shared" si="5"/>
        <v>1.0105603557172452E-6</v>
      </c>
      <c r="S23" s="200">
        <f t="shared" si="6"/>
        <v>3.5827396291243501E-5</v>
      </c>
      <c r="T23" s="217">
        <f>VLOOKUP(A23,Library!$B$4:$G$69,3,FALSE)</f>
        <v>0</v>
      </c>
      <c r="U23" s="185">
        <f>VLOOKUP(A23,Library!$B$4:$G$69,4,FALSE)</f>
        <v>0</v>
      </c>
      <c r="V23" s="185">
        <f>VLOOKUP(A23,Library!$B$4:$G$69,5,FALSE)</f>
        <v>0</v>
      </c>
      <c r="W23" s="218">
        <f>VLOOKUP(A23,Library!$B$4:$G$69,6,FALSE)</f>
        <v>0</v>
      </c>
      <c r="X23" s="217">
        <f t="shared" si="11"/>
        <v>0</v>
      </c>
      <c r="Y23" s="185">
        <f t="shared" si="12"/>
        <v>0</v>
      </c>
      <c r="Z23" s="185">
        <f t="shared" si="13"/>
        <v>0</v>
      </c>
      <c r="AA23" s="218">
        <f t="shared" si="14"/>
        <v>0</v>
      </c>
      <c r="AB23" s="217">
        <f>X23*VLOOKUP($AB$7,Library!$T$4:$U$7,2,FALSE)</f>
        <v>0</v>
      </c>
      <c r="AC23" s="185">
        <f>Y23*VLOOKUP($AC$7,Library!$T$4:$U$7,2,FALSE)</f>
        <v>0</v>
      </c>
      <c r="AD23" s="185">
        <f>Z23*VLOOKUP($AD$7,Library!$T$4:$U$7,2,FALSE)</f>
        <v>0</v>
      </c>
      <c r="AE23" s="218">
        <f>AA23*VLOOKUP($AE$7,Library!$T$4:$U$7,2,FALSE)</f>
        <v>0</v>
      </c>
    </row>
    <row r="24" spans="1:31" ht="14.4" x14ac:dyDescent="0.3">
      <c r="A24" s="25" t="s">
        <v>31</v>
      </c>
      <c r="B24" s="25">
        <f>IFERROR(VLOOKUP(A24,Library!$B$4:$G$69,2,FALSE),"")</f>
        <v>61.83</v>
      </c>
      <c r="C24" s="26">
        <f>VLOOKUP(A24,'DSMZ 120 v2'!$L$4:$M$13,2,FALSE)*('DSMZ 120 v2'!$G$12/'DSMZ 120 v2'!$G$23)</f>
        <v>6.0000000000000001E-3</v>
      </c>
      <c r="D24" s="41" t="s">
        <v>16</v>
      </c>
      <c r="E24" s="26">
        <f t="shared" si="0"/>
        <v>9.7040271712760799E-8</v>
      </c>
      <c r="F24" s="25" t="s">
        <v>339</v>
      </c>
      <c r="G24" s="28">
        <v>3</v>
      </c>
      <c r="H24" s="25">
        <f>VLOOKUP(F24,Library!$K$4:$N$36,3,FALSE)</f>
        <v>1</v>
      </c>
      <c r="I24" s="25">
        <f t="shared" si="1"/>
        <v>2.9112081513828238E-7</v>
      </c>
      <c r="J24" s="178">
        <f>IF(F24="N/A",0,VLOOKUP(F24,Library!$K$4:$M$36,2,FALSE))</f>
        <v>1.0078400000000001</v>
      </c>
      <c r="K24" s="183">
        <f t="shared" si="2"/>
        <v>2.9112081513828238E-7</v>
      </c>
      <c r="L24" s="28">
        <f t="shared" si="3"/>
        <v>2.9340320232896652E-7</v>
      </c>
      <c r="M24" s="25" t="s">
        <v>113</v>
      </c>
      <c r="N24" s="25">
        <v>1</v>
      </c>
      <c r="O24" s="25">
        <f>IFERROR(VLOOKUP(M24,Library!$K$4:$M$36,3,FALSE),"")</f>
        <v>-3</v>
      </c>
      <c r="P24" s="25">
        <f t="shared" si="4"/>
        <v>9.7040271712760799E-8</v>
      </c>
      <c r="Q24" s="25">
        <f>IFERROR(IF(M24="N/A",0,VLOOKUP(M24,Library!$K$4:$N$36,2,FALSE)),"")</f>
        <v>58.81</v>
      </c>
      <c r="R24" s="25">
        <f t="shared" si="5"/>
        <v>8.7336244541484721E-7</v>
      </c>
      <c r="S24" s="200">
        <f t="shared" si="6"/>
        <v>5.7069383794274627E-6</v>
      </c>
      <c r="T24" s="217">
        <f>VLOOKUP(A24,Library!$B$4:$G$69,3,FALSE)</f>
        <v>0</v>
      </c>
      <c r="U24" s="185">
        <f>VLOOKUP(A24,Library!$B$4:$G$69,4,FALSE)</f>
        <v>0</v>
      </c>
      <c r="V24" s="185">
        <f>VLOOKUP(A24,Library!$B$4:$G$69,5,FALSE)</f>
        <v>0</v>
      </c>
      <c r="W24" s="218">
        <f>VLOOKUP(A24,Library!$B$4:$G$69,6,FALSE)</f>
        <v>0</v>
      </c>
      <c r="X24" s="217">
        <f t="shared" si="11"/>
        <v>0</v>
      </c>
      <c r="Y24" s="185">
        <f t="shared" si="12"/>
        <v>0</v>
      </c>
      <c r="Z24" s="185">
        <f t="shared" si="13"/>
        <v>0</v>
      </c>
      <c r="AA24" s="218">
        <f t="shared" si="14"/>
        <v>0</v>
      </c>
      <c r="AB24" s="217">
        <f>X24*VLOOKUP($AB$7,Library!$T$4:$U$7,2,FALSE)</f>
        <v>0</v>
      </c>
      <c r="AC24" s="185">
        <f>Y24*VLOOKUP($AC$7,Library!$T$4:$U$7,2,FALSE)</f>
        <v>0</v>
      </c>
      <c r="AD24" s="185">
        <f>Z24*VLOOKUP($AD$7,Library!$T$4:$U$7,2,FALSE)</f>
        <v>0</v>
      </c>
      <c r="AE24" s="218">
        <f>AA24*VLOOKUP($AE$7,Library!$T$4:$U$7,2,FALSE)</f>
        <v>0</v>
      </c>
    </row>
    <row r="25" spans="1:31" ht="14.4" x14ac:dyDescent="0.3">
      <c r="A25" s="25" t="s">
        <v>35</v>
      </c>
      <c r="B25" s="25">
        <f>IFERROR(VLOOKUP(A25,Library!$B$4:$G$69,2,FALSE),"")</f>
        <v>237.93</v>
      </c>
      <c r="C25" s="26">
        <f>VLOOKUP(A25,'DSMZ 120 v2'!$L$4:$M$13,2,FALSE)*('DSMZ 120 v2'!$G$12/'DSMZ 120 v2'!$G$23)</f>
        <v>0.19</v>
      </c>
      <c r="D25" s="41" t="s">
        <v>16</v>
      </c>
      <c r="E25" s="26">
        <f t="shared" si="0"/>
        <v>7.9855419661244901E-7</v>
      </c>
      <c r="F25" s="25" t="s">
        <v>75</v>
      </c>
      <c r="G25" s="28">
        <v>1</v>
      </c>
      <c r="H25" s="25">
        <f>VLOOKUP(F25,Library!$K$4:$N$36,3,FALSE)</f>
        <v>2</v>
      </c>
      <c r="I25" s="25">
        <f t="shared" si="1"/>
        <v>7.9855419661244901E-7</v>
      </c>
      <c r="J25" s="178">
        <f>IF(F25="N/A",0,VLOOKUP(F25,Library!$K$4:$M$36,2,FALSE))</f>
        <v>58.933190000000003</v>
      </c>
      <c r="K25" s="183">
        <f t="shared" si="2"/>
        <v>3.1942167864497961E-6</v>
      </c>
      <c r="L25" s="28">
        <f t="shared" si="3"/>
        <v>4.7061346194258816E-5</v>
      </c>
      <c r="M25" s="25" t="s">
        <v>70</v>
      </c>
      <c r="N25" s="25">
        <v>2</v>
      </c>
      <c r="O25" s="25">
        <f>IFERROR(VLOOKUP(M25,Library!$K$4:$M$36,3,FALSE),"")</f>
        <v>-1</v>
      </c>
      <c r="P25" s="25">
        <f t="shared" si="4"/>
        <v>1.597108393224898E-6</v>
      </c>
      <c r="Q25" s="25">
        <f>IFERROR(IF(M25="N/A",0,VLOOKUP(M25,Library!$K$4:$N$36,2,FALSE)),"")</f>
        <v>35.453000000000003</v>
      </c>
      <c r="R25" s="25">
        <f t="shared" si="5"/>
        <v>1.597108393224898E-6</v>
      </c>
      <c r="S25" s="200">
        <f t="shared" si="6"/>
        <v>5.6622283865002313E-5</v>
      </c>
      <c r="T25" s="217">
        <f>VLOOKUP(A25,Library!$B$4:$G$69,3,FALSE)</f>
        <v>0</v>
      </c>
      <c r="U25" s="185">
        <f>VLOOKUP(A25,Library!$B$4:$G$69,4,FALSE)</f>
        <v>0</v>
      </c>
      <c r="V25" s="185">
        <f>VLOOKUP(A25,Library!$B$4:$G$69,5,FALSE)</f>
        <v>0</v>
      </c>
      <c r="W25" s="218">
        <f>VLOOKUP(A25,Library!$B$4:$G$69,6,FALSE)</f>
        <v>0</v>
      </c>
      <c r="X25" s="217">
        <f t="shared" si="11"/>
        <v>0</v>
      </c>
      <c r="Y25" s="185">
        <f t="shared" si="12"/>
        <v>0</v>
      </c>
      <c r="Z25" s="185">
        <f t="shared" si="13"/>
        <v>0</v>
      </c>
      <c r="AA25" s="218">
        <f t="shared" si="14"/>
        <v>0</v>
      </c>
      <c r="AB25" s="217">
        <f>X25*VLOOKUP($AB$7,Library!$T$4:$U$7,2,FALSE)</f>
        <v>0</v>
      </c>
      <c r="AC25" s="185">
        <f>Y25*VLOOKUP($AC$7,Library!$T$4:$U$7,2,FALSE)</f>
        <v>0</v>
      </c>
      <c r="AD25" s="185">
        <f>Z25*VLOOKUP($AD$7,Library!$T$4:$U$7,2,FALSE)</f>
        <v>0</v>
      </c>
      <c r="AE25" s="218">
        <f>AA25*VLOOKUP($AE$7,Library!$T$4:$U$7,2,FALSE)</f>
        <v>0</v>
      </c>
    </row>
    <row r="26" spans="1:31" ht="14.4" x14ac:dyDescent="0.3">
      <c r="A26" s="25" t="s">
        <v>179</v>
      </c>
      <c r="B26" s="25">
        <f>IFERROR(VLOOKUP(A26,Library!$B$4:$G$69,2,FALSE),"")</f>
        <v>170.48</v>
      </c>
      <c r="C26" s="26">
        <f>VLOOKUP(A26,'DSMZ 120 v2'!$L$4:$M$13,2,FALSE)*('DSMZ 120 v2'!$G$12/'DSMZ 120 v2'!$G$23)</f>
        <v>2E-3</v>
      </c>
      <c r="D26" s="41" t="s">
        <v>16</v>
      </c>
      <c r="E26" s="26">
        <f t="shared" si="0"/>
        <v>1.1731581417175035E-8</v>
      </c>
      <c r="F26" s="25" t="s">
        <v>81</v>
      </c>
      <c r="G26" s="28">
        <v>1</v>
      </c>
      <c r="H26" s="25">
        <f>VLOOKUP(F26,Library!$K$4:$N$36,3,FALSE)</f>
        <v>2</v>
      </c>
      <c r="I26" s="25">
        <f t="shared" si="1"/>
        <v>1.1731581417175035E-8</v>
      </c>
      <c r="J26" s="178">
        <f>IF(F26="N/A",0,VLOOKUP(F26,Library!$K$4:$M$36,2,FALSE))</f>
        <v>187.56</v>
      </c>
      <c r="K26" s="183">
        <f t="shared" si="2"/>
        <v>4.692632566870014E-8</v>
      </c>
      <c r="L26" s="28">
        <f t="shared" si="3"/>
        <v>2.2003754106053496E-6</v>
      </c>
      <c r="M26" s="25" t="s">
        <v>70</v>
      </c>
      <c r="N26" s="25">
        <v>2</v>
      </c>
      <c r="O26" s="25">
        <f>IFERROR(VLOOKUP(M26,Library!$K$4:$M$36,3,FALSE),"")</f>
        <v>-1</v>
      </c>
      <c r="P26" s="25">
        <f t="shared" si="4"/>
        <v>2.346316283435007E-8</v>
      </c>
      <c r="Q26" s="25">
        <f>IFERROR(IF(M26="N/A",0,VLOOKUP(M26,Library!$K$4:$N$36,2,FALSE)),"")</f>
        <v>35.453000000000003</v>
      </c>
      <c r="R26" s="25">
        <f t="shared" si="5"/>
        <v>2.346316283435007E-8</v>
      </c>
      <c r="S26" s="200">
        <f t="shared" si="6"/>
        <v>8.3183951196621312E-7</v>
      </c>
      <c r="T26" s="217">
        <f>VLOOKUP(A26,Library!$B$4:$G$69,3,FALSE)</f>
        <v>0</v>
      </c>
      <c r="U26" s="185">
        <f>VLOOKUP(A26,Library!$B$4:$G$69,4,FALSE)</f>
        <v>0</v>
      </c>
      <c r="V26" s="185">
        <f>VLOOKUP(A26,Library!$B$4:$G$69,5,FALSE)</f>
        <v>0</v>
      </c>
      <c r="W26" s="218">
        <f>VLOOKUP(A26,Library!$B$4:$G$69,6,FALSE)</f>
        <v>0</v>
      </c>
      <c r="X26" s="217">
        <f t="shared" si="11"/>
        <v>0</v>
      </c>
      <c r="Y26" s="185">
        <f t="shared" si="12"/>
        <v>0</v>
      </c>
      <c r="Z26" s="185">
        <f t="shared" si="13"/>
        <v>0</v>
      </c>
      <c r="AA26" s="218">
        <f t="shared" si="14"/>
        <v>0</v>
      </c>
      <c r="AB26" s="217">
        <f>X26*VLOOKUP($AB$7,Library!$T$4:$U$7,2,FALSE)</f>
        <v>0</v>
      </c>
      <c r="AC26" s="185">
        <f>Y26*VLOOKUP($AC$7,Library!$T$4:$U$7,2,FALSE)</f>
        <v>0</v>
      </c>
      <c r="AD26" s="185">
        <f>Z26*VLOOKUP($AD$7,Library!$T$4:$U$7,2,FALSE)</f>
        <v>0</v>
      </c>
      <c r="AE26" s="218">
        <f>AA26*VLOOKUP($AE$7,Library!$T$4:$U$7,2,FALSE)</f>
        <v>0</v>
      </c>
    </row>
    <row r="27" spans="1:31" ht="14.4" x14ac:dyDescent="0.3">
      <c r="A27" s="25" t="s">
        <v>43</v>
      </c>
      <c r="B27" s="25">
        <f>IFERROR(VLOOKUP(A27,Library!$B$4:$G$69,2,FALSE),"")</f>
        <v>237.69</v>
      </c>
      <c r="C27" s="26">
        <f>VLOOKUP(A27,'DSMZ 120 v2'!$L$4:$M$13,2,FALSE)*('DSMZ 120 v2'!$G$12/'DSMZ 120 v2'!$G$23)</f>
        <v>2.4E-2</v>
      </c>
      <c r="D27" s="41" t="s">
        <v>16</v>
      </c>
      <c r="E27" s="26">
        <f t="shared" si="0"/>
        <v>1.0097185409567084E-7</v>
      </c>
      <c r="F27" s="25" t="s">
        <v>72</v>
      </c>
      <c r="G27" s="28">
        <v>1</v>
      </c>
      <c r="H27" s="25">
        <f>VLOOKUP(F27,Library!$K$4:$N$36,3,FALSE)</f>
        <v>2</v>
      </c>
      <c r="I27" s="25">
        <f t="shared" si="1"/>
        <v>1.0097185409567084E-7</v>
      </c>
      <c r="J27" s="178">
        <f>IF(F27="N/A",0,VLOOKUP(F27,Library!$K$4:$M$36,2,FALSE))</f>
        <v>58.692999999999998</v>
      </c>
      <c r="K27" s="183">
        <f t="shared" si="2"/>
        <v>4.0388741638268334E-7</v>
      </c>
      <c r="L27" s="28">
        <f t="shared" si="3"/>
        <v>5.926341032437208E-6</v>
      </c>
      <c r="M27" s="25" t="s">
        <v>70</v>
      </c>
      <c r="N27" s="25">
        <v>2</v>
      </c>
      <c r="O27" s="25">
        <f>IFERROR(VLOOKUP(M27,Library!$K$4:$M$36,3,FALSE),"")</f>
        <v>-1</v>
      </c>
      <c r="P27" s="25">
        <f t="shared" si="4"/>
        <v>2.0194370819134167E-7</v>
      </c>
      <c r="Q27" s="25">
        <f>IFERROR(IF(M27="N/A",0,VLOOKUP(M27,Library!$K$4:$N$36,2,FALSE)),"")</f>
        <v>35.453000000000003</v>
      </c>
      <c r="R27" s="25">
        <f t="shared" si="5"/>
        <v>2.0194370819134167E-7</v>
      </c>
      <c r="S27" s="200">
        <f t="shared" si="6"/>
        <v>7.1595102865076371E-6</v>
      </c>
      <c r="T27" s="217">
        <f>VLOOKUP(A27,Library!$B$4:$G$69,3,FALSE)</f>
        <v>0</v>
      </c>
      <c r="U27" s="185">
        <f>VLOOKUP(A27,Library!$B$4:$G$69,4,FALSE)</f>
        <v>0</v>
      </c>
      <c r="V27" s="185">
        <f>VLOOKUP(A27,Library!$B$4:$G$69,5,FALSE)</f>
        <v>0</v>
      </c>
      <c r="W27" s="218">
        <f>VLOOKUP(A27,Library!$B$4:$G$69,6,FALSE)</f>
        <v>0</v>
      </c>
      <c r="X27" s="217">
        <f t="shared" si="11"/>
        <v>0</v>
      </c>
      <c r="Y27" s="185">
        <f t="shared" si="12"/>
        <v>0</v>
      </c>
      <c r="Z27" s="185">
        <f t="shared" si="13"/>
        <v>0</v>
      </c>
      <c r="AA27" s="218">
        <f t="shared" si="14"/>
        <v>0</v>
      </c>
      <c r="AB27" s="217">
        <f>X27*VLOOKUP($AB$7,Library!$T$4:$U$7,2,FALSE)</f>
        <v>0</v>
      </c>
      <c r="AC27" s="185">
        <f>Y27*VLOOKUP($AC$7,Library!$T$4:$U$7,2,FALSE)</f>
        <v>0</v>
      </c>
      <c r="AD27" s="185">
        <f>Z27*VLOOKUP($AD$7,Library!$T$4:$U$7,2,FALSE)</f>
        <v>0</v>
      </c>
      <c r="AE27" s="218">
        <f>AA27*VLOOKUP($AE$7,Library!$T$4:$U$7,2,FALSE)</f>
        <v>0</v>
      </c>
    </row>
    <row r="28" spans="1:31" ht="14.4" x14ac:dyDescent="0.3">
      <c r="A28" s="25" t="s">
        <v>50</v>
      </c>
      <c r="B28" s="25">
        <f>IFERROR(VLOOKUP(A28,Library!$B$4:$G$69,2,FALSE),"")</f>
        <v>241.95</v>
      </c>
      <c r="C28" s="26">
        <f>VLOOKUP(A28,'DSMZ 120 v2'!$L$4:$M$13,2,FALSE)*('DSMZ 120 v2'!$G$12/'DSMZ 120 v2'!$G$23)</f>
        <v>3.6000000000000004E-2</v>
      </c>
      <c r="D28" s="41" t="s">
        <v>16</v>
      </c>
      <c r="E28" s="26">
        <f t="shared" si="0"/>
        <v>1.4879107253564788E-7</v>
      </c>
      <c r="F28" s="25" t="s">
        <v>63</v>
      </c>
      <c r="G28" s="28">
        <v>2</v>
      </c>
      <c r="H28" s="25">
        <f>VLOOKUP(F28,Library!$K$4:$N$36,3,FALSE)</f>
        <v>1</v>
      </c>
      <c r="I28" s="25">
        <f t="shared" si="1"/>
        <v>2.9758214507129576E-7</v>
      </c>
      <c r="J28" s="178">
        <f>IF(F28="N/A",0,VLOOKUP(F28,Library!$K$4:$M$36,2,FALSE))</f>
        <v>28.989768999999999</v>
      </c>
      <c r="K28" s="183">
        <f t="shared" si="2"/>
        <v>2.9758214507129576E-7</v>
      </c>
      <c r="L28" s="28">
        <f t="shared" si="3"/>
        <v>8.6268376441413528E-6</v>
      </c>
      <c r="M28" s="25" t="s">
        <v>76</v>
      </c>
      <c r="N28" s="25">
        <v>1</v>
      </c>
      <c r="O28" s="25">
        <f>IFERROR(VLOOKUP(M28,Library!$K$4:$M$36,3,FALSE),"")</f>
        <v>-2</v>
      </c>
      <c r="P28" s="25">
        <f t="shared" si="4"/>
        <v>1.4879107253564788E-7</v>
      </c>
      <c r="Q28" s="25">
        <f>IFERROR(IF(M28="N/A",0,VLOOKUP(M28,Library!$K$4:$N$36,2,FALSE)),"")</f>
        <v>159.94999999999999</v>
      </c>
      <c r="R28" s="25">
        <f t="shared" si="5"/>
        <v>5.9516429014259153E-7</v>
      </c>
      <c r="S28" s="200">
        <f t="shared" si="6"/>
        <v>2.3799132052076878E-5</v>
      </c>
      <c r="T28" s="217">
        <f>VLOOKUP(A28,Library!$B$4:$G$69,3,FALSE)</f>
        <v>0</v>
      </c>
      <c r="U28" s="185">
        <f>VLOOKUP(A28,Library!$B$4:$G$69,4,FALSE)</f>
        <v>0</v>
      </c>
      <c r="V28" s="185">
        <f>VLOOKUP(A28,Library!$B$4:$G$69,5,FALSE)</f>
        <v>0</v>
      </c>
      <c r="W28" s="218">
        <f>VLOOKUP(A28,Library!$B$4:$G$69,6,FALSE)</f>
        <v>0</v>
      </c>
      <c r="X28" s="217">
        <f t="shared" si="11"/>
        <v>0</v>
      </c>
      <c r="Y28" s="185">
        <f t="shared" si="12"/>
        <v>0</v>
      </c>
      <c r="Z28" s="185">
        <f t="shared" si="13"/>
        <v>0</v>
      </c>
      <c r="AA28" s="218">
        <f t="shared" si="14"/>
        <v>0</v>
      </c>
      <c r="AB28" s="217">
        <f>X28*VLOOKUP($AB$7,Library!$T$4:$U$7,2,FALSE)</f>
        <v>0</v>
      </c>
      <c r="AC28" s="185">
        <f>Y28*VLOOKUP($AC$7,Library!$T$4:$U$7,2,FALSE)</f>
        <v>0</v>
      </c>
      <c r="AD28" s="185">
        <f>Z28*VLOOKUP($AD$7,Library!$T$4:$U$7,2,FALSE)</f>
        <v>0</v>
      </c>
      <c r="AE28" s="218">
        <f>AA28*VLOOKUP($AE$7,Library!$T$4:$U$7,2,FALSE)</f>
        <v>0</v>
      </c>
    </row>
    <row r="29" spans="1:31" ht="14.4" x14ac:dyDescent="0.3">
      <c r="A29" s="20" t="s">
        <v>346</v>
      </c>
      <c r="B29" s="253"/>
      <c r="C29" s="262"/>
      <c r="D29" s="262"/>
      <c r="E29" s="262"/>
      <c r="F29" s="253"/>
      <c r="G29" s="257"/>
      <c r="H29" s="253"/>
      <c r="I29" s="253"/>
      <c r="J29" s="263"/>
      <c r="K29" s="264"/>
      <c r="L29" s="257"/>
      <c r="M29" s="253"/>
      <c r="N29" s="253"/>
      <c r="O29" s="253"/>
      <c r="P29" s="253"/>
      <c r="Q29" s="253"/>
      <c r="R29" s="253"/>
      <c r="S29" s="265"/>
      <c r="T29" s="259"/>
      <c r="U29" s="260"/>
      <c r="V29" s="260"/>
      <c r="W29" s="261"/>
      <c r="X29" s="259"/>
      <c r="Y29" s="260"/>
      <c r="Z29" s="260"/>
      <c r="AA29" s="261"/>
      <c r="AB29" s="259"/>
      <c r="AC29" s="260"/>
      <c r="AD29" s="260"/>
      <c r="AE29" s="261"/>
    </row>
    <row r="30" spans="1:31" ht="14.4" x14ac:dyDescent="0.3">
      <c r="A30" s="70" t="s">
        <v>195</v>
      </c>
      <c r="B30" s="25">
        <f>IFERROR(VLOOKUP(A30,Library!$B$4:$G$69,2,FALSE),"")</f>
        <v>175.63</v>
      </c>
      <c r="C30" s="26">
        <f>VLOOKUP(A30,'DSMZ 120 v2'!$F$5:$G$22,2,FALSE)*1000/'DSMZ 120 v2'!$G$23</f>
        <v>0.3</v>
      </c>
      <c r="D30" s="26" t="s">
        <v>97</v>
      </c>
      <c r="E30" s="26">
        <f t="shared" si="0"/>
        <v>1.7081364231623299E-3</v>
      </c>
      <c r="F30" s="25" t="s">
        <v>339</v>
      </c>
      <c r="G30" s="28">
        <v>1</v>
      </c>
      <c r="H30" s="25">
        <f>VLOOKUP(F30,Library!$K$4:$N$36,3,FALSE)</f>
        <v>1</v>
      </c>
      <c r="I30" s="25">
        <f t="shared" si="1"/>
        <v>1.7081364231623299E-3</v>
      </c>
      <c r="J30" s="178">
        <f>IF(F30="N/A",0,VLOOKUP(F30,Library!$K$4:$M$36,2,FALSE))</f>
        <v>1.0078400000000001</v>
      </c>
      <c r="K30" s="183">
        <f t="shared" si="2"/>
        <v>1.7081364231623299E-3</v>
      </c>
      <c r="L30" s="28">
        <f t="shared" si="3"/>
        <v>1.7215282127199228E-3</v>
      </c>
      <c r="M30" s="25" t="s">
        <v>70</v>
      </c>
      <c r="N30" s="25">
        <v>1</v>
      </c>
      <c r="O30" s="25">
        <f>IFERROR(VLOOKUP(M30,Library!$K$4:$M$36,3,FALSE),"")</f>
        <v>-1</v>
      </c>
      <c r="P30" s="25">
        <f t="shared" si="4"/>
        <v>1.7081364231623299E-3</v>
      </c>
      <c r="Q30" s="25">
        <f>IFERROR(IF(M30="N/A",0,VLOOKUP(M30,Library!$K$4:$N$36,2,FALSE)),"")</f>
        <v>35.453000000000003</v>
      </c>
      <c r="R30" s="25">
        <f t="shared" si="5"/>
        <v>1.7081364231623299E-3</v>
      </c>
      <c r="S30" s="200">
        <f t="shared" si="6"/>
        <v>6.0558560610374089E-2</v>
      </c>
      <c r="T30" s="217">
        <f>VLOOKUP(A30,Library!$B$4:$G$69,3,FALSE)</f>
        <v>3</v>
      </c>
      <c r="U30" s="185">
        <f>VLOOKUP(A30,Library!$B$4:$G$69,4,FALSE)</f>
        <v>1</v>
      </c>
      <c r="V30" s="185">
        <f>VLOOKUP(A30,Library!$B$4:$G$69,5,FALSE)</f>
        <v>0</v>
      </c>
      <c r="W30" s="218">
        <f>VLOOKUP(A30,Library!$B$4:$G$69,6,FALSE)</f>
        <v>1</v>
      </c>
      <c r="X30" s="217">
        <f t="shared" si="11"/>
        <v>5.1244092694869899E-3</v>
      </c>
      <c r="Y30" s="185">
        <f t="shared" si="12"/>
        <v>1.7081364231623299E-3</v>
      </c>
      <c r="Z30" s="185">
        <f t="shared" si="13"/>
        <v>0</v>
      </c>
      <c r="AA30" s="218">
        <f t="shared" si="14"/>
        <v>1.7081364231623299E-3</v>
      </c>
      <c r="AB30" s="217">
        <f>X30*VLOOKUP($AB$7,Library!$T$4:$U$7,2,FALSE)</f>
        <v>6.1544155326538751E-2</v>
      </c>
      <c r="AC30" s="185">
        <f>Y30*VLOOKUP($AC$7,Library!$T$4:$U$7,2,FALSE)</f>
        <v>2.393099128850424E-2</v>
      </c>
      <c r="AD30" s="185">
        <f>Z30*VLOOKUP($AD$7,Library!$T$4:$U$7,2,FALSE)</f>
        <v>0</v>
      </c>
      <c r="AE30" s="218">
        <f>AA30*VLOOKUP($AE$7,Library!$T$4:$U$7,2,FALSE)</f>
        <v>5.4779935090815919E-2</v>
      </c>
    </row>
    <row r="31" spans="1:31" ht="14.4" x14ac:dyDescent="0.3">
      <c r="A31" s="70" t="s">
        <v>298</v>
      </c>
      <c r="B31" s="25">
        <f>IFERROR(VLOOKUP(A31,Library!$B$4:$G$69,2,FALSE),"")</f>
        <v>240.18</v>
      </c>
      <c r="C31" s="26">
        <f>VLOOKUP(A31,'DSMZ 120 v2'!$F$5:$G$22,2,FALSE)*1000/'DSMZ 120 v2'!$G$23</f>
        <v>0.3</v>
      </c>
      <c r="D31" s="26" t="s">
        <v>97</v>
      </c>
      <c r="E31" s="26">
        <f t="shared" si="0"/>
        <v>1.2490632025980513E-3</v>
      </c>
      <c r="F31" s="25" t="s">
        <v>63</v>
      </c>
      <c r="G31" s="28">
        <v>2</v>
      </c>
      <c r="H31" s="25">
        <f>VLOOKUP(F31,Library!$K$4:$N$36,3,FALSE)</f>
        <v>1</v>
      </c>
      <c r="I31" s="25">
        <f t="shared" si="1"/>
        <v>2.4981264051961026E-3</v>
      </c>
      <c r="J31" s="178">
        <f>IF(F31="N/A",0,VLOOKUP(F31,Library!$K$4:$M$36,2,FALSE))</f>
        <v>28.989768999999999</v>
      </c>
      <c r="K31" s="183">
        <f t="shared" si="2"/>
        <v>2.4981264051961026E-3</v>
      </c>
      <c r="L31" s="28">
        <f t="shared" si="3"/>
        <v>7.2420107419435414E-2</v>
      </c>
      <c r="M31" s="25" t="s">
        <v>84</v>
      </c>
      <c r="N31" s="25">
        <v>1</v>
      </c>
      <c r="O31" s="25">
        <f>IFERROR(VLOOKUP(M31,Library!$K$4:$M$36,3,FALSE),"")</f>
        <v>-2</v>
      </c>
      <c r="P31" s="25">
        <f t="shared" si="4"/>
        <v>1.2490632025980513E-3</v>
      </c>
      <c r="Q31" s="25">
        <f>IFERROR(IF(M31="N/A",0,VLOOKUP(M31,Library!$K$4:$N$36,2,FALSE)),"")</f>
        <v>32.064999999999998</v>
      </c>
      <c r="R31" s="25">
        <f t="shared" si="5"/>
        <v>4.9962528103922052E-3</v>
      </c>
      <c r="S31" s="200">
        <f t="shared" si="6"/>
        <v>4.0051211591306514E-2</v>
      </c>
      <c r="T31" s="217">
        <f>VLOOKUP(A31,Library!$B$4:$G$69,3,FALSE)</f>
        <v>0</v>
      </c>
      <c r="U31" s="185">
        <f>VLOOKUP(A31,Library!$B$4:$G$69,4,FALSE)</f>
        <v>0</v>
      </c>
      <c r="V31" s="185">
        <f>VLOOKUP(A31,Library!$B$4:$G$69,5,FALSE)</f>
        <v>0</v>
      </c>
      <c r="W31" s="218">
        <f>VLOOKUP(A31,Library!$B$4:$G$69,6,FALSE)</f>
        <v>1</v>
      </c>
      <c r="X31" s="217">
        <f t="shared" si="11"/>
        <v>0</v>
      </c>
      <c r="Y31" s="185">
        <f t="shared" si="12"/>
        <v>0</v>
      </c>
      <c r="Z31" s="185">
        <f t="shared" si="13"/>
        <v>0</v>
      </c>
      <c r="AA31" s="218">
        <f t="shared" si="14"/>
        <v>1.2490632025980513E-3</v>
      </c>
      <c r="AB31" s="217">
        <f>X31*VLOOKUP($AB$7,Library!$T$4:$U$7,2,FALSE)</f>
        <v>0</v>
      </c>
      <c r="AC31" s="185">
        <f>Y31*VLOOKUP($AC$7,Library!$T$4:$U$7,2,FALSE)</f>
        <v>0</v>
      </c>
      <c r="AD31" s="185">
        <f>Z31*VLOOKUP($AD$7,Library!$T$4:$U$7,2,FALSE)</f>
        <v>0</v>
      </c>
      <c r="AE31" s="218">
        <f>AA31*VLOOKUP($AE$7,Library!$T$4:$U$7,2,FALSE)</f>
        <v>4.0057456907319502E-2</v>
      </c>
    </row>
    <row r="32" spans="1:31" ht="14.4" x14ac:dyDescent="0.3">
      <c r="A32" s="20" t="s">
        <v>344</v>
      </c>
      <c r="B32" s="253"/>
      <c r="C32" s="262"/>
      <c r="D32" s="262"/>
      <c r="E32" s="262"/>
      <c r="F32" s="253"/>
      <c r="G32" s="257"/>
      <c r="H32" s="253"/>
      <c r="I32" s="253"/>
      <c r="J32" s="263"/>
      <c r="K32" s="264"/>
      <c r="L32" s="257"/>
      <c r="M32" s="253"/>
      <c r="N32" s="253"/>
      <c r="O32" s="253"/>
      <c r="P32" s="253"/>
      <c r="Q32" s="253"/>
      <c r="R32" s="253"/>
      <c r="S32" s="265"/>
      <c r="T32" s="259"/>
      <c r="U32" s="260"/>
      <c r="V32" s="260"/>
      <c r="W32" s="261"/>
      <c r="X32" s="259"/>
      <c r="Y32" s="260"/>
      <c r="Z32" s="260"/>
      <c r="AA32" s="261"/>
      <c r="AB32" s="259"/>
      <c r="AC32" s="260"/>
      <c r="AD32" s="260"/>
      <c r="AE32" s="261"/>
    </row>
    <row r="33" spans="1:31" ht="14.4" x14ac:dyDescent="0.3">
      <c r="A33" s="70" t="s">
        <v>345</v>
      </c>
      <c r="B33" s="25"/>
      <c r="C33" s="26">
        <f>VLOOKUP(A33,'DSMZ 120 v2'!$F$5:$G$22,2,FALSE)*1000/'DSMZ 120 v2'!$G$23</f>
        <v>2</v>
      </c>
      <c r="D33" s="26" t="s">
        <v>97</v>
      </c>
      <c r="E33" s="26"/>
      <c r="F33" s="25"/>
      <c r="G33" s="28"/>
      <c r="H33" s="25"/>
      <c r="I33" s="25"/>
      <c r="J33" s="178"/>
      <c r="K33" s="183"/>
      <c r="L33" s="28"/>
      <c r="M33" s="25"/>
      <c r="N33" s="25"/>
      <c r="O33" s="25"/>
      <c r="P33" s="25"/>
      <c r="Q33" s="25"/>
      <c r="R33" s="25"/>
      <c r="S33" s="200"/>
      <c r="T33" s="217"/>
      <c r="U33" s="185"/>
      <c r="V33" s="185"/>
      <c r="W33" s="218"/>
      <c r="X33" s="217"/>
      <c r="Y33" s="185"/>
      <c r="Z33" s="185"/>
      <c r="AA33" s="218"/>
      <c r="AB33" s="217"/>
      <c r="AC33" s="185"/>
      <c r="AD33" s="185"/>
      <c r="AE33" s="218"/>
    </row>
    <row r="34" spans="1:31" ht="14.4" x14ac:dyDescent="0.3">
      <c r="A34" s="70" t="s">
        <v>352</v>
      </c>
      <c r="B34" s="25"/>
      <c r="C34" s="26">
        <f>VLOOKUP(A34,'DSMZ 120 v2'!$F$5:$G$22,2,FALSE)*1000/'DSMZ 120 v2'!$G$23</f>
        <v>2</v>
      </c>
      <c r="D34" s="26" t="s">
        <v>97</v>
      </c>
      <c r="E34" s="26"/>
      <c r="F34" s="25"/>
      <c r="G34" s="28"/>
      <c r="H34" s="25"/>
      <c r="I34" s="25"/>
      <c r="J34" s="178"/>
      <c r="K34" s="183"/>
      <c r="L34" s="28"/>
      <c r="M34" s="25"/>
      <c r="N34" s="25"/>
      <c r="O34" s="25"/>
      <c r="P34" s="25"/>
      <c r="Q34" s="25"/>
      <c r="R34" s="25"/>
      <c r="S34" s="200"/>
      <c r="T34" s="217"/>
      <c r="U34" s="185"/>
      <c r="V34" s="185"/>
      <c r="W34" s="218"/>
      <c r="X34" s="217"/>
      <c r="Y34" s="185"/>
      <c r="Z34" s="185"/>
      <c r="AA34" s="218"/>
      <c r="AB34" s="217"/>
      <c r="AC34" s="185"/>
      <c r="AD34" s="185"/>
      <c r="AE34" s="218"/>
    </row>
    <row r="35" spans="1:31" ht="14.4" x14ac:dyDescent="0.3">
      <c r="A35" s="70" t="s">
        <v>295</v>
      </c>
      <c r="B35" s="25">
        <f>IFERROR(VLOOKUP(A35,Library!$B$4:$G$69,2,FALSE),"")</f>
        <v>82.03</v>
      </c>
      <c r="C35" s="26">
        <f>VLOOKUP(A35,'DSMZ 120 v2'!$F$5:$G$22,2,FALSE)*1000/'DSMZ 120 v2'!$G$23</f>
        <v>0</v>
      </c>
      <c r="D35" s="26" t="s">
        <v>97</v>
      </c>
      <c r="E35" s="26">
        <f t="shared" si="0"/>
        <v>0</v>
      </c>
      <c r="F35" s="25" t="s">
        <v>63</v>
      </c>
      <c r="G35" s="28">
        <v>1</v>
      </c>
      <c r="H35" s="25">
        <f>VLOOKUP(F35,Library!$K$4:$N$36,3,FALSE)</f>
        <v>1</v>
      </c>
      <c r="I35" s="25">
        <f t="shared" si="1"/>
        <v>0</v>
      </c>
      <c r="J35" s="178">
        <f>IF(F35="N/A",0,VLOOKUP(F35,Library!$K$4:$M$36,2,FALSE))</f>
        <v>28.989768999999999</v>
      </c>
      <c r="K35" s="183">
        <f t="shared" ref="K35:K37" si="15">I35*(H35^2)</f>
        <v>0</v>
      </c>
      <c r="L35" s="28">
        <f t="shared" ref="L35:L37" si="16">I35*J35</f>
        <v>0</v>
      </c>
      <c r="M35" s="25" t="s">
        <v>77</v>
      </c>
      <c r="N35" s="25">
        <v>1</v>
      </c>
      <c r="O35" s="25">
        <f>IFERROR(VLOOKUP(M35,Library!$K$4:$M$36,3,FALSE),"")</f>
        <v>-1</v>
      </c>
      <c r="P35" s="25">
        <f t="shared" si="4"/>
        <v>0</v>
      </c>
      <c r="Q35" s="25">
        <f>IFERROR(IF(M35="N/A",0,VLOOKUP(M35,Library!$K$4:$N$36,2,FALSE)),"")</f>
        <v>59.043999999999997</v>
      </c>
      <c r="R35" s="25">
        <f t="shared" si="5"/>
        <v>0</v>
      </c>
      <c r="S35" s="200">
        <f t="shared" si="6"/>
        <v>0</v>
      </c>
      <c r="T35" s="217">
        <f>VLOOKUP(A35,Library!$B$4:$G$69,3,FALSE)</f>
        <v>3</v>
      </c>
      <c r="U35" s="185">
        <f>VLOOKUP(A35,Library!$B$4:$G$69,4,FALSE)</f>
        <v>0</v>
      </c>
      <c r="V35" s="185">
        <f>VLOOKUP(A35,Library!$B$4:$G$69,5,FALSE)</f>
        <v>0</v>
      </c>
      <c r="W35" s="218">
        <f>VLOOKUP(A35,Library!$B$4:$G$69,6,FALSE)</f>
        <v>0</v>
      </c>
      <c r="X35" s="217">
        <f t="shared" si="11"/>
        <v>0</v>
      </c>
      <c r="Y35" s="185">
        <f t="shared" si="12"/>
        <v>0</v>
      </c>
      <c r="Z35" s="185">
        <f t="shared" si="13"/>
        <v>0</v>
      </c>
      <c r="AA35" s="218">
        <f t="shared" si="14"/>
        <v>0</v>
      </c>
      <c r="AB35" s="217">
        <f>X35*VLOOKUP($AB$7,Library!$T$4:$U$7,2,FALSE)</f>
        <v>0</v>
      </c>
      <c r="AC35" s="185">
        <f>Y35*VLOOKUP($AC$7,Library!$T$4:$U$7,2,FALSE)</f>
        <v>0</v>
      </c>
      <c r="AD35" s="185">
        <f>Z35*VLOOKUP($AD$7,Library!$T$4:$U$7,2,FALSE)</f>
        <v>0</v>
      </c>
      <c r="AE35" s="218">
        <f>AA35*VLOOKUP($AE$7,Library!$T$4:$U$7,2,FALSE)</f>
        <v>0</v>
      </c>
    </row>
    <row r="36" spans="1:31" ht="14.4" x14ac:dyDescent="0.3">
      <c r="A36" s="70" t="s">
        <v>48</v>
      </c>
      <c r="B36" s="25"/>
      <c r="C36" s="26"/>
      <c r="D36" s="26"/>
      <c r="E36" s="26"/>
      <c r="F36" s="25"/>
      <c r="G36" s="28"/>
      <c r="H36" s="25"/>
      <c r="I36" s="25"/>
      <c r="J36" s="178"/>
      <c r="K36" s="183"/>
      <c r="L36" s="28"/>
      <c r="M36" s="25"/>
      <c r="N36" s="25"/>
      <c r="O36" s="25"/>
      <c r="P36" s="25"/>
      <c r="Q36" s="25"/>
      <c r="R36" s="25"/>
      <c r="S36" s="200"/>
      <c r="T36" s="217"/>
      <c r="U36" s="185"/>
      <c r="V36" s="185"/>
      <c r="W36" s="218"/>
      <c r="X36" s="217"/>
      <c r="Y36" s="185"/>
      <c r="Z36" s="185"/>
      <c r="AA36" s="218"/>
      <c r="AB36" s="217"/>
      <c r="AC36" s="185"/>
      <c r="AD36" s="185"/>
      <c r="AE36" s="218"/>
    </row>
    <row r="37" spans="1:31" ht="14.4" x14ac:dyDescent="0.3">
      <c r="A37" s="69" t="s">
        <v>52</v>
      </c>
      <c r="B37" s="25">
        <f>IFERROR(VLOOKUP(A37,Library!$B$4:$G$69,2,FALSE),"")</f>
        <v>84.01</v>
      </c>
      <c r="C37" s="26">
        <f>VLOOKUP(A37,'DSMZ 120 v2'!$F$5:$G$22,2,FALSE)*1000/'DSMZ 120 v2'!$G$23</f>
        <v>0</v>
      </c>
      <c r="D37" s="26" t="s">
        <v>97</v>
      </c>
      <c r="E37" s="26">
        <f t="shared" si="0"/>
        <v>0</v>
      </c>
      <c r="F37" s="25" t="s">
        <v>63</v>
      </c>
      <c r="G37" s="28">
        <v>1</v>
      </c>
      <c r="H37" s="25">
        <f>VLOOKUP(F37,Library!$K$4:$N$36,3,FALSE)</f>
        <v>1</v>
      </c>
      <c r="I37" s="25">
        <f t="shared" si="1"/>
        <v>0</v>
      </c>
      <c r="J37" s="178">
        <f>IF(F37="N/A",0,VLOOKUP(F37,Library!$K$4:$M$36,2,FALSE))</f>
        <v>28.989768999999999</v>
      </c>
      <c r="K37" s="183">
        <f t="shared" si="15"/>
        <v>0</v>
      </c>
      <c r="L37" s="28">
        <f t="shared" si="16"/>
        <v>0</v>
      </c>
      <c r="M37" s="25" t="s">
        <v>67</v>
      </c>
      <c r="N37" s="25">
        <v>1</v>
      </c>
      <c r="O37" s="25">
        <f>IFERROR(VLOOKUP(M37,Library!$K$4:$M$36,3,FALSE),"")</f>
        <v>-1</v>
      </c>
      <c r="P37" s="25">
        <f t="shared" si="4"/>
        <v>0</v>
      </c>
      <c r="Q37" s="25">
        <f>IFERROR(IF(M37="N/A",0,VLOOKUP(M37,Library!$K$4:$N$36,2,FALSE)),"")</f>
        <v>61.016800000000003</v>
      </c>
      <c r="R37" s="25">
        <f t="shared" si="5"/>
        <v>0</v>
      </c>
      <c r="S37" s="200">
        <f t="shared" si="6"/>
        <v>0</v>
      </c>
      <c r="T37" s="217">
        <f>VLOOKUP(A37,Library!$B$4:$G$69,3,FALSE)</f>
        <v>1</v>
      </c>
      <c r="U37" s="185">
        <f>VLOOKUP(A37,Library!$B$4:$G$69,4,FALSE)</f>
        <v>0</v>
      </c>
      <c r="V37" s="185">
        <f>VLOOKUP(A37,Library!$B$4:$G$69,5,FALSE)</f>
        <v>0</v>
      </c>
      <c r="W37" s="218">
        <f>VLOOKUP(A37,Library!$B$4:$G$69,6,FALSE)</f>
        <v>0</v>
      </c>
      <c r="X37" s="217">
        <f t="shared" si="11"/>
        <v>0</v>
      </c>
      <c r="Y37" s="185">
        <f t="shared" si="12"/>
        <v>0</v>
      </c>
      <c r="Z37" s="185">
        <f t="shared" si="13"/>
        <v>0</v>
      </c>
      <c r="AA37" s="218">
        <f t="shared" si="14"/>
        <v>0</v>
      </c>
      <c r="AB37" s="217">
        <f>X37*VLOOKUP($AB$7,Library!$T$4:$U$7,2,FALSE)</f>
        <v>0</v>
      </c>
      <c r="AC37" s="185">
        <f>Y37*VLOOKUP($AC$7,Library!$T$4:$U$7,2,FALSE)</f>
        <v>0</v>
      </c>
      <c r="AD37" s="185">
        <f>Z37*VLOOKUP($AD$7,Library!$T$4:$U$7,2,FALSE)</f>
        <v>0</v>
      </c>
      <c r="AE37" s="218">
        <f>AA37*VLOOKUP($AE$7,Library!$T$4:$U$7,2,FALSE)</f>
        <v>0</v>
      </c>
    </row>
    <row r="38" spans="1:31" ht="14.4" x14ac:dyDescent="0.3">
      <c r="A38" s="70" t="s">
        <v>347</v>
      </c>
      <c r="B38" s="25">
        <f>IFERROR(VLOOKUP(A38,Library!$B$4:$G$69,2,FALSE),"")</f>
        <v>32.04</v>
      </c>
      <c r="C38" s="26">
        <f>VLOOKUP(A38,'DSMZ 120 v2'!$F$5:$G$22,2,FALSE)*1000/'DSMZ 120 v2'!$G$23*0.7918</f>
        <v>7.9179999999999993</v>
      </c>
      <c r="D38" s="26" t="s">
        <v>97</v>
      </c>
      <c r="E38" s="26">
        <f t="shared" si="0"/>
        <v>0.24712858926342071</v>
      </c>
      <c r="F38" s="25"/>
      <c r="G38" s="28"/>
      <c r="H38" s="25"/>
      <c r="I38" s="25"/>
      <c r="J38" s="178"/>
      <c r="K38" s="183"/>
      <c r="L38" s="28"/>
      <c r="M38" s="25"/>
      <c r="N38" s="25"/>
      <c r="O38" s="25"/>
      <c r="P38" s="25"/>
      <c r="Q38" s="25"/>
      <c r="R38" s="25"/>
      <c r="S38" s="200"/>
      <c r="T38" s="217">
        <f>VLOOKUP(A38,Library!$B$4:$G$69,3,FALSE)</f>
        <v>1</v>
      </c>
      <c r="U38" s="185">
        <f>VLOOKUP(A38,Library!$B$4:$G$69,4,FALSE)</f>
        <v>0</v>
      </c>
      <c r="V38" s="185">
        <f>VLOOKUP(A38,Library!$B$4:$G$69,5,FALSE)</f>
        <v>0</v>
      </c>
      <c r="W38" s="218">
        <f>VLOOKUP(A38,Library!$B$4:$G$69,6,FALSE)</f>
        <v>0</v>
      </c>
      <c r="X38" s="217">
        <f t="shared" si="11"/>
        <v>0.24712858926342071</v>
      </c>
      <c r="Y38" s="185">
        <f t="shared" si="12"/>
        <v>0</v>
      </c>
      <c r="Z38" s="185">
        <f t="shared" si="13"/>
        <v>0</v>
      </c>
      <c r="AA38" s="218">
        <f t="shared" si="14"/>
        <v>0</v>
      </c>
      <c r="AB38" s="217">
        <f>X38*VLOOKUP($AB$7,Library!$T$4:$U$7,2,FALSE)</f>
        <v>2.9680143570536828</v>
      </c>
      <c r="AC38" s="185">
        <f>Y38*VLOOKUP($AC$7,Library!$T$4:$U$7,2,FALSE)</f>
        <v>0</v>
      </c>
      <c r="AD38" s="185">
        <f>Z38*VLOOKUP($AD$7,Library!$T$4:$U$7,2,FALSE)</f>
        <v>0</v>
      </c>
      <c r="AE38" s="218">
        <f>AA38*VLOOKUP($AE$7,Library!$T$4:$U$7,2,FALSE)</f>
        <v>0</v>
      </c>
    </row>
    <row r="39" spans="1:31" ht="14.4" x14ac:dyDescent="0.3">
      <c r="A39" s="20" t="s">
        <v>320</v>
      </c>
      <c r="B39" s="253"/>
      <c r="C39" s="262"/>
      <c r="D39" s="262"/>
      <c r="E39" s="262"/>
      <c r="F39" s="253"/>
      <c r="G39" s="257"/>
      <c r="H39" s="253"/>
      <c r="I39" s="253"/>
      <c r="J39" s="263"/>
      <c r="K39" s="264"/>
      <c r="L39" s="257"/>
      <c r="M39" s="253"/>
      <c r="N39" s="253"/>
      <c r="O39" s="253"/>
      <c r="P39" s="253"/>
      <c r="Q39" s="253"/>
      <c r="R39" s="253"/>
      <c r="S39" s="265"/>
      <c r="T39" s="259"/>
      <c r="U39" s="260"/>
      <c r="V39" s="260"/>
      <c r="W39" s="261"/>
      <c r="X39" s="259">
        <f t="shared" si="11"/>
        <v>0</v>
      </c>
      <c r="Y39" s="260">
        <f t="shared" si="12"/>
        <v>0</v>
      </c>
      <c r="Z39" s="260">
        <f t="shared" si="13"/>
        <v>0</v>
      </c>
      <c r="AA39" s="261">
        <f t="shared" si="14"/>
        <v>0</v>
      </c>
      <c r="AB39" s="259"/>
      <c r="AC39" s="260"/>
      <c r="AD39" s="260"/>
      <c r="AE39" s="261"/>
    </row>
    <row r="40" spans="1:31" ht="14.4" x14ac:dyDescent="0.3">
      <c r="A40" s="25" t="s">
        <v>15</v>
      </c>
      <c r="B40" s="25">
        <f>IFERROR(VLOOKUP(A40,Library!$B$4:$G$69,2,FALSE),"")</f>
        <v>244.31</v>
      </c>
      <c r="C40" s="26">
        <f>VLOOKUP(A40,'DSMZ 120 v2'!$I$5:$J$14,2,FALSE)*'DSMZ 120 v2'!$G$19/'DSMZ 120 v2'!$G$23</f>
        <v>0.02</v>
      </c>
      <c r="D40" s="26" t="s">
        <v>16</v>
      </c>
      <c r="E40" s="26">
        <f t="shared" si="0"/>
        <v>8.1863206581801814E-8</v>
      </c>
      <c r="F40" s="25"/>
      <c r="G40" s="28"/>
      <c r="H40" s="25"/>
      <c r="I40" s="25"/>
      <c r="J40" s="178"/>
      <c r="K40" s="183"/>
      <c r="L40" s="28"/>
      <c r="M40" s="25"/>
      <c r="N40" s="25"/>
      <c r="O40" s="25"/>
      <c r="P40" s="25"/>
      <c r="Q40" s="25"/>
      <c r="R40" s="25"/>
      <c r="S40" s="200"/>
      <c r="T40" s="217">
        <f>VLOOKUP(A40,Library!$B$4:$G$69,3,FALSE)</f>
        <v>10</v>
      </c>
      <c r="U40" s="185">
        <f>VLOOKUP(A40,Library!$B$4:$G$69,4,FALSE)</f>
        <v>2</v>
      </c>
      <c r="V40" s="185">
        <f>VLOOKUP(A40,Library!$B$4:$G$69,5,FALSE)</f>
        <v>0</v>
      </c>
      <c r="W40" s="218">
        <f>VLOOKUP(A40,Library!$B$4:$G$69,6,FALSE)</f>
        <v>1</v>
      </c>
      <c r="X40" s="217">
        <f t="shared" si="11"/>
        <v>8.1863206581801809E-7</v>
      </c>
      <c r="Y40" s="185">
        <f t="shared" si="12"/>
        <v>1.6372641316360363E-7</v>
      </c>
      <c r="Z40" s="185">
        <f t="shared" si="13"/>
        <v>0</v>
      </c>
      <c r="AA40" s="218">
        <f t="shared" si="14"/>
        <v>8.1863206581801814E-8</v>
      </c>
      <c r="AB40" s="217">
        <f>X40*VLOOKUP($AB$7,Library!$T$4:$U$7,2,FALSE)</f>
        <v>9.8317711104743978E-6</v>
      </c>
      <c r="AC40" s="185">
        <f>Y40*VLOOKUP($AC$7,Library!$T$4:$U$7,2,FALSE)</f>
        <v>2.2938070484220868E-6</v>
      </c>
      <c r="AD40" s="185">
        <f>Z40*VLOOKUP($AD$7,Library!$T$4:$U$7,2,FALSE)</f>
        <v>0</v>
      </c>
      <c r="AE40" s="218">
        <f>AA40*VLOOKUP($AE$7,Library!$T$4:$U$7,2,FALSE)</f>
        <v>2.6253530350783843E-6</v>
      </c>
    </row>
    <row r="41" spans="1:31" ht="14.4" x14ac:dyDescent="0.3">
      <c r="A41" s="25" t="s">
        <v>19</v>
      </c>
      <c r="B41" s="25">
        <f>IFERROR(VLOOKUP(A41,Library!$B$4:$G$69,2,FALSE),"")</f>
        <v>441.4</v>
      </c>
      <c r="C41" s="26">
        <f>VLOOKUP(A41,'DSMZ 120 v2'!$I$5:$J$14,2,FALSE)*'DSMZ 120 v2'!$G$19/'DSMZ 120 v2'!$G$23</f>
        <v>0.02</v>
      </c>
      <c r="D41" s="26" t="s">
        <v>16</v>
      </c>
      <c r="E41" s="26">
        <f t="shared" si="0"/>
        <v>4.5310376076121436E-8</v>
      </c>
      <c r="F41" s="25"/>
      <c r="G41" s="28"/>
      <c r="H41" s="25"/>
      <c r="I41" s="25"/>
      <c r="J41" s="178"/>
      <c r="K41" s="183"/>
      <c r="L41" s="28"/>
      <c r="M41" s="25"/>
      <c r="N41" s="25"/>
      <c r="O41" s="25"/>
      <c r="P41" s="25"/>
      <c r="Q41" s="25"/>
      <c r="R41" s="25"/>
      <c r="S41" s="200"/>
      <c r="T41" s="217">
        <f>VLOOKUP(A41,Library!$B$4:$G$69,3,FALSE)</f>
        <v>19</v>
      </c>
      <c r="U41" s="185">
        <f>VLOOKUP(A41,Library!$B$4:$G$69,4,FALSE)</f>
        <v>7</v>
      </c>
      <c r="V41" s="185">
        <f>VLOOKUP(A41,Library!$B$4:$G$69,5,FALSE)</f>
        <v>0</v>
      </c>
      <c r="W41" s="218">
        <f>VLOOKUP(A41,Library!$B$4:$G$69,6,FALSE)</f>
        <v>0</v>
      </c>
      <c r="X41" s="217">
        <f t="shared" si="11"/>
        <v>8.6089714544630728E-7</v>
      </c>
      <c r="Y41" s="185">
        <f t="shared" si="12"/>
        <v>3.1717263253285005E-7</v>
      </c>
      <c r="Z41" s="185">
        <f t="shared" si="13"/>
        <v>0</v>
      </c>
      <c r="AA41" s="218">
        <f t="shared" si="14"/>
        <v>0</v>
      </c>
      <c r="AB41" s="217">
        <f>X41*VLOOKUP($AB$7,Library!$T$4:$U$7,2,FALSE)</f>
        <v>1.033937471681015E-5</v>
      </c>
      <c r="AC41" s="185">
        <f>Y41*VLOOKUP($AC$7,Library!$T$4:$U$7,2,FALSE)</f>
        <v>4.4435885817852293E-6</v>
      </c>
      <c r="AD41" s="185">
        <f>Z41*VLOOKUP($AD$7,Library!$T$4:$U$7,2,FALSE)</f>
        <v>0</v>
      </c>
      <c r="AE41" s="218">
        <f>AA41*VLOOKUP($AE$7,Library!$T$4:$U$7,2,FALSE)</f>
        <v>0</v>
      </c>
    </row>
    <row r="42" spans="1:31" ht="14.4" x14ac:dyDescent="0.3">
      <c r="A42" s="25" t="s">
        <v>120</v>
      </c>
      <c r="B42" s="25">
        <f>IFERROR(VLOOKUP(A42,Library!$B$4:$G$69,2,FALSE),"")</f>
        <v>205.64</v>
      </c>
      <c r="C42" s="26">
        <f>VLOOKUP(A42,'DSMZ 120 v2'!$I$5:$J$14,2,FALSE)*'DSMZ 120 v2'!$G$19/'DSMZ 120 v2'!$G$23</f>
        <v>0.1</v>
      </c>
      <c r="D42" s="26" t="s">
        <v>16</v>
      </c>
      <c r="E42" s="26">
        <f t="shared" si="0"/>
        <v>4.8628671464695592E-7</v>
      </c>
      <c r="F42" s="25"/>
      <c r="G42" s="28"/>
      <c r="H42" s="25"/>
      <c r="I42" s="25"/>
      <c r="J42" s="178"/>
      <c r="K42" s="183"/>
      <c r="L42" s="28"/>
      <c r="M42" s="25"/>
      <c r="N42" s="25"/>
      <c r="O42" s="25"/>
      <c r="P42" s="25"/>
      <c r="Q42" s="25"/>
      <c r="R42" s="25"/>
      <c r="S42" s="200"/>
      <c r="T42" s="217">
        <f>VLOOKUP(A42,Library!$B$4:$G$69,3,FALSE)</f>
        <v>8</v>
      </c>
      <c r="U42" s="185">
        <f>VLOOKUP(A42,Library!$B$4:$G$69,4,FALSE)</f>
        <v>1</v>
      </c>
      <c r="V42" s="185">
        <f>VLOOKUP(A42,Library!$B$4:$G$69,5,FALSE)</f>
        <v>0</v>
      </c>
      <c r="W42" s="218">
        <f>VLOOKUP(A42,Library!$B$4:$G$69,6,FALSE)</f>
        <v>0</v>
      </c>
      <c r="X42" s="217">
        <f t="shared" si="11"/>
        <v>3.8902937171756473E-6</v>
      </c>
      <c r="Y42" s="185">
        <f t="shared" si="12"/>
        <v>4.8628671464695592E-7</v>
      </c>
      <c r="Z42" s="185">
        <f t="shared" si="13"/>
        <v>0</v>
      </c>
      <c r="AA42" s="218">
        <f t="shared" si="14"/>
        <v>0</v>
      </c>
      <c r="AB42" s="217">
        <f>X42*VLOOKUP($AB$7,Library!$T$4:$U$7,2,FALSE)</f>
        <v>4.6722427543279525E-5</v>
      </c>
      <c r="AC42" s="185">
        <f>Y42*VLOOKUP($AC$7,Library!$T$4:$U$7,2,FALSE)</f>
        <v>6.8128768722038524E-6</v>
      </c>
      <c r="AD42" s="185">
        <f>Z42*VLOOKUP($AD$7,Library!$T$4:$U$7,2,FALSE)</f>
        <v>0</v>
      </c>
      <c r="AE42" s="218">
        <f>AA42*VLOOKUP($AE$7,Library!$T$4:$U$7,2,FALSE)</f>
        <v>0</v>
      </c>
    </row>
    <row r="43" spans="1:31" ht="14.4" x14ac:dyDescent="0.3">
      <c r="A43" s="25" t="s">
        <v>121</v>
      </c>
      <c r="B43" s="25">
        <f>IFERROR(VLOOKUP(A43,Library!$B$4:$G$69,2,FALSE),"")</f>
        <v>337.27</v>
      </c>
      <c r="C43" s="26">
        <f>VLOOKUP(A43,'DSMZ 120 v2'!$I$5:$J$14,2,FALSE)*'DSMZ 120 v2'!$G$19/'DSMZ 120 v2'!$G$23</f>
        <v>0.05</v>
      </c>
      <c r="D43" s="26" t="s">
        <v>16</v>
      </c>
      <c r="E43" s="26">
        <f t="shared" si="0"/>
        <v>1.4824917721706646E-7</v>
      </c>
      <c r="F43" s="25"/>
      <c r="G43" s="28"/>
      <c r="H43" s="25"/>
      <c r="I43" s="25"/>
      <c r="J43" s="178"/>
      <c r="K43" s="27"/>
      <c r="L43" s="27"/>
      <c r="M43" s="25"/>
      <c r="N43" s="25"/>
      <c r="O43" s="25"/>
      <c r="P43" s="25"/>
      <c r="Q43" s="25"/>
      <c r="R43" s="25"/>
      <c r="S43" s="200"/>
      <c r="T43" s="217">
        <f>VLOOKUP(A43,Library!$B$4:$G$69,3,FALSE)</f>
        <v>12</v>
      </c>
      <c r="U43" s="185">
        <f>VLOOKUP(A43,Library!$B$4:$G$69,4,FALSE)</f>
        <v>2</v>
      </c>
      <c r="V43" s="185">
        <f>VLOOKUP(A43,Library!$B$4:$G$69,5,FALSE)</f>
        <v>0</v>
      </c>
      <c r="W43" s="218">
        <f>VLOOKUP(A43,Library!$B$4:$G$69,6,FALSE)</f>
        <v>1</v>
      </c>
      <c r="X43" s="217">
        <f t="shared" si="11"/>
        <v>1.7789901266047974E-6</v>
      </c>
      <c r="Y43" s="185">
        <f t="shared" si="12"/>
        <v>2.9649835443413292E-7</v>
      </c>
      <c r="Z43" s="185">
        <f t="shared" si="13"/>
        <v>0</v>
      </c>
      <c r="AA43" s="218">
        <f t="shared" si="14"/>
        <v>1.4824917721706646E-7</v>
      </c>
      <c r="AB43" s="217">
        <f>X43*VLOOKUP($AB$7,Library!$T$4:$U$7,2,FALSE)</f>
        <v>2.1365671420523617E-5</v>
      </c>
      <c r="AC43" s="185">
        <f>Y43*VLOOKUP($AC$7,Library!$T$4:$U$7,2,FALSE)</f>
        <v>4.1539419456222018E-6</v>
      </c>
      <c r="AD43" s="185">
        <f>Z43*VLOOKUP($AD$7,Library!$T$4:$U$7,2,FALSE)</f>
        <v>0</v>
      </c>
      <c r="AE43" s="218">
        <f>AA43*VLOOKUP($AE$7,Library!$T$4:$U$7,2,FALSE)</f>
        <v>4.7543511133513211E-6</v>
      </c>
    </row>
    <row r="44" spans="1:31" ht="14.4" x14ac:dyDescent="0.3">
      <c r="A44" s="25" t="s">
        <v>30</v>
      </c>
      <c r="B44" s="25">
        <f>IFERROR(VLOOKUP(A44,Library!$B$4:$G$69,2,FALSE),"")</f>
        <v>376.37</v>
      </c>
      <c r="C44" s="26">
        <f>VLOOKUP(A44,'DSMZ 120 v2'!$I$5:$J$14,2,FALSE)*'DSMZ 120 v2'!$G$19/'DSMZ 120 v2'!$G$23</f>
        <v>0.05</v>
      </c>
      <c r="D44" s="26" t="s">
        <v>16</v>
      </c>
      <c r="E44" s="26">
        <f t="shared" si="0"/>
        <v>1.3284799532375059E-7</v>
      </c>
      <c r="F44" s="25"/>
      <c r="G44" s="28"/>
      <c r="H44" s="25"/>
      <c r="I44" s="25"/>
      <c r="J44" s="178"/>
      <c r="K44" s="27"/>
      <c r="L44" s="27"/>
      <c r="M44" s="25"/>
      <c r="N44" s="25"/>
      <c r="O44" s="25"/>
      <c r="P44" s="25"/>
      <c r="Q44" s="25"/>
      <c r="R44" s="25"/>
      <c r="S44" s="200"/>
      <c r="T44" s="217">
        <f>VLOOKUP(A44,Library!$B$4:$G$69,3,FALSE)</f>
        <v>17</v>
      </c>
      <c r="U44" s="185">
        <f>VLOOKUP(A44,Library!$B$4:$G$69,4,FALSE)</f>
        <v>4</v>
      </c>
      <c r="V44" s="185">
        <f>VLOOKUP(A44,Library!$B$4:$G$69,5,FALSE)</f>
        <v>0</v>
      </c>
      <c r="W44" s="218">
        <f>VLOOKUP(A44,Library!$B$4:$G$69,6,FALSE)</f>
        <v>0</v>
      </c>
      <c r="X44" s="217">
        <f t="shared" si="11"/>
        <v>2.2584159205037601E-6</v>
      </c>
      <c r="Y44" s="185">
        <f t="shared" si="12"/>
        <v>5.3139198129500234E-7</v>
      </c>
      <c r="Z44" s="185">
        <f t="shared" si="13"/>
        <v>0</v>
      </c>
      <c r="AA44" s="218">
        <f t="shared" si="14"/>
        <v>0</v>
      </c>
      <c r="AB44" s="217">
        <f>X44*VLOOKUP($AB$7,Library!$T$4:$U$7,2,FALSE)</f>
        <v>2.7123575205250158E-5</v>
      </c>
      <c r="AC44" s="185">
        <f>Y44*VLOOKUP($AC$7,Library!$T$4:$U$7,2,FALSE)</f>
        <v>7.444801657942983E-6</v>
      </c>
      <c r="AD44" s="185">
        <f>Z44*VLOOKUP($AD$7,Library!$T$4:$U$7,2,FALSE)</f>
        <v>0</v>
      </c>
      <c r="AE44" s="218">
        <f>AA44*VLOOKUP($AE$7,Library!$T$4:$U$7,2,FALSE)</f>
        <v>0</v>
      </c>
    </row>
    <row r="45" spans="1:31" ht="14.4" x14ac:dyDescent="0.3">
      <c r="A45" s="25" t="s">
        <v>34</v>
      </c>
      <c r="B45" s="25">
        <f>IFERROR(VLOOKUP(A45,Library!$B$4:$G$69,2,FALSE),"")</f>
        <v>123.11</v>
      </c>
      <c r="C45" s="26">
        <f>VLOOKUP(A45,'DSMZ 120 v2'!$I$5:$J$14,2,FALSE)*'DSMZ 120 v2'!$G$19/'DSMZ 120 v2'!$G$23</f>
        <v>0.05</v>
      </c>
      <c r="D45" s="26" t="s">
        <v>16</v>
      </c>
      <c r="E45" s="26">
        <f t="shared" si="0"/>
        <v>4.0614084964665748E-7</v>
      </c>
      <c r="F45" s="25"/>
      <c r="G45" s="28"/>
      <c r="H45" s="25"/>
      <c r="I45" s="25"/>
      <c r="J45" s="178"/>
      <c r="K45" s="27"/>
      <c r="L45" s="27"/>
      <c r="M45" s="25"/>
      <c r="N45" s="25"/>
      <c r="O45" s="25"/>
      <c r="P45" s="25"/>
      <c r="Q45" s="25"/>
      <c r="R45" s="25"/>
      <c r="S45" s="200"/>
      <c r="T45" s="217">
        <f>VLOOKUP(A45,Library!$B$4:$G$69,3,FALSE)</f>
        <v>6</v>
      </c>
      <c r="U45" s="185">
        <f>VLOOKUP(A45,Library!$B$4:$G$69,4,FALSE)</f>
        <v>1</v>
      </c>
      <c r="V45" s="185">
        <f>VLOOKUP(A45,Library!$B$4:$G$69,5,FALSE)</f>
        <v>0</v>
      </c>
      <c r="W45" s="218">
        <f>VLOOKUP(A45,Library!$B$4:$G$69,6,FALSE)</f>
        <v>0</v>
      </c>
      <c r="X45" s="217">
        <f t="shared" si="11"/>
        <v>2.436845097879945E-6</v>
      </c>
      <c r="Y45" s="185">
        <f t="shared" si="12"/>
        <v>4.0614084964665748E-7</v>
      </c>
      <c r="Z45" s="185">
        <f t="shared" si="13"/>
        <v>0</v>
      </c>
      <c r="AA45" s="218">
        <f t="shared" si="14"/>
        <v>0</v>
      </c>
      <c r="AB45" s="217">
        <f>X45*VLOOKUP($AB$7,Library!$T$4:$U$7,2,FALSE)</f>
        <v>2.9266509625538138E-5</v>
      </c>
      <c r="AC45" s="185">
        <f>Y45*VLOOKUP($AC$7,Library!$T$4:$U$7,2,FALSE)</f>
        <v>5.690033303549671E-6</v>
      </c>
      <c r="AD45" s="185">
        <f>Z45*VLOOKUP($AD$7,Library!$T$4:$U$7,2,FALSE)</f>
        <v>0</v>
      </c>
      <c r="AE45" s="218">
        <f>AA45*VLOOKUP($AE$7,Library!$T$4:$U$7,2,FALSE)</f>
        <v>0</v>
      </c>
    </row>
    <row r="46" spans="1:31" ht="14.4" x14ac:dyDescent="0.3">
      <c r="A46" s="25" t="s">
        <v>122</v>
      </c>
      <c r="B46" s="25">
        <f>IFERROR(VLOOKUP(A46,Library!$B$4:$G$69,2,FALSE),"")</f>
        <v>476.53</v>
      </c>
      <c r="C46" s="26">
        <f>VLOOKUP(A46,'DSMZ 120 v2'!$I$5:$J$14,2,FALSE)*'DSMZ 120 v2'!$G$19/'DSMZ 120 v2'!$G$23</f>
        <v>0.05</v>
      </c>
      <c r="D46" s="26" t="s">
        <v>16</v>
      </c>
      <c r="E46" s="26">
        <f t="shared" si="0"/>
        <v>1.0492518834071308E-7</v>
      </c>
      <c r="F46" s="25"/>
      <c r="G46" s="28"/>
      <c r="H46" s="25"/>
      <c r="I46" s="25"/>
      <c r="J46" s="178"/>
      <c r="K46" s="27"/>
      <c r="L46" s="27"/>
      <c r="M46" s="25"/>
      <c r="N46" s="25"/>
      <c r="O46" s="25"/>
      <c r="P46" s="25"/>
      <c r="Q46" s="25"/>
      <c r="R46" s="25"/>
      <c r="S46" s="200"/>
      <c r="T46" s="217">
        <f>VLOOKUP(A46,Library!$B$4:$G$69,3,FALSE)</f>
        <v>9</v>
      </c>
      <c r="U46" s="185">
        <f>VLOOKUP(A46,Library!$B$4:$G$69,4,FALSE)</f>
        <v>1</v>
      </c>
      <c r="V46" s="185">
        <f>VLOOKUP(A46,Library!$B$4:$G$69,5,FALSE)</f>
        <v>0</v>
      </c>
      <c r="W46" s="218">
        <f>VLOOKUP(A46,Library!$B$4:$G$69,6,FALSE)</f>
        <v>0</v>
      </c>
      <c r="X46" s="217">
        <f t="shared" si="11"/>
        <v>9.4432669506641772E-7</v>
      </c>
      <c r="Y46" s="185">
        <f t="shared" si="12"/>
        <v>1.0492518834071308E-7</v>
      </c>
      <c r="Z46" s="185">
        <f t="shared" si="13"/>
        <v>0</v>
      </c>
      <c r="AA46" s="218">
        <f t="shared" si="14"/>
        <v>0</v>
      </c>
      <c r="AB46" s="217">
        <f>X46*VLOOKUP($AB$7,Library!$T$4:$U$7,2,FALSE)</f>
        <v>1.1341363607747676E-5</v>
      </c>
      <c r="AC46" s="185">
        <f>Y46*VLOOKUP($AC$7,Library!$T$4:$U$7,2,FALSE)</f>
        <v>1.4700018886533902E-6</v>
      </c>
      <c r="AD46" s="185">
        <f>Z46*VLOOKUP($AD$7,Library!$T$4:$U$7,2,FALSE)</f>
        <v>0</v>
      </c>
      <c r="AE46" s="218">
        <f>AA46*VLOOKUP($AE$7,Library!$T$4:$U$7,2,FALSE)</f>
        <v>0</v>
      </c>
    </row>
    <row r="47" spans="1:31" ht="14.4" x14ac:dyDescent="0.3">
      <c r="A47" s="25" t="s">
        <v>42</v>
      </c>
      <c r="B47" s="25">
        <f>IFERROR(VLOOKUP(A47,Library!$B$4:$G$69,2,FALSE),"")</f>
        <v>1355.37</v>
      </c>
      <c r="C47" s="26">
        <f>VLOOKUP(A47,'DSMZ 120 v2'!$I$5:$J$14,2,FALSE)*'DSMZ 120 v2'!$G$19/'DSMZ 120 v2'!$G$23</f>
        <v>1E-3</v>
      </c>
      <c r="D47" s="26" t="s">
        <v>16</v>
      </c>
      <c r="E47" s="26">
        <f t="shared" si="0"/>
        <v>7.37805912776585E-10</v>
      </c>
      <c r="F47" s="25"/>
      <c r="G47" s="28"/>
      <c r="H47" s="25"/>
      <c r="I47" s="25"/>
      <c r="J47" s="178"/>
      <c r="K47" s="27"/>
      <c r="L47" s="27"/>
      <c r="M47" s="25"/>
      <c r="N47" s="25"/>
      <c r="O47" s="25"/>
      <c r="P47" s="25"/>
      <c r="Q47" s="25"/>
      <c r="R47" s="25"/>
      <c r="S47" s="200"/>
      <c r="T47" s="217">
        <f>VLOOKUP(A47,Library!$B$4:$G$69,3,FALSE)</f>
        <v>70</v>
      </c>
      <c r="U47" s="185">
        <f>VLOOKUP(A47,Library!$B$4:$G$69,4,FALSE)</f>
        <v>14</v>
      </c>
      <c r="V47" s="185">
        <f>VLOOKUP(A47,Library!$B$4:$G$69,5,FALSE)</f>
        <v>0</v>
      </c>
      <c r="W47" s="218">
        <f>VLOOKUP(A47,Library!$B$4:$G$69,6,FALSE)</f>
        <v>1</v>
      </c>
      <c r="X47" s="217">
        <f t="shared" si="11"/>
        <v>5.1646413894360947E-8</v>
      </c>
      <c r="Y47" s="185">
        <f t="shared" si="12"/>
        <v>1.0329282778872189E-8</v>
      </c>
      <c r="Z47" s="185">
        <f t="shared" si="13"/>
        <v>0</v>
      </c>
      <c r="AA47" s="218">
        <f t="shared" si="14"/>
        <v>7.37805912776585E-10</v>
      </c>
      <c r="AB47" s="217">
        <f>X47*VLOOKUP($AB$7,Library!$T$4:$U$7,2,FALSE)</f>
        <v>6.2027343087127501E-7</v>
      </c>
      <c r="AC47" s="185">
        <f>Y47*VLOOKUP($AC$7,Library!$T$4:$U$7,2,FALSE)</f>
        <v>1.4471325173199938E-7</v>
      </c>
      <c r="AD47" s="185">
        <f>Z47*VLOOKUP($AD$7,Library!$T$4:$U$7,2,FALSE)</f>
        <v>0</v>
      </c>
      <c r="AE47" s="218">
        <f>AA47*VLOOKUP($AE$7,Library!$T$4:$U$7,2,FALSE)</f>
        <v>2.366143562274508E-8</v>
      </c>
    </row>
    <row r="48" spans="1:31" ht="14.4" x14ac:dyDescent="0.3">
      <c r="A48" s="25" t="s">
        <v>45</v>
      </c>
      <c r="B48" s="25">
        <f>IFERROR(VLOOKUP(A48,Library!$B$4:$G$69,2,FALSE),"")</f>
        <v>137.13999999999999</v>
      </c>
      <c r="C48" s="26">
        <f>VLOOKUP(A48,'DSMZ 120 v2'!$I$5:$J$14,2,FALSE)*'DSMZ 120 v2'!$G$19/'DSMZ 120 v2'!$G$23</f>
        <v>0.05</v>
      </c>
      <c r="D48" s="26" t="s">
        <v>16</v>
      </c>
      <c r="E48" s="26">
        <f t="shared" si="0"/>
        <v>3.6459092897768708E-7</v>
      </c>
      <c r="F48" s="25"/>
      <c r="G48" s="28"/>
      <c r="H48" s="25"/>
      <c r="I48" s="25"/>
      <c r="J48" s="178"/>
      <c r="K48" s="27"/>
      <c r="L48" s="27"/>
      <c r="M48" s="25"/>
      <c r="N48" s="25"/>
      <c r="O48" s="25"/>
      <c r="P48" s="25"/>
      <c r="Q48" s="25"/>
      <c r="R48" s="25"/>
      <c r="S48" s="200"/>
      <c r="T48" s="217">
        <f>VLOOKUP(A48,Library!$B$4:$G$69,3,FALSE)</f>
        <v>7</v>
      </c>
      <c r="U48" s="185">
        <f>VLOOKUP(A48,Library!$B$4:$G$69,4,FALSE)</f>
        <v>1</v>
      </c>
      <c r="V48" s="185">
        <f>VLOOKUP(A48,Library!$B$4:$G$69,5,FALSE)</f>
        <v>0</v>
      </c>
      <c r="W48" s="218">
        <f>VLOOKUP(A48,Library!$B$4:$G$69,6,FALSE)</f>
        <v>0</v>
      </c>
      <c r="X48" s="217">
        <f t="shared" si="11"/>
        <v>2.5521365028438097E-6</v>
      </c>
      <c r="Y48" s="185">
        <f t="shared" si="12"/>
        <v>3.6459092897768708E-7</v>
      </c>
      <c r="Z48" s="185">
        <f t="shared" si="13"/>
        <v>0</v>
      </c>
      <c r="AA48" s="218">
        <f t="shared" si="14"/>
        <v>0</v>
      </c>
      <c r="AB48" s="217">
        <f>X48*VLOOKUP($AB$7,Library!$T$4:$U$7,2,FALSE)</f>
        <v>3.0651159399154156E-5</v>
      </c>
      <c r="AC48" s="185">
        <f>Y48*VLOOKUP($AC$7,Library!$T$4:$U$7,2,FALSE)</f>
        <v>5.107918914977396E-6</v>
      </c>
      <c r="AD48" s="185">
        <f>Z48*VLOOKUP($AD$7,Library!$T$4:$U$7,2,FALSE)</f>
        <v>0</v>
      </c>
      <c r="AE48" s="218">
        <f>AA48*VLOOKUP($AE$7,Library!$T$4:$U$7,2,FALSE)</f>
        <v>0</v>
      </c>
    </row>
    <row r="49" spans="1:31" ht="14.4" x14ac:dyDescent="0.3">
      <c r="A49" s="25" t="s">
        <v>288</v>
      </c>
      <c r="B49" s="25">
        <f>IFERROR(VLOOKUP(A49,Library!$B$4:$G$69,2,FALSE),"")</f>
        <v>206.33</v>
      </c>
      <c r="C49" s="26">
        <f>VLOOKUP(A49,'DSMZ 120 v2'!$I$5:$J$14,2,FALSE)*'DSMZ 120 v2'!$G$19/'DSMZ 120 v2'!$G$23</f>
        <v>0.05</v>
      </c>
      <c r="D49" s="26" t="s">
        <v>16</v>
      </c>
      <c r="E49" s="26">
        <f t="shared" si="0"/>
        <v>2.4233024766151311E-7</v>
      </c>
      <c r="F49" s="25"/>
      <c r="G49" s="28"/>
      <c r="H49" s="25"/>
      <c r="I49" s="25"/>
      <c r="J49" s="178"/>
      <c r="K49" s="27"/>
      <c r="L49" s="27"/>
      <c r="M49" s="25"/>
      <c r="N49" s="25"/>
      <c r="O49" s="25"/>
      <c r="P49" s="25"/>
      <c r="Q49" s="25"/>
      <c r="R49" s="25"/>
      <c r="S49" s="200"/>
      <c r="T49" s="217">
        <f>VLOOKUP(A49,Library!$B$4:$G$69,3,FALSE)</f>
        <v>8</v>
      </c>
      <c r="U49" s="185">
        <f>VLOOKUP(A49,Library!$B$4:$G$69,4,FALSE)</f>
        <v>0</v>
      </c>
      <c r="V49" s="185">
        <f>VLOOKUP(A49,Library!$B$4:$G$69,5,FALSE)</f>
        <v>0</v>
      </c>
      <c r="W49" s="218">
        <f>VLOOKUP(A49,Library!$B$4:$G$69,6,FALSE)</f>
        <v>2</v>
      </c>
      <c r="X49" s="217">
        <f t="shared" si="11"/>
        <v>1.9386419812921049E-6</v>
      </c>
      <c r="Y49" s="185">
        <f t="shared" si="12"/>
        <v>0</v>
      </c>
      <c r="Z49" s="185">
        <f t="shared" si="13"/>
        <v>0</v>
      </c>
      <c r="AA49" s="218">
        <f t="shared" si="14"/>
        <v>4.8466049532302623E-7</v>
      </c>
      <c r="AB49" s="217">
        <f>X49*VLOOKUP($AB$7,Library!$T$4:$U$7,2,FALSE)</f>
        <v>2.3283090195318181E-5</v>
      </c>
      <c r="AC49" s="185">
        <f>Y49*VLOOKUP($AC$7,Library!$T$4:$U$7,2,FALSE)</f>
        <v>0</v>
      </c>
      <c r="AD49" s="185">
        <f>Z49*VLOOKUP($AD$7,Library!$T$4:$U$7,2,FALSE)</f>
        <v>0</v>
      </c>
      <c r="AE49" s="218">
        <f>AA49*VLOOKUP($AE$7,Library!$T$4:$U$7,2,FALSE)</f>
        <v>1.5543062085009453E-5</v>
      </c>
    </row>
    <row r="50" spans="1:31" ht="14.4" x14ac:dyDescent="0.3">
      <c r="A50" s="69"/>
      <c r="C50" s="6"/>
      <c r="D50" s="6"/>
      <c r="E50" s="6"/>
      <c r="Q50" s="6"/>
      <c r="AB50" s="1"/>
    </row>
    <row r="51" spans="1:31" ht="14.4" x14ac:dyDescent="0.3">
      <c r="A51" t="s">
        <v>126</v>
      </c>
      <c r="C51" s="6"/>
      <c r="D51" s="6"/>
      <c r="E51" s="6"/>
      <c r="Q51" s="6"/>
    </row>
    <row r="52" spans="1:31" ht="14.4" x14ac:dyDescent="0.3">
      <c r="A52" s="7" t="s">
        <v>278</v>
      </c>
      <c r="B52" s="97"/>
      <c r="E52" s="6"/>
      <c r="Q52" s="6"/>
    </row>
    <row r="53" spans="1:31" ht="14.4" x14ac:dyDescent="0.3">
      <c r="A53" s="71" t="s">
        <v>98</v>
      </c>
      <c r="B53" s="71" t="s">
        <v>322</v>
      </c>
      <c r="C53" s="71" t="s">
        <v>103</v>
      </c>
      <c r="D53" s="206" t="s">
        <v>321</v>
      </c>
    </row>
    <row r="54" spans="1:31" ht="14.4" x14ac:dyDescent="0.3">
      <c r="A54" s="70" t="s">
        <v>63</v>
      </c>
      <c r="B54" s="70">
        <f t="shared" ref="B54:B66" si="17">SUMIF($F$9:$F$49,A54,$L$9:$L$49)*1000</f>
        <v>1188.5646043802831</v>
      </c>
      <c r="C54" s="70">
        <f>SUMIF($F$10:$F$49,A54,$I$10:$I$49)</f>
        <v>4.099945068138635E-2</v>
      </c>
      <c r="D54" s="207">
        <f>SUMIF($F$10:$F$49,A54,$K$10:$K$49)</f>
        <v>4.099945068138635E-2</v>
      </c>
    </row>
    <row r="55" spans="1:31" ht="14.4" x14ac:dyDescent="0.3">
      <c r="A55" s="70" t="s">
        <v>64</v>
      </c>
      <c r="B55" s="70">
        <f t="shared" si="17"/>
        <v>49.304203180785464</v>
      </c>
      <c r="C55" s="70">
        <f t="shared" ref="C55:C66" si="18">SUMIF($F$10:$F$49,A55,$I$10:$I$49)</f>
        <v>2.0285621551444336E-3</v>
      </c>
      <c r="D55" s="207">
        <f t="shared" ref="D55:D66" si="19">SUMIF($F$10:$F$49,A55,$K$10:$K$49)</f>
        <v>8.1142486205777343E-3</v>
      </c>
    </row>
    <row r="56" spans="1:31" ht="14.4" x14ac:dyDescent="0.3">
      <c r="A56" s="70" t="s">
        <v>65</v>
      </c>
      <c r="B56" s="70">
        <f>SUMIF($F$9:$F$49,A56,$L$9:$L$49)*1000</f>
        <v>68.155227535541798</v>
      </c>
      <c r="C56" s="70">
        <f t="shared" si="18"/>
        <v>1.7005645874430312E-3</v>
      </c>
      <c r="D56" s="207">
        <f t="shared" si="19"/>
        <v>6.8022583497721247E-3</v>
      </c>
    </row>
    <row r="57" spans="1:31" ht="14.4" x14ac:dyDescent="0.3">
      <c r="A57" s="70" t="s">
        <v>66</v>
      </c>
      <c r="B57" s="70">
        <f t="shared" si="17"/>
        <v>203.78712914151316</v>
      </c>
      <c r="C57" s="70">
        <f t="shared" si="18"/>
        <v>5.2127736147806851E-3</v>
      </c>
      <c r="D57" s="207">
        <f t="shared" si="19"/>
        <v>5.2127736147806851E-3</v>
      </c>
    </row>
    <row r="58" spans="1:31" ht="14.4" x14ac:dyDescent="0.3">
      <c r="A58" s="70" t="s">
        <v>71</v>
      </c>
      <c r="B58" s="70">
        <f t="shared" si="17"/>
        <v>0</v>
      </c>
      <c r="C58" s="70">
        <f t="shared" si="18"/>
        <v>0</v>
      </c>
      <c r="D58" s="207">
        <f t="shared" si="19"/>
        <v>0</v>
      </c>
    </row>
    <row r="59" spans="1:31" ht="14.4" x14ac:dyDescent="0.3">
      <c r="A59" s="70" t="s">
        <v>72</v>
      </c>
      <c r="B59" s="70">
        <f t="shared" si="17"/>
        <v>5.9263410324372082E-3</v>
      </c>
      <c r="C59" s="70">
        <f t="shared" si="18"/>
        <v>1.0097185409567084E-7</v>
      </c>
      <c r="D59" s="207">
        <f t="shared" si="19"/>
        <v>4.0388741638268334E-7</v>
      </c>
    </row>
    <row r="60" spans="1:31" ht="14.4" x14ac:dyDescent="0.3">
      <c r="A60" s="70" t="s">
        <v>73</v>
      </c>
      <c r="B60" s="70">
        <f t="shared" si="17"/>
        <v>3.3860315356959429E-2</v>
      </c>
      <c r="C60" s="70">
        <f t="shared" si="18"/>
        <v>5.1361068310220855E-7</v>
      </c>
      <c r="D60" s="207">
        <f t="shared" si="19"/>
        <v>2.0544427324088342E-6</v>
      </c>
    </row>
    <row r="61" spans="1:31" ht="14.4" x14ac:dyDescent="0.3">
      <c r="A61" s="70" t="s">
        <v>74</v>
      </c>
      <c r="B61" s="70">
        <f t="shared" si="17"/>
        <v>2.7760092971552727E-2</v>
      </c>
      <c r="C61" s="70">
        <f t="shared" si="18"/>
        <v>5.0528017785862262E-7</v>
      </c>
      <c r="D61" s="207">
        <f t="shared" si="19"/>
        <v>2.0211207114344905E-6</v>
      </c>
    </row>
    <row r="62" spans="1:31" ht="14.4" x14ac:dyDescent="0.3">
      <c r="A62" s="70" t="s">
        <v>75</v>
      </c>
      <c r="B62" s="70">
        <f t="shared" si="17"/>
        <v>4.7061346194258814E-2</v>
      </c>
      <c r="C62" s="70">
        <f t="shared" si="18"/>
        <v>7.9855419661244901E-7</v>
      </c>
      <c r="D62" s="207">
        <f t="shared" si="19"/>
        <v>3.1942167864497961E-6</v>
      </c>
    </row>
    <row r="63" spans="1:31" ht="14.4" x14ac:dyDescent="0.3">
      <c r="A63" s="70" t="s">
        <v>78</v>
      </c>
      <c r="B63" s="70">
        <f t="shared" si="17"/>
        <v>168.62965040194428</v>
      </c>
      <c r="C63" s="70">
        <f t="shared" si="18"/>
        <v>9.3475415965601043E-3</v>
      </c>
      <c r="D63" s="207">
        <f t="shared" si="19"/>
        <v>9.3475415965601043E-3</v>
      </c>
    </row>
    <row r="64" spans="1:31" ht="14.4" x14ac:dyDescent="0.3">
      <c r="A64" s="70" t="s">
        <v>80</v>
      </c>
      <c r="B64" s="70">
        <f t="shared" si="17"/>
        <v>0.70645135396297809</v>
      </c>
      <c r="C64" s="70">
        <f t="shared" si="18"/>
        <v>1.2650216742107225E-5</v>
      </c>
      <c r="D64" s="207">
        <f t="shared" si="19"/>
        <v>5.0600866968428902E-5</v>
      </c>
    </row>
    <row r="65" spans="1:7" ht="14.4" x14ac:dyDescent="0.3">
      <c r="A65" s="70" t="s">
        <v>114</v>
      </c>
      <c r="B65" s="70">
        <f t="shared" si="17"/>
        <v>0</v>
      </c>
      <c r="C65" s="70">
        <f t="shared" si="18"/>
        <v>0</v>
      </c>
      <c r="D65" s="207">
        <f t="shared" si="19"/>
        <v>0</v>
      </c>
    </row>
    <row r="66" spans="1:7" ht="14.4" x14ac:dyDescent="0.3">
      <c r="A66" s="70" t="s">
        <v>81</v>
      </c>
      <c r="B66" s="70">
        <f t="shared" si="17"/>
        <v>2.2003754106053497E-3</v>
      </c>
      <c r="C66" s="70">
        <f t="shared" si="18"/>
        <v>1.1731581417175035E-8</v>
      </c>
      <c r="D66" s="207">
        <f t="shared" si="19"/>
        <v>4.692632566870014E-8</v>
      </c>
    </row>
    <row r="67" spans="1:7" ht="14.4" x14ac:dyDescent="0.3">
      <c r="A67" s="71" t="s">
        <v>99</v>
      </c>
      <c r="B67" s="71" t="s">
        <v>322</v>
      </c>
      <c r="C67" s="71" t="s">
        <v>103</v>
      </c>
      <c r="D67" s="206" t="s">
        <v>321</v>
      </c>
    </row>
    <row r="68" spans="1:7" ht="14.4" x14ac:dyDescent="0.3">
      <c r="A68" s="70" t="s">
        <v>70</v>
      </c>
      <c r="B68" s="70">
        <f t="shared" ref="B68:B81" si="20">SUMIF($M$9:$M$49,A68,$S$9:$S$49)*1000</f>
        <v>1881.0544451222488</v>
      </c>
      <c r="C68" s="70">
        <f>SUMIF($M$10:$M$42,A68,$P$10:$P$49)</f>
        <v>5.3057694556800525E-2</v>
      </c>
      <c r="D68" s="207">
        <f>SUMIF($M$10:$M$49,A68,$R$10:$R$49)</f>
        <v>5.3057694556800525E-2</v>
      </c>
    </row>
    <row r="69" spans="1:7" ht="14.4" x14ac:dyDescent="0.3">
      <c r="A69" s="70" t="s">
        <v>69</v>
      </c>
      <c r="B69" s="70">
        <f t="shared" si="20"/>
        <v>195.35409810752253</v>
      </c>
      <c r="C69" s="70">
        <f t="shared" ref="C69:C81" si="21">SUMIF($M$10:$M$42,A69,$P$10:$P$49)</f>
        <v>2.133479889296676E-3</v>
      </c>
      <c r="D69" s="207">
        <f t="shared" ref="D69:D81" si="22">SUMIF($M$10:$M$49,A69,$R$10:$R$49)</f>
        <v>8.5339195571867039E-3</v>
      </c>
    </row>
    <row r="70" spans="1:7" ht="14.4" x14ac:dyDescent="0.3">
      <c r="A70" s="70" t="s">
        <v>67</v>
      </c>
      <c r="B70" s="70">
        <f t="shared" si="20"/>
        <v>0</v>
      </c>
      <c r="C70" s="70">
        <f t="shared" si="21"/>
        <v>0</v>
      </c>
      <c r="D70" s="207">
        <f t="shared" si="22"/>
        <v>0</v>
      </c>
    </row>
    <row r="71" spans="1:7" ht="14.4" x14ac:dyDescent="0.3">
      <c r="A71" s="70" t="s">
        <v>68</v>
      </c>
      <c r="B71" s="70">
        <f t="shared" si="20"/>
        <v>0</v>
      </c>
      <c r="C71" s="70">
        <f t="shared" si="21"/>
        <v>0</v>
      </c>
      <c r="D71" s="207">
        <f t="shared" si="22"/>
        <v>0</v>
      </c>
    </row>
    <row r="72" spans="1:7" ht="14.4" x14ac:dyDescent="0.3">
      <c r="A72" s="70" t="s">
        <v>79</v>
      </c>
      <c r="B72" s="70">
        <f t="shared" si="20"/>
        <v>0</v>
      </c>
      <c r="C72" s="70">
        <f t="shared" si="21"/>
        <v>0</v>
      </c>
      <c r="D72" s="207">
        <f t="shared" si="22"/>
        <v>0</v>
      </c>
    </row>
    <row r="73" spans="1:7" ht="14.4" x14ac:dyDescent="0.3">
      <c r="A73" s="70" t="s">
        <v>82</v>
      </c>
      <c r="B73" s="70">
        <f t="shared" si="20"/>
        <v>369.65178237392814</v>
      </c>
      <c r="C73" s="70">
        <f t="shared" si="21"/>
        <v>3.8923005409490169E-3</v>
      </c>
      <c r="D73" s="207">
        <f t="shared" si="22"/>
        <v>3.5030704868541158E-2</v>
      </c>
      <c r="G73" s="7"/>
    </row>
    <row r="74" spans="1:7" ht="14.4" x14ac:dyDescent="0.3">
      <c r="A74" s="70" t="s">
        <v>113</v>
      </c>
      <c r="B74" s="70">
        <f t="shared" si="20"/>
        <v>5.7069383794274625E-3</v>
      </c>
      <c r="C74" s="70">
        <f t="shared" si="21"/>
        <v>9.7040271712760799E-8</v>
      </c>
      <c r="D74" s="207">
        <f t="shared" si="22"/>
        <v>8.7336244541484721E-7</v>
      </c>
    </row>
    <row r="75" spans="1:7" ht="14.4" x14ac:dyDescent="0.3">
      <c r="A75" s="70" t="s">
        <v>112</v>
      </c>
      <c r="B75" s="70">
        <f t="shared" si="20"/>
        <v>0</v>
      </c>
      <c r="C75" s="70">
        <f t="shared" si="21"/>
        <v>0</v>
      </c>
      <c r="D75" s="207">
        <f t="shared" si="22"/>
        <v>0</v>
      </c>
    </row>
    <row r="76" spans="1:7" ht="14.4" x14ac:dyDescent="0.3">
      <c r="A76" s="70" t="s">
        <v>76</v>
      </c>
      <c r="B76" s="70">
        <f t="shared" si="20"/>
        <v>2.3799132052076878E-2</v>
      </c>
      <c r="C76" s="70">
        <f t="shared" si="21"/>
        <v>1.4879107253564788E-7</v>
      </c>
      <c r="D76" s="207">
        <f t="shared" si="22"/>
        <v>5.9516429014259153E-7</v>
      </c>
    </row>
    <row r="77" spans="1:7" ht="14.4" x14ac:dyDescent="0.3">
      <c r="A77" s="70" t="s">
        <v>79</v>
      </c>
      <c r="B77" s="70">
        <f t="shared" si="20"/>
        <v>0</v>
      </c>
      <c r="C77" s="70">
        <f t="shared" si="21"/>
        <v>0</v>
      </c>
      <c r="D77" s="207">
        <f t="shared" si="22"/>
        <v>0</v>
      </c>
    </row>
    <row r="78" spans="1:7" ht="14.4" x14ac:dyDescent="0.3">
      <c r="A78" s="70" t="s">
        <v>115</v>
      </c>
      <c r="B78" s="70">
        <f t="shared" si="20"/>
        <v>0</v>
      </c>
      <c r="C78" s="70">
        <f t="shared" si="21"/>
        <v>0</v>
      </c>
      <c r="D78" s="207">
        <f t="shared" si="22"/>
        <v>0</v>
      </c>
    </row>
    <row r="79" spans="1:7" ht="14.4" x14ac:dyDescent="0.3">
      <c r="A79" s="70" t="s">
        <v>84</v>
      </c>
      <c r="B79" s="70">
        <f t="shared" si="20"/>
        <v>40.051211591306512</v>
      </c>
      <c r="C79" s="70">
        <f t="shared" si="21"/>
        <v>1.2490632025980513E-3</v>
      </c>
      <c r="D79" s="207">
        <f t="shared" si="22"/>
        <v>4.9962528103922052E-3</v>
      </c>
    </row>
    <row r="80" spans="1:7" ht="14.4" x14ac:dyDescent="0.3">
      <c r="A80" s="70" t="s">
        <v>119</v>
      </c>
      <c r="B80" s="70">
        <f t="shared" si="20"/>
        <v>0</v>
      </c>
      <c r="C80" s="70">
        <f t="shared" si="21"/>
        <v>0</v>
      </c>
      <c r="D80" s="207">
        <f t="shared" si="22"/>
        <v>0</v>
      </c>
    </row>
    <row r="81" spans="1:4" ht="14.4" x14ac:dyDescent="0.3">
      <c r="A81" s="70" t="s">
        <v>299</v>
      </c>
      <c r="B81" s="70">
        <f t="shared" si="20"/>
        <v>0</v>
      </c>
      <c r="C81" s="70">
        <f t="shared" si="21"/>
        <v>0</v>
      </c>
      <c r="D81" s="207">
        <f t="shared" si="22"/>
        <v>0</v>
      </c>
    </row>
    <row r="82" spans="1:4" ht="14.4" x14ac:dyDescent="0.3">
      <c r="A82" s="71" t="s">
        <v>356</v>
      </c>
      <c r="B82" s="70" t="s">
        <v>322</v>
      </c>
      <c r="C82" s="70"/>
    </row>
    <row r="83" spans="1:4" ht="14.4" x14ac:dyDescent="0.3">
      <c r="A83" t="s">
        <v>116</v>
      </c>
      <c r="B83" s="70">
        <f>B78*78.96/126.96</f>
        <v>0</v>
      </c>
      <c r="C83" s="70"/>
    </row>
    <row r="84" spans="1:4" ht="14.4" x14ac:dyDescent="0.3">
      <c r="A84" t="s">
        <v>87</v>
      </c>
      <c r="B84" s="70">
        <f>B76*95.95/159.95</f>
        <v>1.4276503409795416E-2</v>
      </c>
      <c r="C84" s="70"/>
    </row>
    <row r="85" spans="1:4" ht="14.4" x14ac:dyDescent="0.3">
      <c r="A85" t="s">
        <v>88</v>
      </c>
      <c r="B85" s="70">
        <f>B74*10.911/58.81</f>
        <v>1.0588064046579331E-3</v>
      </c>
      <c r="C85" s="70"/>
    </row>
    <row r="86" spans="1:4" ht="14.4" x14ac:dyDescent="0.3">
      <c r="A86" t="s">
        <v>393</v>
      </c>
      <c r="B86" s="70">
        <f>C30*Library!C14/Library!C15*1000</f>
        <v>206.95780903034787</v>
      </c>
      <c r="C86" s="70"/>
    </row>
    <row r="87" spans="1:4" ht="14.4" x14ac:dyDescent="0.3">
      <c r="A87" t="str">
        <f>A33</f>
        <v>Yeast Extract</v>
      </c>
      <c r="B87" s="70">
        <f>VLOOKUP(A87,$A$33:$D$38,3,FALSE)*1000</f>
        <v>2000</v>
      </c>
      <c r="C87" s="70"/>
    </row>
    <row r="88" spans="1:4" ht="14.4" x14ac:dyDescent="0.3">
      <c r="A88" t="str">
        <f>A34</f>
        <v>Casitone</v>
      </c>
      <c r="B88" s="70">
        <f t="shared" ref="B88:B90" si="23">VLOOKUP(A88,$A$33:$D$38,3,FALSE)*1000</f>
        <v>2000</v>
      </c>
      <c r="C88" s="70"/>
    </row>
    <row r="89" spans="1:4" ht="14.4" x14ac:dyDescent="0.3">
      <c r="A89" t="str">
        <f>A38</f>
        <v>Methanol</v>
      </c>
      <c r="B89" s="70">
        <f t="shared" si="23"/>
        <v>7917.9999999999991</v>
      </c>
      <c r="C89" s="70"/>
    </row>
    <row r="90" spans="1:4" ht="14.4" x14ac:dyDescent="0.3">
      <c r="A90" t="s">
        <v>295</v>
      </c>
      <c r="B90" s="70">
        <f t="shared" si="23"/>
        <v>0</v>
      </c>
      <c r="C90" s="70"/>
    </row>
    <row r="91" spans="1:4" ht="14.4" x14ac:dyDescent="0.3">
      <c r="A91" s="71" t="s">
        <v>315</v>
      </c>
      <c r="B91" s="71" t="s">
        <v>322</v>
      </c>
      <c r="C91" s="71" t="s">
        <v>61</v>
      </c>
    </row>
    <row r="92" spans="1:4" ht="14.4" x14ac:dyDescent="0.3">
      <c r="A92" s="70" t="s">
        <v>44</v>
      </c>
      <c r="B92" s="70">
        <f>SUM(AD10:AD49)*1000</f>
        <v>120.54454775319105</v>
      </c>
      <c r="C92" s="70">
        <f>SUM(Z10:Z49)</f>
        <v>3.8923005409490169E-3</v>
      </c>
    </row>
    <row r="93" spans="1:4" ht="14.4" x14ac:dyDescent="0.3">
      <c r="A93" s="70" t="s">
        <v>47</v>
      </c>
      <c r="B93" s="70">
        <f>SUM(AC10:AC49)*1000</f>
        <v>154.92761073977618</v>
      </c>
      <c r="C93" s="70">
        <f>SUM(Y10:Y49)</f>
        <v>1.1058359082068248E-2</v>
      </c>
    </row>
    <row r="94" spans="1:4" ht="15" customHeight="1" x14ac:dyDescent="0.3">
      <c r="A94" s="70" t="s">
        <v>196</v>
      </c>
      <c r="B94" s="70">
        <f>SUM(AE10:AE49)*1000</f>
        <v>163.28103847554888</v>
      </c>
      <c r="C94" s="70">
        <f>SUM(AA10:AA49)</f>
        <v>5.091395025742091E-3</v>
      </c>
    </row>
    <row r="95" spans="1:4" ht="15" customHeight="1" x14ac:dyDescent="0.3">
      <c r="A95" s="70" t="s">
        <v>51</v>
      </c>
      <c r="B95" s="70">
        <f>SUM(AB10:AB49)*1000</f>
        <v>3029.7690575964771</v>
      </c>
      <c r="C95" s="70">
        <f>SUM(X10:X49)</f>
        <v>0.25227052935857419</v>
      </c>
    </row>
    <row r="96" spans="1:4" ht="15" customHeight="1" x14ac:dyDescent="0.3">
      <c r="A96" s="209" t="s">
        <v>320</v>
      </c>
      <c r="B96" s="209" t="s">
        <v>325</v>
      </c>
      <c r="C96" s="71" t="s">
        <v>61</v>
      </c>
    </row>
    <row r="97" spans="1:3" ht="15" customHeight="1" x14ac:dyDescent="0.3">
      <c r="A97" t="s">
        <v>15</v>
      </c>
      <c r="B97" s="99">
        <f>VLOOKUP(A97,$A$40:$E$49,3,FALSE)*1000</f>
        <v>20</v>
      </c>
      <c r="C97" s="99">
        <f>VLOOKUP(A97,$A$40:$E$49,5,FALSE)</f>
        <v>8.1863206581801814E-8</v>
      </c>
    </row>
    <row r="98" spans="1:3" ht="15" customHeight="1" x14ac:dyDescent="0.3">
      <c r="A98" t="s">
        <v>19</v>
      </c>
      <c r="B98" s="99">
        <f t="shared" ref="B98:B106" si="24">VLOOKUP(A98,$A$40:$E$49,3,FALSE)*1000</f>
        <v>20</v>
      </c>
      <c r="C98" s="99">
        <f t="shared" ref="C98:C106" si="25">VLOOKUP(A98,$A$40:$E$49,5,FALSE)</f>
        <v>4.5310376076121436E-8</v>
      </c>
    </row>
    <row r="99" spans="1:3" ht="15" customHeight="1" x14ac:dyDescent="0.3">
      <c r="A99" t="s">
        <v>120</v>
      </c>
      <c r="B99" s="99">
        <f t="shared" si="24"/>
        <v>100</v>
      </c>
      <c r="C99" s="99">
        <f t="shared" si="25"/>
        <v>4.8628671464695592E-7</v>
      </c>
    </row>
    <row r="100" spans="1:3" ht="15" customHeight="1" x14ac:dyDescent="0.3">
      <c r="A100" t="s">
        <v>121</v>
      </c>
      <c r="B100" s="99">
        <f t="shared" si="24"/>
        <v>50</v>
      </c>
      <c r="C100" s="99">
        <f t="shared" si="25"/>
        <v>1.4824917721706646E-7</v>
      </c>
    </row>
    <row r="101" spans="1:3" ht="15" customHeight="1" x14ac:dyDescent="0.3">
      <c r="A101" t="s">
        <v>30</v>
      </c>
      <c r="B101" s="99">
        <f t="shared" si="24"/>
        <v>50</v>
      </c>
      <c r="C101" s="99">
        <f t="shared" si="25"/>
        <v>1.3284799532375059E-7</v>
      </c>
    </row>
    <row r="102" spans="1:3" ht="15" customHeight="1" x14ac:dyDescent="0.3">
      <c r="A102" t="s">
        <v>34</v>
      </c>
      <c r="B102" s="99">
        <f t="shared" si="24"/>
        <v>50</v>
      </c>
      <c r="C102" s="99">
        <f t="shared" si="25"/>
        <v>4.0614084964665748E-7</v>
      </c>
    </row>
    <row r="103" spans="1:3" ht="15" customHeight="1" x14ac:dyDescent="0.3">
      <c r="A103" t="s">
        <v>122</v>
      </c>
      <c r="B103" s="99">
        <f t="shared" si="24"/>
        <v>50</v>
      </c>
      <c r="C103" s="99">
        <f t="shared" si="25"/>
        <v>1.0492518834071308E-7</v>
      </c>
    </row>
    <row r="104" spans="1:3" ht="15" customHeight="1" x14ac:dyDescent="0.3">
      <c r="A104" t="s">
        <v>42</v>
      </c>
      <c r="B104" s="99">
        <f t="shared" si="24"/>
        <v>1</v>
      </c>
      <c r="C104" s="99">
        <f t="shared" si="25"/>
        <v>7.37805912776585E-10</v>
      </c>
    </row>
    <row r="105" spans="1:3" ht="15" customHeight="1" x14ac:dyDescent="0.3">
      <c r="A105" t="s">
        <v>45</v>
      </c>
      <c r="B105" s="99">
        <f t="shared" si="24"/>
        <v>50</v>
      </c>
      <c r="C105" s="99">
        <f t="shared" si="25"/>
        <v>3.6459092897768708E-7</v>
      </c>
    </row>
    <row r="106" spans="1:3" ht="15" customHeight="1" x14ac:dyDescent="0.3">
      <c r="A106" t="s">
        <v>288</v>
      </c>
      <c r="B106" s="99">
        <f t="shared" si="24"/>
        <v>50</v>
      </c>
      <c r="C106" s="99">
        <f t="shared" si="25"/>
        <v>2.4233024766151311E-7</v>
      </c>
    </row>
    <row r="107" spans="1:3" ht="15" customHeight="1" x14ac:dyDescent="0.3">
      <c r="A107" s="25" t="s">
        <v>22</v>
      </c>
      <c r="B107" s="289">
        <f>B99*169.18/205.64</f>
        <v>82.269986383971997</v>
      </c>
      <c r="C107" s="99"/>
    </row>
    <row r="108" spans="1:3" ht="15" customHeight="1" x14ac:dyDescent="0.3">
      <c r="A108" s="25" t="s">
        <v>26</v>
      </c>
      <c r="B108" s="289">
        <f>B100*265.36/337.27</f>
        <v>39.339401666320754</v>
      </c>
      <c r="C108" s="99"/>
    </row>
    <row r="109" spans="1:3" ht="15" customHeight="1" x14ac:dyDescent="0.3">
      <c r="A109" s="25" t="s">
        <v>38</v>
      </c>
      <c r="B109" s="289">
        <f>B103</f>
        <v>50</v>
      </c>
      <c r="C109" s="99"/>
    </row>
    <row r="110" spans="1:3" ht="15" customHeight="1" x14ac:dyDescent="0.3">
      <c r="A110" s="25" t="s">
        <v>49</v>
      </c>
      <c r="B110" s="289">
        <f>B106</f>
        <v>50</v>
      </c>
      <c r="C110" s="99"/>
    </row>
    <row r="111" spans="1:3" ht="15" customHeight="1" x14ac:dyDescent="0.3">
      <c r="A111" s="181" t="s">
        <v>123</v>
      </c>
      <c r="B111" s="289">
        <f>B106</f>
        <v>50</v>
      </c>
      <c r="C111" s="99"/>
    </row>
    <row r="112" spans="1:3" ht="15" customHeight="1" x14ac:dyDescent="0.3">
      <c r="A112" s="7" t="s">
        <v>279</v>
      </c>
      <c r="B112" s="269">
        <f>SUM(B54:B58,B68:B72)/1000</f>
        <v>3.5862197074678948</v>
      </c>
      <c r="C112" s="99" t="s">
        <v>97</v>
      </c>
    </row>
    <row r="113" spans="1:3" ht="15" customHeight="1" x14ac:dyDescent="0.3">
      <c r="A113" s="7" t="s">
        <v>4</v>
      </c>
      <c r="B113" s="269">
        <f>SUM(D54:D66,D68:D80)/2</f>
        <v>8.6077317321836946E-2</v>
      </c>
      <c r="C113" s="99" t="e">
        <f>VLOOKUP(A113,$A$44:$E$49,5,FALSE)</f>
        <v>#N/A</v>
      </c>
    </row>
    <row r="124" spans="1:3" ht="15" customHeight="1" x14ac:dyDescent="0.3">
      <c r="A124" s="7"/>
      <c r="B124" s="7"/>
      <c r="C124" s="7"/>
    </row>
    <row r="129" spans="1:3" ht="15" customHeight="1" x14ac:dyDescent="0.3">
      <c r="A129" s="7"/>
      <c r="B129" s="7"/>
      <c r="C129" s="7"/>
    </row>
  </sheetData>
  <pageMargins left="0.7" right="0.7" top="0.75" bottom="0.75" header="0.3" footer="0.3"/>
  <pageSetup scale="42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2DB5E-61EA-4BAD-B9ED-70D854916600}">
  <sheetPr>
    <tabColor rgb="FFFF0000"/>
    <pageSetUpPr fitToPage="1"/>
  </sheetPr>
  <dimension ref="A1:AE129"/>
  <sheetViews>
    <sheetView topLeftCell="A4" workbookViewId="0">
      <selection activeCell="C40" sqref="C40:C49"/>
    </sheetView>
  </sheetViews>
  <sheetFormatPr defaultColWidth="9.109375" defaultRowHeight="15" customHeight="1" x14ac:dyDescent="0.3"/>
  <cols>
    <col min="1" max="1" width="48.109375" customWidth="1"/>
    <col min="2" max="2" width="12.44140625" customWidth="1"/>
    <col min="3" max="3" width="11.44140625" customWidth="1"/>
    <col min="4" max="4" width="7.5546875" customWidth="1"/>
    <col min="5" max="5" width="11.109375" customWidth="1"/>
    <col min="6" max="6" width="10.44140625" customWidth="1"/>
    <col min="7" max="7" width="10.33203125" customWidth="1"/>
    <col min="8" max="8" width="12" customWidth="1"/>
    <col min="9" max="9" width="15.109375" customWidth="1"/>
    <col min="10" max="11" width="16.44140625" customWidth="1"/>
    <col min="12" max="13" width="11.88671875" customWidth="1"/>
    <col min="14" max="16" width="9.109375" bestFit="1" customWidth="1"/>
    <col min="20" max="20" width="12.109375" customWidth="1"/>
    <col min="21" max="21" width="11.88671875" customWidth="1"/>
    <col min="27" max="27" width="12" bestFit="1" customWidth="1"/>
  </cols>
  <sheetData>
    <row r="1" spans="1:31" ht="14.4" customHeight="1" x14ac:dyDescent="0.35">
      <c r="A1" s="47" t="s">
        <v>90</v>
      </c>
    </row>
    <row r="2" spans="1:31" ht="14.4" x14ac:dyDescent="0.3"/>
    <row r="3" spans="1:31" ht="14.4" x14ac:dyDescent="0.3">
      <c r="A3" s="7" t="s">
        <v>91</v>
      </c>
      <c r="B3" s="7" t="s">
        <v>92</v>
      </c>
      <c r="C3" s="7" t="s">
        <v>3</v>
      </c>
      <c r="D3" s="7" t="s">
        <v>93</v>
      </c>
    </row>
    <row r="4" spans="1:31" ht="14.4" x14ac:dyDescent="0.3">
      <c r="A4" t="s">
        <v>94</v>
      </c>
      <c r="B4">
        <v>995</v>
      </c>
      <c r="C4" s="8">
        <f>B69</f>
        <v>195.35409810752253</v>
      </c>
      <c r="D4" s="9">
        <f>B4/1000</f>
        <v>0.995</v>
      </c>
    </row>
    <row r="5" spans="1:31" ht="14.4" x14ac:dyDescent="0.3">
      <c r="A5" t="s">
        <v>95</v>
      </c>
      <c r="B5">
        <v>5</v>
      </c>
      <c r="C5" s="8" t="e">
        <f>#REF!</f>
        <v>#REF!</v>
      </c>
      <c r="D5" s="9">
        <f>B5/1000</f>
        <v>5.0000000000000001E-3</v>
      </c>
    </row>
    <row r="6" spans="1:31" thickBot="1" x14ac:dyDescent="0.35"/>
    <row r="7" spans="1:31" ht="15" customHeight="1" thickBot="1" x14ac:dyDescent="0.35">
      <c r="F7" s="136" t="s">
        <v>98</v>
      </c>
      <c r="G7" s="137"/>
      <c r="H7" s="137"/>
      <c r="I7" s="137"/>
      <c r="J7" s="137"/>
      <c r="K7" s="137"/>
      <c r="L7" s="137"/>
      <c r="M7" s="194" t="s">
        <v>99</v>
      </c>
      <c r="N7" s="195"/>
      <c r="O7" s="196"/>
      <c r="P7" s="196"/>
      <c r="Q7" s="196"/>
      <c r="R7" s="196"/>
      <c r="S7" s="197"/>
      <c r="T7" s="52" t="s">
        <v>51</v>
      </c>
      <c r="U7" s="221" t="s">
        <v>47</v>
      </c>
      <c r="V7" s="221" t="s">
        <v>44</v>
      </c>
      <c r="W7" s="222" t="s">
        <v>196</v>
      </c>
      <c r="X7" s="52" t="s">
        <v>51</v>
      </c>
      <c r="Y7" s="221" t="s">
        <v>47</v>
      </c>
      <c r="Z7" s="221" t="s">
        <v>44</v>
      </c>
      <c r="AA7" s="222" t="s">
        <v>196</v>
      </c>
      <c r="AB7" s="52" t="s">
        <v>51</v>
      </c>
      <c r="AC7" s="221" t="s">
        <v>47</v>
      </c>
      <c r="AD7" s="221" t="s">
        <v>44</v>
      </c>
      <c r="AE7" s="222" t="s">
        <v>196</v>
      </c>
    </row>
    <row r="8" spans="1:31" ht="14.4" x14ac:dyDescent="0.3">
      <c r="A8" s="13" t="s">
        <v>341</v>
      </c>
      <c r="B8" s="14" t="s">
        <v>100</v>
      </c>
      <c r="C8" s="15" t="s">
        <v>102</v>
      </c>
      <c r="D8" s="16" t="s">
        <v>8</v>
      </c>
      <c r="E8" s="16" t="s">
        <v>103</v>
      </c>
      <c r="F8" s="17" t="s">
        <v>98</v>
      </c>
      <c r="G8" s="17" t="s">
        <v>104</v>
      </c>
      <c r="H8" s="17" t="s">
        <v>105</v>
      </c>
      <c r="I8" s="17" t="s">
        <v>106</v>
      </c>
      <c r="J8" s="179" t="s">
        <v>107</v>
      </c>
      <c r="K8" s="179" t="s">
        <v>318</v>
      </c>
      <c r="L8" s="37" t="s">
        <v>108</v>
      </c>
      <c r="M8" s="198" t="s">
        <v>99</v>
      </c>
      <c r="N8" s="85" t="s">
        <v>104</v>
      </c>
      <c r="O8" s="20" t="s">
        <v>105</v>
      </c>
      <c r="P8" s="40" t="s">
        <v>109</v>
      </c>
      <c r="Q8" s="40" t="s">
        <v>107</v>
      </c>
      <c r="R8" s="179" t="s">
        <v>318</v>
      </c>
      <c r="S8" s="199" t="s">
        <v>110</v>
      </c>
      <c r="T8" s="215" t="s">
        <v>104</v>
      </c>
      <c r="U8" s="184"/>
      <c r="V8" s="184"/>
      <c r="W8" s="216"/>
      <c r="X8" s="215" t="s">
        <v>61</v>
      </c>
      <c r="Y8" s="184"/>
      <c r="Z8" s="184"/>
      <c r="AA8" s="216"/>
      <c r="AB8" s="215" t="s">
        <v>334</v>
      </c>
      <c r="AC8" s="184"/>
      <c r="AD8" s="184"/>
      <c r="AE8" s="216"/>
    </row>
    <row r="9" spans="1:31" ht="14.4" x14ac:dyDescent="0.3">
      <c r="A9" s="20" t="s">
        <v>342</v>
      </c>
      <c r="B9" s="25"/>
      <c r="C9" s="26"/>
      <c r="D9" s="26"/>
      <c r="E9" s="26"/>
      <c r="F9" s="25"/>
      <c r="G9" s="25"/>
      <c r="H9" s="25"/>
      <c r="I9" s="25"/>
      <c r="J9" s="178"/>
      <c r="K9" s="183"/>
      <c r="L9" s="28"/>
      <c r="M9" s="86"/>
      <c r="N9" s="27"/>
      <c r="O9" s="25"/>
      <c r="P9" s="25"/>
      <c r="Q9" s="25"/>
      <c r="R9" s="25"/>
      <c r="S9" s="200"/>
      <c r="T9" s="217"/>
      <c r="U9" s="185"/>
      <c r="V9" s="185"/>
      <c r="W9" s="218"/>
      <c r="X9" s="217"/>
      <c r="Y9" s="185"/>
      <c r="Z9" s="185"/>
      <c r="AA9" s="218"/>
      <c r="AB9" s="217"/>
      <c r="AC9" s="185"/>
      <c r="AD9" s="185"/>
      <c r="AE9" s="218"/>
    </row>
    <row r="10" spans="1:31" ht="14.4" x14ac:dyDescent="0.3">
      <c r="A10" s="25" t="s">
        <v>307</v>
      </c>
      <c r="B10" s="25">
        <f>IFERROR(VLOOKUP(A10,Library!$B$4:$G$69,2,FALSE),"")</f>
        <v>136.09</v>
      </c>
      <c r="C10" s="26">
        <f>VLOOKUP(A10,'DSMZ 120 v3'!$F$5:$G$21,2,FALSE)*1000/'DSMZ 120 v3'!$G$23</f>
        <v>0.35</v>
      </c>
      <c r="D10" s="26" t="s">
        <v>97</v>
      </c>
      <c r="E10" s="26">
        <f>IF(D10="g/L",C10/B10,IF(D10="mg/L",C10/(1000*B10),IF(D10="ug/L",C10/(1000000*B10),"error")))</f>
        <v>2.5718274671173488E-3</v>
      </c>
      <c r="F10" s="25" t="s">
        <v>66</v>
      </c>
      <c r="G10" s="25">
        <v>1</v>
      </c>
      <c r="H10" s="25">
        <f>VLOOKUP(F10,Library!$K$4:$N$36,3,FALSE)</f>
        <v>1</v>
      </c>
      <c r="I10" s="25">
        <f>E10*G10</f>
        <v>2.5718274671173488E-3</v>
      </c>
      <c r="J10" s="178">
        <f>IF(F10="N/A",0,VLOOKUP(F10,Library!$K$4:$M$36,2,FALSE))</f>
        <v>39.093800000000002</v>
      </c>
      <c r="K10" s="183">
        <f>I10*(H10^2)</f>
        <v>2.5718274671173488E-3</v>
      </c>
      <c r="L10" s="28">
        <f>I10*J10</f>
        <v>0.10054250863399221</v>
      </c>
      <c r="M10" s="86" t="s">
        <v>82</v>
      </c>
      <c r="N10" s="27">
        <v>1</v>
      </c>
      <c r="O10" s="25">
        <f>IFERROR(VLOOKUP(M10,Library!$K$4:$M$36,3,FALSE),"")</f>
        <v>-3</v>
      </c>
      <c r="P10" s="25">
        <f>E10*N10</f>
        <v>2.5718274671173488E-3</v>
      </c>
      <c r="Q10" s="25">
        <f>IFERROR(IF(M10="N/A",0,VLOOKUP(M10,Library!$K$4:$N$36,2,FALSE)),"")</f>
        <v>94.97</v>
      </c>
      <c r="R10" s="25">
        <f>IFERROR(P10*(O10^2),"")</f>
        <v>2.3146447204056141E-2</v>
      </c>
      <c r="S10" s="200">
        <f>IFERROR(P10*Q10,"")</f>
        <v>0.24424645455213462</v>
      </c>
      <c r="T10" s="217">
        <f>VLOOKUP(A10,Library!$B$4:$G$69,3,FALSE)</f>
        <v>0</v>
      </c>
      <c r="U10" s="185">
        <f>VLOOKUP(A10,Library!$B$4:$G$69,4,FALSE)</f>
        <v>0</v>
      </c>
      <c r="V10" s="185">
        <f>VLOOKUP(A10,Library!$B$4:$G$69,5,FALSE)</f>
        <v>1</v>
      </c>
      <c r="W10" s="218">
        <f>VLOOKUP(A10,Library!$B$4:$G$69,6,FALSE)</f>
        <v>0</v>
      </c>
      <c r="X10" s="217">
        <f>T10*E10</f>
        <v>0</v>
      </c>
      <c r="Y10" s="185">
        <f>U10*E10</f>
        <v>0</v>
      </c>
      <c r="Z10" s="185">
        <f>V10*E10</f>
        <v>2.5718274671173488E-3</v>
      </c>
      <c r="AA10" s="218">
        <f>W10*E10</f>
        <v>0</v>
      </c>
      <c r="AB10" s="217">
        <f>X10*VLOOKUP($AB$7,Library!$T$4:$U$7,2,FALSE)</f>
        <v>0</v>
      </c>
      <c r="AC10" s="185">
        <f>Y10*VLOOKUP($AC$7,Library!$T$4:$U$7,2,FALSE)</f>
        <v>0</v>
      </c>
      <c r="AD10" s="185">
        <f>Z10*VLOOKUP($AD$7,Library!$T$4:$U$7,2,FALSE)</f>
        <v>7.9649496656624283E-2</v>
      </c>
      <c r="AE10" s="218">
        <f>AA10*VLOOKUP($AE$7,Library!$T$4:$U$7,2,FALSE)</f>
        <v>0</v>
      </c>
    </row>
    <row r="11" spans="1:31" ht="14.4" x14ac:dyDescent="0.3">
      <c r="A11" s="25" t="s">
        <v>308</v>
      </c>
      <c r="B11" s="25">
        <f>IFERROR(VLOOKUP(A11,Library!$B$4:$G$69,2,FALSE),"")</f>
        <v>174.18</v>
      </c>
      <c r="C11" s="26">
        <f>VLOOKUP(A11,'DSMZ 120 v3'!$F$5:$G$21,2,FALSE)*1000/'DSMZ 120 v3'!$G$23</f>
        <v>0.23</v>
      </c>
      <c r="D11" s="41" t="s">
        <v>97</v>
      </c>
      <c r="E11" s="26">
        <f t="shared" ref="E11:E49" si="0">IF(D11="g/L",C11/B11,IF(D11="mg/L",C11/(1000*B11),IF(D11="ug/L",C11/(1000000*B11),"error")))</f>
        <v>1.3204730738316684E-3</v>
      </c>
      <c r="F11" s="25" t="s">
        <v>66</v>
      </c>
      <c r="G11" s="28">
        <v>2</v>
      </c>
      <c r="H11" s="25">
        <f>VLOOKUP(F11,Library!$K$4:$N$36,3,FALSE)</f>
        <v>1</v>
      </c>
      <c r="I11" s="25">
        <f t="shared" ref="I11:I37" si="1">E11*G11</f>
        <v>2.6409461476633368E-3</v>
      </c>
      <c r="J11" s="178">
        <f>IF(F11="N/A",0,VLOOKUP(F11,Library!$K$4:$M$36,2,FALSE))</f>
        <v>39.093800000000002</v>
      </c>
      <c r="K11" s="183">
        <f t="shared" ref="K11:K31" si="2">I11*(H11^2)</f>
        <v>2.6409461476633368E-3</v>
      </c>
      <c r="L11" s="28">
        <f t="shared" ref="L11:L31" si="3">I11*J11</f>
        <v>0.10324462050752096</v>
      </c>
      <c r="M11" s="86" t="s">
        <v>82</v>
      </c>
      <c r="N11" s="25">
        <v>1</v>
      </c>
      <c r="O11" s="25">
        <f>IFERROR(VLOOKUP(M11,Library!$K$4:$M$36,3,FALSE),"")</f>
        <v>-3</v>
      </c>
      <c r="P11" s="25">
        <f t="shared" ref="P11:P37" si="4">E11*N11</f>
        <v>1.3204730738316684E-3</v>
      </c>
      <c r="Q11" s="25">
        <f>IFERROR(IF(M11="N/A",0,VLOOKUP(M11,Library!$K$4:$N$36,2,FALSE)),"")</f>
        <v>94.97</v>
      </c>
      <c r="R11" s="25">
        <f t="shared" ref="R11:R37" si="5">IFERROR(P11*(O11^2),"")</f>
        <v>1.1884257664485016E-2</v>
      </c>
      <c r="S11" s="200">
        <f t="shared" ref="S11:S37" si="6">IFERROR(P11*Q11,"")</f>
        <v>0.12540532782179353</v>
      </c>
      <c r="T11" s="217">
        <f>VLOOKUP(A11,Library!$B$4:$G$69,3,FALSE)</f>
        <v>0</v>
      </c>
      <c r="U11" s="185">
        <f>VLOOKUP(A11,Library!$B$4:$G$69,4,FALSE)</f>
        <v>0</v>
      </c>
      <c r="V11" s="185">
        <f>VLOOKUP(A11,Library!$B$4:$G$69,5,FALSE)</f>
        <v>1</v>
      </c>
      <c r="W11" s="218">
        <f>VLOOKUP(A11,Library!$B$4:$G$69,6,FALSE)</f>
        <v>0</v>
      </c>
      <c r="X11" s="217">
        <f t="shared" ref="X11:X15" si="7">T11*E11</f>
        <v>0</v>
      </c>
      <c r="Y11" s="185">
        <f t="shared" ref="Y11:Y15" si="8">U11*E11</f>
        <v>0</v>
      </c>
      <c r="Z11" s="185">
        <f t="shared" ref="Z11:Z15" si="9">V11*E11</f>
        <v>1.3204730738316684E-3</v>
      </c>
      <c r="AA11" s="218">
        <f t="shared" ref="AA11:AA15" si="10">W11*E11</f>
        <v>0</v>
      </c>
      <c r="AB11" s="217">
        <f>X11*VLOOKUP($AB$7,Library!$T$4:$U$7,2,FALSE)</f>
        <v>0</v>
      </c>
      <c r="AC11" s="185">
        <f>Y11*VLOOKUP($AC$7,Library!$T$4:$U$7,2,FALSE)</f>
        <v>0</v>
      </c>
      <c r="AD11" s="185">
        <f>Z11*VLOOKUP($AD$7,Library!$T$4:$U$7,2,FALSE)</f>
        <v>4.089505109656677E-2</v>
      </c>
      <c r="AE11" s="218">
        <f>AA11*VLOOKUP($AE$7,Library!$T$4:$U$7,2,FALSE)</f>
        <v>0</v>
      </c>
    </row>
    <row r="12" spans="1:31" ht="14.4" x14ac:dyDescent="0.3">
      <c r="A12" s="25" t="s">
        <v>21</v>
      </c>
      <c r="B12" s="25">
        <f>IFERROR(VLOOKUP(A12,Library!$B$4:$G$69,2,FALSE),"")</f>
        <v>53.49</v>
      </c>
      <c r="C12" s="26">
        <f>VLOOKUP(A12,'DSMZ 120 v3'!$F$5:$G$21,2,FALSE)*1000/'DSMZ 120 v3'!$G$23</f>
        <v>0.5</v>
      </c>
      <c r="D12" s="41" t="s">
        <v>97</v>
      </c>
      <c r="E12" s="26">
        <f t="shared" si="0"/>
        <v>9.3475415965601043E-3</v>
      </c>
      <c r="F12" s="25" t="s">
        <v>78</v>
      </c>
      <c r="G12" s="28">
        <v>1</v>
      </c>
      <c r="H12" s="25">
        <f>VLOOKUP(F12,Library!$K$4:$N$36,3,FALSE)</f>
        <v>1</v>
      </c>
      <c r="I12" s="25">
        <f t="shared" si="1"/>
        <v>9.3475415965601043E-3</v>
      </c>
      <c r="J12" s="178">
        <f>IF(F12="N/A",0,VLOOKUP(F12,Library!$K$4:$M$36,2,FALSE))</f>
        <v>18.04</v>
      </c>
      <c r="K12" s="183">
        <f t="shared" si="2"/>
        <v>9.3475415965601043E-3</v>
      </c>
      <c r="L12" s="28">
        <f t="shared" si="3"/>
        <v>0.16862965040194428</v>
      </c>
      <c r="M12" s="25" t="s">
        <v>70</v>
      </c>
      <c r="N12" s="25">
        <v>1</v>
      </c>
      <c r="O12" s="25">
        <f>IFERROR(VLOOKUP(M12,Library!$K$4:$M$36,3,FALSE),"")</f>
        <v>-1</v>
      </c>
      <c r="P12" s="25">
        <f t="shared" si="4"/>
        <v>9.3475415965601043E-3</v>
      </c>
      <c r="Q12" s="25">
        <f>IFERROR(IF(M12="N/A",0,VLOOKUP(M12,Library!$K$4:$N$36,2,FALSE)),"")</f>
        <v>35.453000000000003</v>
      </c>
      <c r="R12" s="25">
        <f t="shared" si="5"/>
        <v>9.3475415965601043E-3</v>
      </c>
      <c r="S12" s="200">
        <f t="shared" si="6"/>
        <v>0.33139839222284539</v>
      </c>
      <c r="T12" s="217">
        <f>VLOOKUP(A12,Library!$B$4:$G$69,3,FALSE)</f>
        <v>0</v>
      </c>
      <c r="U12" s="185">
        <f>VLOOKUP(A12,Library!$B$4:$G$69,4,FALSE)</f>
        <v>1</v>
      </c>
      <c r="V12" s="185">
        <f>VLOOKUP(A12,Library!$B$4:$G$69,5,FALSE)</f>
        <v>0</v>
      </c>
      <c r="W12" s="218">
        <f>VLOOKUP(A12,Library!$B$4:$G$69,6,FALSE)</f>
        <v>0</v>
      </c>
      <c r="X12" s="217">
        <f t="shared" si="7"/>
        <v>0</v>
      </c>
      <c r="Y12" s="185">
        <f t="shared" si="8"/>
        <v>9.3475415965601043E-3</v>
      </c>
      <c r="Z12" s="185">
        <f t="shared" si="9"/>
        <v>0</v>
      </c>
      <c r="AA12" s="218">
        <f t="shared" si="10"/>
        <v>0</v>
      </c>
      <c r="AB12" s="217">
        <f>X12*VLOOKUP($AB$7,Library!$T$4:$U$7,2,FALSE)</f>
        <v>0</v>
      </c>
      <c r="AC12" s="185">
        <f>Y12*VLOOKUP($AC$7,Library!$T$4:$U$7,2,FALSE)</f>
        <v>0.13095905776780706</v>
      </c>
      <c r="AD12" s="185">
        <f>Z12*VLOOKUP($AD$7,Library!$T$4:$U$7,2,FALSE)</f>
        <v>0</v>
      </c>
      <c r="AE12" s="218">
        <f>AA12*VLOOKUP($AE$7,Library!$T$4:$U$7,2,FALSE)</f>
        <v>0</v>
      </c>
    </row>
    <row r="13" spans="1:31" ht="14.4" x14ac:dyDescent="0.3">
      <c r="A13" s="25" t="s">
        <v>290</v>
      </c>
      <c r="B13" s="25">
        <f>IFERROR(VLOOKUP(A13,Library!$B$4:$G$69,2,FALSE),"")</f>
        <v>246.48</v>
      </c>
      <c r="C13" s="26">
        <f>VLOOKUP(A13,'DSMZ 120 v3'!$F$5:$G$21,2,FALSE)*1000/'DSMZ 120 v3'!$G$23</f>
        <v>0.5</v>
      </c>
      <c r="D13" s="41" t="s">
        <v>97</v>
      </c>
      <c r="E13" s="26">
        <f t="shared" si="0"/>
        <v>2.0285621551444336E-3</v>
      </c>
      <c r="F13" s="25" t="s">
        <v>64</v>
      </c>
      <c r="G13" s="28">
        <v>1</v>
      </c>
      <c r="H13" s="25">
        <f>VLOOKUP(F13,Library!$K$4:$N$36,3,FALSE)</f>
        <v>2</v>
      </c>
      <c r="I13" s="25">
        <f t="shared" si="1"/>
        <v>2.0285621551444336E-3</v>
      </c>
      <c r="J13" s="178">
        <f>IF(F13="N/A",0,VLOOKUP(F13,Library!$K$4:$M$36,2,FALSE))</f>
        <v>24.305</v>
      </c>
      <c r="K13" s="183">
        <f t="shared" si="2"/>
        <v>8.1142486205777343E-3</v>
      </c>
      <c r="L13" s="28">
        <f t="shared" si="3"/>
        <v>4.9304203180785461E-2</v>
      </c>
      <c r="M13" s="25" t="s">
        <v>69</v>
      </c>
      <c r="N13" s="25">
        <v>1</v>
      </c>
      <c r="O13" s="25">
        <f>IFERROR(VLOOKUP(M13,Library!$K$4:$M$36,3,FALSE),"")</f>
        <v>-2</v>
      </c>
      <c r="P13" s="25">
        <f t="shared" si="4"/>
        <v>2.0285621551444336E-3</v>
      </c>
      <c r="Q13" s="25">
        <f>IFERROR(IF(M13="N/A",0,VLOOKUP(M13,Library!$K$4:$N$36,2,FALSE)),"")</f>
        <v>96.06</v>
      </c>
      <c r="R13" s="25">
        <f t="shared" si="5"/>
        <v>8.1142486205777343E-3</v>
      </c>
      <c r="S13" s="200">
        <f t="shared" si="6"/>
        <v>0.1948636806231743</v>
      </c>
      <c r="T13" s="217">
        <f>VLOOKUP(A13,Library!$B$4:$G$69,3,FALSE)</f>
        <v>0</v>
      </c>
      <c r="U13" s="185">
        <f>VLOOKUP(A13,Library!$B$4:$G$69,4,FALSE)</f>
        <v>0</v>
      </c>
      <c r="V13" s="185">
        <f>VLOOKUP(A13,Library!$B$4:$G$69,5,FALSE)</f>
        <v>0</v>
      </c>
      <c r="W13" s="218">
        <f>VLOOKUP(A13,Library!$B$4:$G$69,6,FALSE)</f>
        <v>1</v>
      </c>
      <c r="X13" s="217">
        <f t="shared" si="7"/>
        <v>0</v>
      </c>
      <c r="Y13" s="185">
        <f t="shared" si="8"/>
        <v>0</v>
      </c>
      <c r="Z13" s="185">
        <f t="shared" si="9"/>
        <v>0</v>
      </c>
      <c r="AA13" s="218">
        <f t="shared" si="10"/>
        <v>2.0285621551444336E-3</v>
      </c>
      <c r="AB13" s="217">
        <f>X13*VLOOKUP($AB$7,Library!$T$4:$U$7,2,FALSE)</f>
        <v>0</v>
      </c>
      <c r="AC13" s="185">
        <f>Y13*VLOOKUP($AC$7,Library!$T$4:$U$7,2,FALSE)</f>
        <v>0</v>
      </c>
      <c r="AD13" s="185">
        <f>Z13*VLOOKUP($AD$7,Library!$T$4:$U$7,2,FALSE)</f>
        <v>0</v>
      </c>
      <c r="AE13" s="218">
        <f>AA13*VLOOKUP($AE$7,Library!$T$4:$U$7,2,FALSE)</f>
        <v>6.5055988315481983E-2</v>
      </c>
    </row>
    <row r="14" spans="1:31" ht="14.4" x14ac:dyDescent="0.3">
      <c r="A14" s="25" t="s">
        <v>29</v>
      </c>
      <c r="B14" s="25">
        <f>IFERROR(VLOOKUP(A14,Library!$B$4:$G$69,2,FALSE),"")</f>
        <v>147.01</v>
      </c>
      <c r="C14" s="26">
        <f>VLOOKUP(A14,'DSMZ 120 v3'!$F$5:$G$21,2,FALSE)*1000/'DSMZ 120 v3'!$G$23</f>
        <v>0.25</v>
      </c>
      <c r="D14" s="41" t="s">
        <v>97</v>
      </c>
      <c r="E14" s="26">
        <f t="shared" si="0"/>
        <v>1.7005645874430312E-3</v>
      </c>
      <c r="F14" s="25" t="s">
        <v>65</v>
      </c>
      <c r="G14" s="28">
        <v>1</v>
      </c>
      <c r="H14" s="25">
        <f>VLOOKUP(F14,Library!$K$4:$N$36,3,FALSE)</f>
        <v>2</v>
      </c>
      <c r="I14" s="25">
        <f t="shared" si="1"/>
        <v>1.7005645874430312E-3</v>
      </c>
      <c r="J14" s="178">
        <f>IF(F14="N/A",0,VLOOKUP(F14,Library!$K$4:$M$36,2,FALSE))</f>
        <v>40.078000000000003</v>
      </c>
      <c r="K14" s="183">
        <f t="shared" si="2"/>
        <v>6.8022583497721247E-3</v>
      </c>
      <c r="L14" s="28">
        <f t="shared" si="3"/>
        <v>6.8155227535541804E-2</v>
      </c>
      <c r="M14" s="25" t="s">
        <v>70</v>
      </c>
      <c r="N14" s="25">
        <v>2</v>
      </c>
      <c r="O14" s="25">
        <f>IFERROR(VLOOKUP(M14,Library!$K$4:$M$36,3,FALSE),"")</f>
        <v>-1</v>
      </c>
      <c r="P14" s="25">
        <f t="shared" si="4"/>
        <v>3.4011291748860624E-3</v>
      </c>
      <c r="Q14" s="25">
        <f>IFERROR(IF(M14="N/A",0,VLOOKUP(M14,Library!$K$4:$N$36,2,FALSE)),"")</f>
        <v>35.453000000000003</v>
      </c>
      <c r="R14" s="25">
        <f t="shared" si="5"/>
        <v>3.4011291748860624E-3</v>
      </c>
      <c r="S14" s="200">
        <f t="shared" si="6"/>
        <v>0.12058023263723558</v>
      </c>
      <c r="T14" s="217">
        <f>VLOOKUP(A14,Library!$B$4:$G$69,3,FALSE)</f>
        <v>0</v>
      </c>
      <c r="U14" s="185">
        <f>VLOOKUP(A14,Library!$B$4:$G$69,4,FALSE)</f>
        <v>0</v>
      </c>
      <c r="V14" s="185">
        <f>VLOOKUP(A14,Library!$B$4:$G$69,5,FALSE)</f>
        <v>0</v>
      </c>
      <c r="W14" s="218">
        <f>VLOOKUP(A14,Library!$B$4:$G$69,6,FALSE)</f>
        <v>0</v>
      </c>
      <c r="X14" s="217">
        <f t="shared" si="7"/>
        <v>0</v>
      </c>
      <c r="Y14" s="185">
        <f t="shared" si="8"/>
        <v>0</v>
      </c>
      <c r="Z14" s="185">
        <f t="shared" si="9"/>
        <v>0</v>
      </c>
      <c r="AA14" s="218">
        <f t="shared" si="10"/>
        <v>0</v>
      </c>
      <c r="AB14" s="217">
        <f>X14*VLOOKUP($AB$7,Library!$T$4:$U$7,2,FALSE)</f>
        <v>0</v>
      </c>
      <c r="AC14" s="185">
        <f>Y14*VLOOKUP($AC$7,Library!$T$4:$U$7,2,FALSE)</f>
        <v>0</v>
      </c>
      <c r="AD14" s="185">
        <f>Z14*VLOOKUP($AD$7,Library!$T$4:$U$7,2,FALSE)</f>
        <v>0</v>
      </c>
      <c r="AE14" s="218">
        <f>AA14*VLOOKUP($AE$7,Library!$T$4:$U$7,2,FALSE)</f>
        <v>0</v>
      </c>
    </row>
    <row r="15" spans="1:31" ht="14.4" x14ac:dyDescent="0.3">
      <c r="A15" s="25" t="s">
        <v>33</v>
      </c>
      <c r="B15" s="25">
        <f>IFERROR(VLOOKUP(A15,Library!$B$4:$G$69,2,FALSE),"")</f>
        <v>58.44</v>
      </c>
      <c r="C15" s="26">
        <f>VLOOKUP(A15,'DSMZ 120 v3'!$F$5:$G$21,2,FALSE)*1000/'DSMZ 120 v3'!$G$23</f>
        <v>2.25</v>
      </c>
      <c r="D15" s="41" t="s">
        <v>97</v>
      </c>
      <c r="E15" s="26">
        <f t="shared" si="0"/>
        <v>3.8501026694045176E-2</v>
      </c>
      <c r="F15" s="25" t="s">
        <v>63</v>
      </c>
      <c r="G15" s="28">
        <v>1</v>
      </c>
      <c r="H15" s="25">
        <f>VLOOKUP(F15,Library!$K$4:$N$36,3,FALSE)</f>
        <v>1</v>
      </c>
      <c r="I15" s="25">
        <f t="shared" si="1"/>
        <v>3.8501026694045176E-2</v>
      </c>
      <c r="J15" s="178">
        <f>IF(F15="N/A",0,VLOOKUP(F15,Library!$K$4:$M$36,2,FALSE))</f>
        <v>28.989768999999999</v>
      </c>
      <c r="K15" s="183">
        <f t="shared" si="2"/>
        <v>3.8501026694045176E-2</v>
      </c>
      <c r="L15" s="28">
        <f t="shared" si="3"/>
        <v>1.1161358701232034</v>
      </c>
      <c r="M15" s="25" t="s">
        <v>70</v>
      </c>
      <c r="N15" s="25">
        <v>1</v>
      </c>
      <c r="O15" s="25">
        <f>IFERROR(VLOOKUP(M15,Library!$K$4:$M$36,3,FALSE),"")</f>
        <v>-1</v>
      </c>
      <c r="P15" s="25">
        <f t="shared" si="4"/>
        <v>3.8501026694045176E-2</v>
      </c>
      <c r="Q15" s="25">
        <f>IFERROR(IF(M15="N/A",0,VLOOKUP(M15,Library!$K$4:$N$36,2,FALSE)),"")</f>
        <v>35.453000000000003</v>
      </c>
      <c r="R15" s="25">
        <f t="shared" si="5"/>
        <v>3.8501026694045176E-2</v>
      </c>
      <c r="S15" s="200">
        <f t="shared" si="6"/>
        <v>1.3649768993839837</v>
      </c>
      <c r="T15" s="217">
        <f>VLOOKUP(A15,Library!$B$4:$G$69,3,FALSE)</f>
        <v>0</v>
      </c>
      <c r="U15" s="185">
        <f>VLOOKUP(A15,Library!$B$4:$G$69,4,FALSE)</f>
        <v>0</v>
      </c>
      <c r="V15" s="185">
        <f>VLOOKUP(A15,Library!$B$4:$G$69,5,FALSE)</f>
        <v>0</v>
      </c>
      <c r="W15" s="218">
        <f>VLOOKUP(A15,Library!$B$4:$G$69,6,FALSE)</f>
        <v>0</v>
      </c>
      <c r="X15" s="217">
        <f t="shared" si="7"/>
        <v>0</v>
      </c>
      <c r="Y15" s="185">
        <f t="shared" si="8"/>
        <v>0</v>
      </c>
      <c r="Z15" s="185">
        <f t="shared" si="9"/>
        <v>0</v>
      </c>
      <c r="AA15" s="218">
        <f t="shared" si="10"/>
        <v>0</v>
      </c>
      <c r="AB15" s="217">
        <f>X15*VLOOKUP($AB$7,Library!$T$4:$U$7,2,FALSE)</f>
        <v>0</v>
      </c>
      <c r="AC15" s="185">
        <f>Y15*VLOOKUP($AC$7,Library!$T$4:$U$7,2,FALSE)</f>
        <v>0</v>
      </c>
      <c r="AD15" s="185">
        <f>Z15*VLOOKUP($AD$7,Library!$T$4:$U$7,2,FALSE)</f>
        <v>0</v>
      </c>
      <c r="AE15" s="218">
        <f>AA15*VLOOKUP($AE$7,Library!$T$4:$U$7,2,FALSE)</f>
        <v>0</v>
      </c>
    </row>
    <row r="16" spans="1:31" ht="14.4" x14ac:dyDescent="0.3">
      <c r="A16" s="20" t="s">
        <v>291</v>
      </c>
      <c r="B16" s="253"/>
      <c r="C16" s="267"/>
      <c r="D16" s="267"/>
      <c r="E16" s="262"/>
      <c r="F16" s="253"/>
      <c r="G16" s="257"/>
      <c r="H16" s="253"/>
      <c r="I16" s="253"/>
      <c r="J16" s="263"/>
      <c r="K16" s="264"/>
      <c r="L16" s="257"/>
      <c r="M16" s="253"/>
      <c r="N16" s="253"/>
      <c r="O16" s="253"/>
      <c r="P16" s="253"/>
      <c r="Q16" s="253"/>
      <c r="R16" s="253"/>
      <c r="S16" s="265"/>
      <c r="T16" s="259"/>
      <c r="U16" s="260"/>
      <c r="V16" s="260"/>
      <c r="W16" s="261"/>
      <c r="X16" s="259"/>
      <c r="Y16" s="260"/>
      <c r="Z16" s="260"/>
      <c r="AA16" s="261"/>
      <c r="AB16" s="259"/>
      <c r="AC16" s="260"/>
      <c r="AD16" s="260"/>
      <c r="AE16" s="261"/>
    </row>
    <row r="17" spans="1:31" ht="14.4" x14ac:dyDescent="0.3">
      <c r="A17" s="25" t="s">
        <v>59</v>
      </c>
      <c r="B17" s="25">
        <f>IFERROR(VLOOKUP(A17,Library!$B$4:$G$69,2,FALSE),"")</f>
        <v>392.14</v>
      </c>
      <c r="C17" s="26">
        <f>VLOOKUP(A17,'DSMZ 120 v3'!I20:J22,2,FALSE)*(1000/'DSMZ 120 v3'!$J$22)*('DSMZ 120 v3'!$G$11/'DSMZ 120 v3'!$G$23)</f>
        <v>2.0020020020020024E-3</v>
      </c>
      <c r="D17" s="41" t="s">
        <v>97</v>
      </c>
      <c r="E17" s="26">
        <f t="shared" si="0"/>
        <v>5.1053246340643714E-6</v>
      </c>
      <c r="F17" s="25" t="s">
        <v>80</v>
      </c>
      <c r="G17" s="28">
        <v>1</v>
      </c>
      <c r="H17" s="25">
        <f>VLOOKUP(F17,Library!$K$4:$N$36,3,FALSE)</f>
        <v>2</v>
      </c>
      <c r="I17" s="25">
        <f>E17*G17</f>
        <v>5.1053246340643714E-6</v>
      </c>
      <c r="J17" s="178">
        <f>IF(F17="N/A",0,VLOOKUP(F17,Library!$K$4:$M$36,2,FALSE))</f>
        <v>55.844999999999999</v>
      </c>
      <c r="K17" s="183">
        <f t="shared" si="2"/>
        <v>2.0421298536257486E-5</v>
      </c>
      <c r="L17" s="28">
        <f t="shared" si="3"/>
        <v>2.8510685418932483E-4</v>
      </c>
      <c r="M17" s="25" t="s">
        <v>69</v>
      </c>
      <c r="N17" s="25">
        <v>1</v>
      </c>
      <c r="O17" s="25">
        <f>IFERROR(VLOOKUP(M17,Library!$K$4:$M$36,3,FALSE),"")</f>
        <v>-2</v>
      </c>
      <c r="P17" s="25">
        <f>E17*N17</f>
        <v>5.1053246340643714E-6</v>
      </c>
      <c r="Q17" s="25">
        <f>IFERROR(IF(M17="N/A",0,VLOOKUP(M17,Library!$K$4:$N$36,2,FALSE)),"")</f>
        <v>96.06</v>
      </c>
      <c r="R17" s="25">
        <f>IFERROR(P17*(O17^2),"")</f>
        <v>2.0421298536257486E-5</v>
      </c>
      <c r="S17" s="200">
        <f>IFERROR(P17*Q17,"")</f>
        <v>4.9041748434822357E-4</v>
      </c>
      <c r="T17" s="217">
        <f>VLOOKUP(A17,Library!$B$4:$G$69,3,FALSE)</f>
        <v>0</v>
      </c>
      <c r="U17" s="185">
        <f>VLOOKUP(A17,Library!$B$4:$G$69,4,FALSE)</f>
        <v>0</v>
      </c>
      <c r="V17" s="185">
        <f>VLOOKUP(A17,Library!$B$4:$G$69,5,FALSE)</f>
        <v>0</v>
      </c>
      <c r="W17" s="218">
        <f>VLOOKUP(A17,Library!$B$4:$G$69,6,FALSE)</f>
        <v>1</v>
      </c>
      <c r="X17" s="217">
        <f t="shared" ref="X17:X49" si="11">T17*E17</f>
        <v>0</v>
      </c>
      <c r="Y17" s="185">
        <f>U17*E17</f>
        <v>0</v>
      </c>
      <c r="Z17" s="185">
        <f>V17*E17</f>
        <v>0</v>
      </c>
      <c r="AA17" s="218">
        <f>W17*E17</f>
        <v>5.1053246340643714E-6</v>
      </c>
      <c r="AB17" s="217">
        <f>X17*VLOOKUP($AB$7,Library!$T$4:$U$7,2,FALSE)</f>
        <v>0</v>
      </c>
      <c r="AC17" s="185">
        <f>Y17*VLOOKUP($AC$7,Library!$T$4:$U$7,2,FALSE)</f>
        <v>0</v>
      </c>
      <c r="AD17" s="185">
        <f>Z17*VLOOKUP($AD$7,Library!$T$4:$U$7,2,FALSE)</f>
        <v>0</v>
      </c>
      <c r="AE17" s="218">
        <f>AA17*VLOOKUP($AE$7,Library!$T$4:$U$7,2,FALSE)</f>
        <v>1.637277610144444E-4</v>
      </c>
    </row>
    <row r="18" spans="1:31" ht="14.4" x14ac:dyDescent="0.3">
      <c r="A18" s="25" t="s">
        <v>348</v>
      </c>
      <c r="B18" s="25">
        <f>IFERROR(VLOOKUP(A18,Library!$B$4:$G$69,2,FALSE),"")</f>
        <v>98.085999999999999</v>
      </c>
      <c r="C18" s="26">
        <f>'DSMZ 120 v3'!$M$20*('DSMZ 120 v3'!J22/1000)*('DSMZ 120 v3'!$G$11/'DSMZ 120 v3'!$G$23)</f>
        <v>9.7902000000000006E-3</v>
      </c>
      <c r="D18" s="41" t="s">
        <v>97</v>
      </c>
      <c r="E18" s="26">
        <f t="shared" si="0"/>
        <v>9.981240951817794E-5</v>
      </c>
      <c r="F18" s="25" t="s">
        <v>339</v>
      </c>
      <c r="G18" s="28">
        <v>2</v>
      </c>
      <c r="H18" s="25">
        <f>VLOOKUP(F18,Library!$K$4:$N$36,3,FALSE)</f>
        <v>1</v>
      </c>
      <c r="I18" s="25">
        <f>E18*G18</f>
        <v>1.9962481903635588E-4</v>
      </c>
      <c r="J18" s="178">
        <f>IF(F18="N/A",0,VLOOKUP(F18,Library!$K$4:$M$36,2,FALSE))</f>
        <v>1.0078400000000001</v>
      </c>
      <c r="K18" s="183">
        <f t="shared" si="2"/>
        <v>1.9962481903635588E-4</v>
      </c>
      <c r="L18" s="28">
        <f t="shared" si="3"/>
        <v>2.0118987761760093E-4</v>
      </c>
      <c r="M18" s="25" t="s">
        <v>69</v>
      </c>
      <c r="N18" s="25">
        <v>1</v>
      </c>
      <c r="O18" s="25">
        <f>IFERROR(VLOOKUP(M18,Library!$K$4:$M$36,3,FALSE),"")</f>
        <v>-2</v>
      </c>
      <c r="P18" s="25">
        <f>E18*N18</f>
        <v>9.981240951817794E-5</v>
      </c>
      <c r="Q18" s="25"/>
      <c r="R18" s="25">
        <f>IFERROR(P18*(O18^2),"")</f>
        <v>3.9924963807271176E-4</v>
      </c>
      <c r="S18" s="200"/>
      <c r="T18" s="217">
        <f>VLOOKUP(A18,Library!$B$4:$G$69,3,FALSE)</f>
        <v>0</v>
      </c>
      <c r="U18" s="185">
        <f>VLOOKUP(A18,Library!$B$4:$G$69,4,FALSE)</f>
        <v>0</v>
      </c>
      <c r="V18" s="185">
        <f>VLOOKUP(A18,Library!$B$4:$G$69,5,FALSE)</f>
        <v>0</v>
      </c>
      <c r="W18" s="218">
        <f>VLOOKUP(A18,Library!$B$4:$G$69,6,FALSE)</f>
        <v>1</v>
      </c>
      <c r="X18" s="217">
        <f t="shared" si="11"/>
        <v>0</v>
      </c>
      <c r="Y18" s="185">
        <f t="shared" ref="Y18:Y49" si="12">U18*E18</f>
        <v>0</v>
      </c>
      <c r="Z18" s="185">
        <f t="shared" ref="Z18:Z49" si="13">V18*E18</f>
        <v>0</v>
      </c>
      <c r="AA18" s="218">
        <f t="shared" ref="AA18:AA49" si="14">W18*E18</f>
        <v>9.981240951817794E-5</v>
      </c>
      <c r="AB18" s="217">
        <f>X18*VLOOKUP($AB$7,Library!$T$4:$U$7,2,FALSE)</f>
        <v>0</v>
      </c>
      <c r="AC18" s="185">
        <f>Y18*VLOOKUP($AC$7,Library!$T$4:$U$7,2,FALSE)</f>
        <v>0</v>
      </c>
      <c r="AD18" s="185">
        <f>Z18*VLOOKUP($AD$7,Library!$T$4:$U$7,2,FALSE)</f>
        <v>0</v>
      </c>
      <c r="AE18" s="218">
        <f>AA18*VLOOKUP($AE$7,Library!$T$4:$U$7,2,FALSE)</f>
        <v>3.2009839732479667E-3</v>
      </c>
    </row>
    <row r="19" spans="1:31" ht="14.4" x14ac:dyDescent="0.3">
      <c r="A19" s="20" t="s">
        <v>327</v>
      </c>
      <c r="B19" s="253"/>
      <c r="C19" s="262"/>
      <c r="D19" s="267"/>
      <c r="E19" s="262"/>
      <c r="F19" s="253"/>
      <c r="G19" s="257"/>
      <c r="H19" s="253"/>
      <c r="I19" s="253"/>
      <c r="J19" s="263"/>
      <c r="K19" s="264"/>
      <c r="L19" s="257"/>
      <c r="M19" s="253"/>
      <c r="N19" s="253"/>
      <c r="O19" s="253"/>
      <c r="P19" s="253"/>
      <c r="Q19" s="253"/>
      <c r="R19" s="253"/>
      <c r="S19" s="265"/>
      <c r="T19" s="259"/>
      <c r="U19" s="260"/>
      <c r="V19" s="260"/>
      <c r="W19" s="261"/>
      <c r="X19" s="259">
        <f t="shared" si="11"/>
        <v>0</v>
      </c>
      <c r="Y19" s="260">
        <f t="shared" si="12"/>
        <v>0</v>
      </c>
      <c r="Z19" s="260">
        <f t="shared" si="13"/>
        <v>0</v>
      </c>
      <c r="AA19" s="261">
        <f t="shared" si="14"/>
        <v>0</v>
      </c>
      <c r="AB19" s="259"/>
      <c r="AC19" s="260"/>
      <c r="AD19" s="260"/>
      <c r="AE19" s="261"/>
    </row>
    <row r="20" spans="1:31" ht="14.4" x14ac:dyDescent="0.3">
      <c r="A20" s="25" t="s">
        <v>124</v>
      </c>
      <c r="B20" s="25">
        <f>IFERROR(VLOOKUP(A20,Library!$B$4:$G$69,2,FALSE),"")</f>
        <v>36.46</v>
      </c>
      <c r="C20" s="26">
        <f>'DSMZ 120 v3'!P20*('DSMZ 120 v3'!$M$4/'DSMZ 120 v3'!$M$14)*('DSMZ 120 v3'!$G$12/'DSMZ 120 v3'!$G$23)</f>
        <v>2.9500000000000004E-3</v>
      </c>
      <c r="D20" s="41" t="s">
        <v>97</v>
      </c>
      <c r="E20" s="26">
        <f t="shared" si="0"/>
        <v>8.091058694459683E-5</v>
      </c>
      <c r="F20" s="25" t="s">
        <v>339</v>
      </c>
      <c r="G20" s="28">
        <v>1</v>
      </c>
      <c r="H20" s="25">
        <f>VLOOKUP(F20,Library!$K$4:$N$36,3,FALSE)</f>
        <v>1</v>
      </c>
      <c r="I20" s="25">
        <f t="shared" si="1"/>
        <v>8.091058694459683E-5</v>
      </c>
      <c r="J20" s="178">
        <f>IF(F20="N/A",0,VLOOKUP(F20,Library!$K$4:$M$36,2,FALSE))</f>
        <v>1.0078400000000001</v>
      </c>
      <c r="K20" s="183">
        <f t="shared" si="2"/>
        <v>8.091058694459683E-5</v>
      </c>
      <c r="L20" s="28">
        <f t="shared" si="3"/>
        <v>8.1544925946242482E-5</v>
      </c>
      <c r="M20" s="25" t="s">
        <v>70</v>
      </c>
      <c r="N20" s="25">
        <v>1</v>
      </c>
      <c r="O20" s="25">
        <f>IFERROR(VLOOKUP(M20,Library!$K$4:$M$36,3,FALSE),"")</f>
        <v>-1</v>
      </c>
      <c r="P20" s="25">
        <f t="shared" si="4"/>
        <v>8.091058694459683E-5</v>
      </c>
      <c r="Q20" s="25">
        <f>IFERROR(IF(M20="N/A",0,VLOOKUP(M20,Library!$K$4:$N$36,2,FALSE)),"")</f>
        <v>35.453000000000003</v>
      </c>
      <c r="R20" s="25">
        <f t="shared" si="5"/>
        <v>8.091058694459683E-5</v>
      </c>
      <c r="S20" s="200">
        <f t="shared" si="6"/>
        <v>2.8685230389467915E-3</v>
      </c>
      <c r="T20" s="217">
        <f>VLOOKUP(A20,Library!$B$4:$G$69,3,FALSE)</f>
        <v>0</v>
      </c>
      <c r="U20" s="185">
        <f>VLOOKUP(A20,Library!$B$4:$G$69,4,FALSE)</f>
        <v>0</v>
      </c>
      <c r="V20" s="185">
        <f>VLOOKUP(A20,Library!$B$4:$G$69,5,FALSE)</f>
        <v>0</v>
      </c>
      <c r="W20" s="218">
        <f>VLOOKUP(A20,Library!$B$4:$G$69,6,FALSE)</f>
        <v>0</v>
      </c>
      <c r="X20" s="217">
        <f t="shared" si="11"/>
        <v>0</v>
      </c>
      <c r="Y20" s="185">
        <f t="shared" si="12"/>
        <v>0</v>
      </c>
      <c r="Z20" s="185">
        <f t="shared" si="13"/>
        <v>0</v>
      </c>
      <c r="AA20" s="218">
        <f t="shared" si="14"/>
        <v>0</v>
      </c>
      <c r="AB20" s="217">
        <f>X20*VLOOKUP($AB$7,Library!$T$4:$U$7,2,FALSE)</f>
        <v>0</v>
      </c>
      <c r="AC20" s="185">
        <f>Y20*VLOOKUP($AC$7,Library!$T$4:$U$7,2,FALSE)</f>
        <v>0</v>
      </c>
      <c r="AD20" s="185">
        <f>Z20*VLOOKUP($AD$7,Library!$T$4:$U$7,2,FALSE)</f>
        <v>0</v>
      </c>
      <c r="AE20" s="218">
        <f>AA20*VLOOKUP($AE$7,Library!$T$4:$U$7,2,FALSE)</f>
        <v>0</v>
      </c>
    </row>
    <row r="21" spans="1:31" ht="14.4" x14ac:dyDescent="0.3">
      <c r="A21" s="25" t="s">
        <v>164</v>
      </c>
      <c r="B21" s="25">
        <f>IFERROR(VLOOKUP(A21,Library!$B$4:$G$69,2,FALSE),"")</f>
        <v>198.81</v>
      </c>
      <c r="C21" s="26">
        <f>VLOOKUP(A21,'DSMZ 120 v3'!$L$4:$M$13,2,FALSE)*('DSMZ 120 v3'!$G$12/'DSMZ 120 v3'!$G$23)</f>
        <v>1.5E-3</v>
      </c>
      <c r="D21" s="41" t="s">
        <v>97</v>
      </c>
      <c r="E21" s="26">
        <f t="shared" si="0"/>
        <v>7.5448921080428549E-6</v>
      </c>
      <c r="F21" s="25" t="s">
        <v>80</v>
      </c>
      <c r="G21" s="28">
        <v>1</v>
      </c>
      <c r="H21" s="25">
        <f>VLOOKUP(F21,Library!$K$4:$N$36,3,FALSE)</f>
        <v>2</v>
      </c>
      <c r="I21" s="25">
        <f t="shared" si="1"/>
        <v>7.5448921080428549E-6</v>
      </c>
      <c r="J21" s="178">
        <f>IF(F21="N/A",0,VLOOKUP(F21,Library!$K$4:$M$36,2,FALSE))</f>
        <v>55.844999999999999</v>
      </c>
      <c r="K21" s="183">
        <f t="shared" si="2"/>
        <v>3.017956843217142E-5</v>
      </c>
      <c r="L21" s="28">
        <f t="shared" si="3"/>
        <v>4.2134449977365322E-4</v>
      </c>
      <c r="M21" s="25" t="s">
        <v>70</v>
      </c>
      <c r="N21" s="25">
        <v>2</v>
      </c>
      <c r="O21" s="25">
        <f>IFERROR(VLOOKUP(M21,Library!$K$4:$M$36,3,FALSE),"")</f>
        <v>-1</v>
      </c>
      <c r="P21" s="25">
        <f t="shared" si="4"/>
        <v>1.508978421608571E-5</v>
      </c>
      <c r="Q21" s="25">
        <f>IFERROR(IF(M21="N/A",0,VLOOKUP(M21,Library!$K$4:$N$36,2,FALSE)),"")</f>
        <v>35.453000000000003</v>
      </c>
      <c r="R21" s="25">
        <f t="shared" si="5"/>
        <v>1.508978421608571E-5</v>
      </c>
      <c r="S21" s="200">
        <f t="shared" si="6"/>
        <v>5.3497811981288669E-4</v>
      </c>
      <c r="T21" s="217">
        <f>VLOOKUP(A21,Library!$B$4:$G$69,3,FALSE)</f>
        <v>0</v>
      </c>
      <c r="U21" s="185">
        <f>VLOOKUP(A21,Library!$B$4:$G$69,4,FALSE)</f>
        <v>0</v>
      </c>
      <c r="V21" s="185">
        <f>VLOOKUP(A21,Library!$B$4:$G$69,5,FALSE)</f>
        <v>0</v>
      </c>
      <c r="W21" s="218">
        <f>VLOOKUP(A21,Library!$B$4:$G$69,6,FALSE)</f>
        <v>0</v>
      </c>
      <c r="X21" s="217">
        <f t="shared" si="11"/>
        <v>0</v>
      </c>
      <c r="Y21" s="185">
        <f t="shared" si="12"/>
        <v>0</v>
      </c>
      <c r="Z21" s="185">
        <f t="shared" si="13"/>
        <v>0</v>
      </c>
      <c r="AA21" s="218">
        <f t="shared" si="14"/>
        <v>0</v>
      </c>
      <c r="AB21" s="217">
        <f>X21*VLOOKUP($AB$7,Library!$T$4:$U$7,2,FALSE)</f>
        <v>0</v>
      </c>
      <c r="AC21" s="185">
        <f>Y21*VLOOKUP($AC$7,Library!$T$4:$U$7,2,FALSE)</f>
        <v>0</v>
      </c>
      <c r="AD21" s="185">
        <f>Z21*VLOOKUP($AD$7,Library!$T$4:$U$7,2,FALSE)</f>
        <v>0</v>
      </c>
      <c r="AE21" s="218">
        <f>AA21*VLOOKUP($AE$7,Library!$T$4:$U$7,2,FALSE)</f>
        <v>0</v>
      </c>
    </row>
    <row r="22" spans="1:31" ht="14.4" x14ac:dyDescent="0.3">
      <c r="A22" s="25" t="s">
        <v>168</v>
      </c>
      <c r="B22" s="25">
        <f>IFERROR(VLOOKUP(A22,Library!$B$4:$G$69,2,FALSE),"")</f>
        <v>136.29</v>
      </c>
      <c r="C22" s="26">
        <f>VLOOKUP(A22,'DSMZ 120 v3'!$L$4:$M$13,2,FALSE)*('DSMZ 120 v3'!$G$12/'DSMZ 120 v3'!$G$23)</f>
        <v>7.0000000000000007E-2</v>
      </c>
      <c r="D22" s="41" t="s">
        <v>16</v>
      </c>
      <c r="E22" s="26">
        <f t="shared" si="0"/>
        <v>5.1361068310220855E-7</v>
      </c>
      <c r="F22" s="25" t="s">
        <v>73</v>
      </c>
      <c r="G22" s="28">
        <v>1</v>
      </c>
      <c r="H22" s="25">
        <f>VLOOKUP(F22,Library!$K$4:$N$36,3,FALSE)</f>
        <v>2</v>
      </c>
      <c r="I22" s="25">
        <f t="shared" si="1"/>
        <v>5.1361068310220855E-7</v>
      </c>
      <c r="J22" s="178">
        <f>IF(F22="N/A",0,VLOOKUP(F22,Library!$K$4:$M$36,2,FALSE))</f>
        <v>65.926034000000001</v>
      </c>
      <c r="K22" s="183">
        <f t="shared" si="2"/>
        <v>2.0544427324088342E-6</v>
      </c>
      <c r="L22" s="28">
        <f t="shared" si="3"/>
        <v>3.3860315356959429E-5</v>
      </c>
      <c r="M22" s="25" t="s">
        <v>70</v>
      </c>
      <c r="N22" s="25">
        <v>2</v>
      </c>
      <c r="O22" s="25">
        <f>IFERROR(VLOOKUP(M22,Library!$K$4:$M$36,3,FALSE),"")</f>
        <v>-1</v>
      </c>
      <c r="P22" s="25">
        <f t="shared" si="4"/>
        <v>1.0272213662044171E-6</v>
      </c>
      <c r="Q22" s="25">
        <f>IFERROR(IF(M22="N/A",0,VLOOKUP(M22,Library!$K$4:$N$36,2,FALSE)),"")</f>
        <v>35.453000000000003</v>
      </c>
      <c r="R22" s="25">
        <f t="shared" si="5"/>
        <v>1.0272213662044171E-6</v>
      </c>
      <c r="S22" s="200">
        <f t="shared" si="6"/>
        <v>3.64180790960452E-5</v>
      </c>
      <c r="T22" s="217">
        <f>VLOOKUP(A22,Library!$B$4:$G$69,3,FALSE)</f>
        <v>0</v>
      </c>
      <c r="U22" s="185">
        <f>VLOOKUP(A22,Library!$B$4:$G$69,4,FALSE)</f>
        <v>0</v>
      </c>
      <c r="V22" s="185">
        <f>VLOOKUP(A22,Library!$B$4:$G$69,5,FALSE)</f>
        <v>0</v>
      </c>
      <c r="W22" s="218">
        <f>VLOOKUP(A22,Library!$B$4:$G$69,6,FALSE)</f>
        <v>0</v>
      </c>
      <c r="X22" s="217">
        <f t="shared" si="11"/>
        <v>0</v>
      </c>
      <c r="Y22" s="185">
        <f t="shared" si="12"/>
        <v>0</v>
      </c>
      <c r="Z22" s="185">
        <f t="shared" si="13"/>
        <v>0</v>
      </c>
      <c r="AA22" s="218">
        <f t="shared" si="14"/>
        <v>0</v>
      </c>
      <c r="AB22" s="217">
        <f>X22*VLOOKUP($AB$7,Library!$T$4:$U$7,2,FALSE)</f>
        <v>0</v>
      </c>
      <c r="AC22" s="185">
        <f>Y22*VLOOKUP($AC$7,Library!$T$4:$U$7,2,FALSE)</f>
        <v>0</v>
      </c>
      <c r="AD22" s="185">
        <f>Z22*VLOOKUP($AD$7,Library!$T$4:$U$7,2,FALSE)</f>
        <v>0</v>
      </c>
      <c r="AE22" s="218">
        <f>AA22*VLOOKUP($AE$7,Library!$T$4:$U$7,2,FALSE)</f>
        <v>0</v>
      </c>
    </row>
    <row r="23" spans="1:31" ht="14.4" x14ac:dyDescent="0.3">
      <c r="A23" s="25" t="s">
        <v>163</v>
      </c>
      <c r="B23" s="25">
        <f>IFERROR(VLOOKUP(A23,Library!$B$4:$G$69,2,FALSE),"")</f>
        <v>197.91</v>
      </c>
      <c r="C23" s="26">
        <f>VLOOKUP(A23,'DSMZ 120 v3'!$L$4:$M$13,2,FALSE)*('DSMZ 120 v3'!$G$12/'DSMZ 120 v3'!$G$23)</f>
        <v>0.1</v>
      </c>
      <c r="D23" s="41" t="s">
        <v>16</v>
      </c>
      <c r="E23" s="26">
        <f t="shared" si="0"/>
        <v>5.0528017785862262E-7</v>
      </c>
      <c r="F23" s="25" t="s">
        <v>74</v>
      </c>
      <c r="G23" s="28">
        <v>1</v>
      </c>
      <c r="H23" s="25">
        <f>VLOOKUP(F23,Library!$K$4:$N$36,3,FALSE)</f>
        <v>2</v>
      </c>
      <c r="I23" s="25">
        <f t="shared" si="1"/>
        <v>5.0528017785862262E-7</v>
      </c>
      <c r="J23" s="178">
        <f>IF(F23="N/A",0,VLOOKUP(F23,Library!$K$4:$M$36,2,FALSE))</f>
        <v>54.94</v>
      </c>
      <c r="K23" s="183">
        <f t="shared" si="2"/>
        <v>2.0211207114344905E-6</v>
      </c>
      <c r="L23" s="28">
        <f t="shared" si="3"/>
        <v>2.7760092971552727E-5</v>
      </c>
      <c r="M23" s="25" t="s">
        <v>70</v>
      </c>
      <c r="N23" s="25">
        <v>2</v>
      </c>
      <c r="O23" s="25">
        <f>IFERROR(VLOOKUP(M23,Library!$K$4:$M$36,3,FALSE),"")</f>
        <v>-1</v>
      </c>
      <c r="P23" s="25">
        <f t="shared" si="4"/>
        <v>1.0105603557172452E-6</v>
      </c>
      <c r="Q23" s="25">
        <f>IFERROR(IF(M23="N/A",0,VLOOKUP(M23,Library!$K$4:$N$36,2,FALSE)),"")</f>
        <v>35.453000000000003</v>
      </c>
      <c r="R23" s="25">
        <f t="shared" si="5"/>
        <v>1.0105603557172452E-6</v>
      </c>
      <c r="S23" s="200">
        <f t="shared" si="6"/>
        <v>3.5827396291243501E-5</v>
      </c>
      <c r="T23" s="217">
        <f>VLOOKUP(A23,Library!$B$4:$G$69,3,FALSE)</f>
        <v>0</v>
      </c>
      <c r="U23" s="185">
        <f>VLOOKUP(A23,Library!$B$4:$G$69,4,FALSE)</f>
        <v>0</v>
      </c>
      <c r="V23" s="185">
        <f>VLOOKUP(A23,Library!$B$4:$G$69,5,FALSE)</f>
        <v>0</v>
      </c>
      <c r="W23" s="218">
        <f>VLOOKUP(A23,Library!$B$4:$G$69,6,FALSE)</f>
        <v>0</v>
      </c>
      <c r="X23" s="217">
        <f t="shared" si="11"/>
        <v>0</v>
      </c>
      <c r="Y23" s="185">
        <f t="shared" si="12"/>
        <v>0</v>
      </c>
      <c r="Z23" s="185">
        <f t="shared" si="13"/>
        <v>0</v>
      </c>
      <c r="AA23" s="218">
        <f t="shared" si="14"/>
        <v>0</v>
      </c>
      <c r="AB23" s="217">
        <f>X23*VLOOKUP($AB$7,Library!$T$4:$U$7,2,FALSE)</f>
        <v>0</v>
      </c>
      <c r="AC23" s="185">
        <f>Y23*VLOOKUP($AC$7,Library!$T$4:$U$7,2,FALSE)</f>
        <v>0</v>
      </c>
      <c r="AD23" s="185">
        <f>Z23*VLOOKUP($AD$7,Library!$T$4:$U$7,2,FALSE)</f>
        <v>0</v>
      </c>
      <c r="AE23" s="218">
        <f>AA23*VLOOKUP($AE$7,Library!$T$4:$U$7,2,FALSE)</f>
        <v>0</v>
      </c>
    </row>
    <row r="24" spans="1:31" ht="14.4" x14ac:dyDescent="0.3">
      <c r="A24" s="25" t="s">
        <v>31</v>
      </c>
      <c r="B24" s="25">
        <f>IFERROR(VLOOKUP(A24,Library!$B$4:$G$69,2,FALSE),"")</f>
        <v>61.83</v>
      </c>
      <c r="C24" s="26">
        <f>VLOOKUP(A24,'DSMZ 120 v3'!$L$4:$M$13,2,FALSE)*('DSMZ 120 v3'!$G$12/'DSMZ 120 v3'!$G$23)</f>
        <v>6.0000000000000001E-3</v>
      </c>
      <c r="D24" s="41" t="s">
        <v>16</v>
      </c>
      <c r="E24" s="26">
        <f t="shared" si="0"/>
        <v>9.7040271712760799E-8</v>
      </c>
      <c r="F24" s="25" t="s">
        <v>339</v>
      </c>
      <c r="G24" s="28">
        <v>3</v>
      </c>
      <c r="H24" s="25">
        <f>VLOOKUP(F24,Library!$K$4:$N$36,3,FALSE)</f>
        <v>1</v>
      </c>
      <c r="I24" s="25">
        <f t="shared" si="1"/>
        <v>2.9112081513828238E-7</v>
      </c>
      <c r="J24" s="178">
        <f>IF(F24="N/A",0,VLOOKUP(F24,Library!$K$4:$M$36,2,FALSE))</f>
        <v>1.0078400000000001</v>
      </c>
      <c r="K24" s="183">
        <f t="shared" si="2"/>
        <v>2.9112081513828238E-7</v>
      </c>
      <c r="L24" s="28">
        <f t="shared" si="3"/>
        <v>2.9340320232896652E-7</v>
      </c>
      <c r="M24" s="25" t="s">
        <v>113</v>
      </c>
      <c r="N24" s="25">
        <v>1</v>
      </c>
      <c r="O24" s="25">
        <f>IFERROR(VLOOKUP(M24,Library!$K$4:$M$36,3,FALSE),"")</f>
        <v>-3</v>
      </c>
      <c r="P24" s="25">
        <f t="shared" si="4"/>
        <v>9.7040271712760799E-8</v>
      </c>
      <c r="Q24" s="25">
        <f>IFERROR(IF(M24="N/A",0,VLOOKUP(M24,Library!$K$4:$N$36,2,FALSE)),"")</f>
        <v>58.81</v>
      </c>
      <c r="R24" s="25">
        <f t="shared" si="5"/>
        <v>8.7336244541484721E-7</v>
      </c>
      <c r="S24" s="200">
        <f t="shared" si="6"/>
        <v>5.7069383794274627E-6</v>
      </c>
      <c r="T24" s="217">
        <f>VLOOKUP(A24,Library!$B$4:$G$69,3,FALSE)</f>
        <v>0</v>
      </c>
      <c r="U24" s="185">
        <f>VLOOKUP(A24,Library!$B$4:$G$69,4,FALSE)</f>
        <v>0</v>
      </c>
      <c r="V24" s="185">
        <f>VLOOKUP(A24,Library!$B$4:$G$69,5,FALSE)</f>
        <v>0</v>
      </c>
      <c r="W24" s="218">
        <f>VLOOKUP(A24,Library!$B$4:$G$69,6,FALSE)</f>
        <v>0</v>
      </c>
      <c r="X24" s="217">
        <f t="shared" si="11"/>
        <v>0</v>
      </c>
      <c r="Y24" s="185">
        <f t="shared" si="12"/>
        <v>0</v>
      </c>
      <c r="Z24" s="185">
        <f t="shared" si="13"/>
        <v>0</v>
      </c>
      <c r="AA24" s="218">
        <f t="shared" si="14"/>
        <v>0</v>
      </c>
      <c r="AB24" s="217">
        <f>X24*VLOOKUP($AB$7,Library!$T$4:$U$7,2,FALSE)</f>
        <v>0</v>
      </c>
      <c r="AC24" s="185">
        <f>Y24*VLOOKUP($AC$7,Library!$T$4:$U$7,2,FALSE)</f>
        <v>0</v>
      </c>
      <c r="AD24" s="185">
        <f>Z24*VLOOKUP($AD$7,Library!$T$4:$U$7,2,FALSE)</f>
        <v>0</v>
      </c>
      <c r="AE24" s="218">
        <f>AA24*VLOOKUP($AE$7,Library!$T$4:$U$7,2,FALSE)</f>
        <v>0</v>
      </c>
    </row>
    <row r="25" spans="1:31" ht="14.4" x14ac:dyDescent="0.3">
      <c r="A25" s="25" t="s">
        <v>35</v>
      </c>
      <c r="B25" s="25">
        <f>IFERROR(VLOOKUP(A25,Library!$B$4:$G$69,2,FALSE),"")</f>
        <v>237.93</v>
      </c>
      <c r="C25" s="26">
        <f>VLOOKUP(A25,'DSMZ 120 v3'!$L$4:$M$13,2,FALSE)*('DSMZ 120 v3'!$G$12/'DSMZ 120 v3'!$G$23)</f>
        <v>0.19</v>
      </c>
      <c r="D25" s="41" t="s">
        <v>16</v>
      </c>
      <c r="E25" s="26">
        <f t="shared" si="0"/>
        <v>7.9855419661244901E-7</v>
      </c>
      <c r="F25" s="25" t="s">
        <v>75</v>
      </c>
      <c r="G25" s="28">
        <v>1</v>
      </c>
      <c r="H25" s="25">
        <f>VLOOKUP(F25,Library!$K$4:$N$36,3,FALSE)</f>
        <v>2</v>
      </c>
      <c r="I25" s="25">
        <f t="shared" si="1"/>
        <v>7.9855419661244901E-7</v>
      </c>
      <c r="J25" s="178">
        <f>IF(F25="N/A",0,VLOOKUP(F25,Library!$K$4:$M$36,2,FALSE))</f>
        <v>58.933190000000003</v>
      </c>
      <c r="K25" s="183">
        <f t="shared" si="2"/>
        <v>3.1942167864497961E-6</v>
      </c>
      <c r="L25" s="28">
        <f t="shared" si="3"/>
        <v>4.7061346194258816E-5</v>
      </c>
      <c r="M25" s="25" t="s">
        <v>70</v>
      </c>
      <c r="N25" s="25">
        <v>2</v>
      </c>
      <c r="O25" s="25">
        <f>IFERROR(VLOOKUP(M25,Library!$K$4:$M$36,3,FALSE),"")</f>
        <v>-1</v>
      </c>
      <c r="P25" s="25">
        <f t="shared" si="4"/>
        <v>1.597108393224898E-6</v>
      </c>
      <c r="Q25" s="25">
        <f>IFERROR(IF(M25="N/A",0,VLOOKUP(M25,Library!$K$4:$N$36,2,FALSE)),"")</f>
        <v>35.453000000000003</v>
      </c>
      <c r="R25" s="25">
        <f t="shared" si="5"/>
        <v>1.597108393224898E-6</v>
      </c>
      <c r="S25" s="200">
        <f t="shared" si="6"/>
        <v>5.6622283865002313E-5</v>
      </c>
      <c r="T25" s="217">
        <f>VLOOKUP(A25,Library!$B$4:$G$69,3,FALSE)</f>
        <v>0</v>
      </c>
      <c r="U25" s="185">
        <f>VLOOKUP(A25,Library!$B$4:$G$69,4,FALSE)</f>
        <v>0</v>
      </c>
      <c r="V25" s="185">
        <f>VLOOKUP(A25,Library!$B$4:$G$69,5,FALSE)</f>
        <v>0</v>
      </c>
      <c r="W25" s="218">
        <f>VLOOKUP(A25,Library!$B$4:$G$69,6,FALSE)</f>
        <v>0</v>
      </c>
      <c r="X25" s="217">
        <f t="shared" si="11"/>
        <v>0</v>
      </c>
      <c r="Y25" s="185">
        <f t="shared" si="12"/>
        <v>0</v>
      </c>
      <c r="Z25" s="185">
        <f t="shared" si="13"/>
        <v>0</v>
      </c>
      <c r="AA25" s="218">
        <f t="shared" si="14"/>
        <v>0</v>
      </c>
      <c r="AB25" s="217">
        <f>X25*VLOOKUP($AB$7,Library!$T$4:$U$7,2,FALSE)</f>
        <v>0</v>
      </c>
      <c r="AC25" s="185">
        <f>Y25*VLOOKUP($AC$7,Library!$T$4:$U$7,2,FALSE)</f>
        <v>0</v>
      </c>
      <c r="AD25" s="185">
        <f>Z25*VLOOKUP($AD$7,Library!$T$4:$U$7,2,FALSE)</f>
        <v>0</v>
      </c>
      <c r="AE25" s="218">
        <f>AA25*VLOOKUP($AE$7,Library!$T$4:$U$7,2,FALSE)</f>
        <v>0</v>
      </c>
    </row>
    <row r="26" spans="1:31" ht="14.4" x14ac:dyDescent="0.3">
      <c r="A26" s="25" t="s">
        <v>179</v>
      </c>
      <c r="B26" s="25">
        <f>IFERROR(VLOOKUP(A26,Library!$B$4:$G$69,2,FALSE),"")</f>
        <v>170.48</v>
      </c>
      <c r="C26" s="26">
        <f>VLOOKUP(A26,'DSMZ 120 v3'!$L$4:$M$13,2,FALSE)*('DSMZ 120 v3'!$G$12/'DSMZ 120 v3'!$G$23)</f>
        <v>2E-3</v>
      </c>
      <c r="D26" s="41" t="s">
        <v>16</v>
      </c>
      <c r="E26" s="26">
        <f t="shared" si="0"/>
        <v>1.1731581417175035E-8</v>
      </c>
      <c r="F26" s="25" t="s">
        <v>81</v>
      </c>
      <c r="G26" s="28">
        <v>1</v>
      </c>
      <c r="H26" s="25">
        <f>VLOOKUP(F26,Library!$K$4:$N$36,3,FALSE)</f>
        <v>2</v>
      </c>
      <c r="I26" s="25">
        <f t="shared" si="1"/>
        <v>1.1731581417175035E-8</v>
      </c>
      <c r="J26" s="178">
        <f>IF(F26="N/A",0,VLOOKUP(F26,Library!$K$4:$M$36,2,FALSE))</f>
        <v>187.56</v>
      </c>
      <c r="K26" s="183">
        <f t="shared" si="2"/>
        <v>4.692632566870014E-8</v>
      </c>
      <c r="L26" s="28">
        <f t="shared" si="3"/>
        <v>2.2003754106053496E-6</v>
      </c>
      <c r="M26" s="25" t="s">
        <v>70</v>
      </c>
      <c r="N26" s="25">
        <v>2</v>
      </c>
      <c r="O26" s="25">
        <f>IFERROR(VLOOKUP(M26,Library!$K$4:$M$36,3,FALSE),"")</f>
        <v>-1</v>
      </c>
      <c r="P26" s="25">
        <f t="shared" si="4"/>
        <v>2.346316283435007E-8</v>
      </c>
      <c r="Q26" s="25">
        <f>IFERROR(IF(M26="N/A",0,VLOOKUP(M26,Library!$K$4:$N$36,2,FALSE)),"")</f>
        <v>35.453000000000003</v>
      </c>
      <c r="R26" s="25">
        <f t="shared" si="5"/>
        <v>2.346316283435007E-8</v>
      </c>
      <c r="S26" s="200">
        <f t="shared" si="6"/>
        <v>8.3183951196621312E-7</v>
      </c>
      <c r="T26" s="217">
        <f>VLOOKUP(A26,Library!$B$4:$G$69,3,FALSE)</f>
        <v>0</v>
      </c>
      <c r="U26" s="185">
        <f>VLOOKUP(A26,Library!$B$4:$G$69,4,FALSE)</f>
        <v>0</v>
      </c>
      <c r="V26" s="185">
        <f>VLOOKUP(A26,Library!$B$4:$G$69,5,FALSE)</f>
        <v>0</v>
      </c>
      <c r="W26" s="218">
        <f>VLOOKUP(A26,Library!$B$4:$G$69,6,FALSE)</f>
        <v>0</v>
      </c>
      <c r="X26" s="217">
        <f t="shared" si="11"/>
        <v>0</v>
      </c>
      <c r="Y26" s="185">
        <f t="shared" si="12"/>
        <v>0</v>
      </c>
      <c r="Z26" s="185">
        <f t="shared" si="13"/>
        <v>0</v>
      </c>
      <c r="AA26" s="218">
        <f t="shared" si="14"/>
        <v>0</v>
      </c>
      <c r="AB26" s="217">
        <f>X26*VLOOKUP($AB$7,Library!$T$4:$U$7,2,FALSE)</f>
        <v>0</v>
      </c>
      <c r="AC26" s="185">
        <f>Y26*VLOOKUP($AC$7,Library!$T$4:$U$7,2,FALSE)</f>
        <v>0</v>
      </c>
      <c r="AD26" s="185">
        <f>Z26*VLOOKUP($AD$7,Library!$T$4:$U$7,2,FALSE)</f>
        <v>0</v>
      </c>
      <c r="AE26" s="218">
        <f>AA26*VLOOKUP($AE$7,Library!$T$4:$U$7,2,FALSE)</f>
        <v>0</v>
      </c>
    </row>
    <row r="27" spans="1:31" ht="14.4" x14ac:dyDescent="0.3">
      <c r="A27" s="25" t="s">
        <v>43</v>
      </c>
      <c r="B27" s="25">
        <f>IFERROR(VLOOKUP(A27,Library!$B$4:$G$69,2,FALSE),"")</f>
        <v>237.69</v>
      </c>
      <c r="C27" s="26">
        <f>VLOOKUP(A27,'DSMZ 120 v3'!$L$4:$M$13,2,FALSE)*('DSMZ 120 v3'!$G$12/'DSMZ 120 v3'!$G$23)</f>
        <v>2.4E-2</v>
      </c>
      <c r="D27" s="41" t="s">
        <v>16</v>
      </c>
      <c r="E27" s="26">
        <f t="shared" si="0"/>
        <v>1.0097185409567084E-7</v>
      </c>
      <c r="F27" s="25" t="s">
        <v>72</v>
      </c>
      <c r="G27" s="28">
        <v>1</v>
      </c>
      <c r="H27" s="25">
        <f>VLOOKUP(F27,Library!$K$4:$N$36,3,FALSE)</f>
        <v>2</v>
      </c>
      <c r="I27" s="25">
        <f t="shared" si="1"/>
        <v>1.0097185409567084E-7</v>
      </c>
      <c r="J27" s="178">
        <f>IF(F27="N/A",0,VLOOKUP(F27,Library!$K$4:$M$36,2,FALSE))</f>
        <v>58.692999999999998</v>
      </c>
      <c r="K27" s="183">
        <f t="shared" si="2"/>
        <v>4.0388741638268334E-7</v>
      </c>
      <c r="L27" s="28">
        <f t="shared" si="3"/>
        <v>5.926341032437208E-6</v>
      </c>
      <c r="M27" s="25" t="s">
        <v>70</v>
      </c>
      <c r="N27" s="25">
        <v>2</v>
      </c>
      <c r="O27" s="25">
        <f>IFERROR(VLOOKUP(M27,Library!$K$4:$M$36,3,FALSE),"")</f>
        <v>-1</v>
      </c>
      <c r="P27" s="25">
        <f t="shared" si="4"/>
        <v>2.0194370819134167E-7</v>
      </c>
      <c r="Q27" s="25">
        <f>IFERROR(IF(M27="N/A",0,VLOOKUP(M27,Library!$K$4:$N$36,2,FALSE)),"")</f>
        <v>35.453000000000003</v>
      </c>
      <c r="R27" s="25">
        <f t="shared" si="5"/>
        <v>2.0194370819134167E-7</v>
      </c>
      <c r="S27" s="200">
        <f t="shared" si="6"/>
        <v>7.1595102865076371E-6</v>
      </c>
      <c r="T27" s="217">
        <f>VLOOKUP(A27,Library!$B$4:$G$69,3,FALSE)</f>
        <v>0</v>
      </c>
      <c r="U27" s="185">
        <f>VLOOKUP(A27,Library!$B$4:$G$69,4,FALSE)</f>
        <v>0</v>
      </c>
      <c r="V27" s="185">
        <f>VLOOKUP(A27,Library!$B$4:$G$69,5,FALSE)</f>
        <v>0</v>
      </c>
      <c r="W27" s="218">
        <f>VLOOKUP(A27,Library!$B$4:$G$69,6,FALSE)</f>
        <v>0</v>
      </c>
      <c r="X27" s="217">
        <f t="shared" si="11"/>
        <v>0</v>
      </c>
      <c r="Y27" s="185">
        <f t="shared" si="12"/>
        <v>0</v>
      </c>
      <c r="Z27" s="185">
        <f t="shared" si="13"/>
        <v>0</v>
      </c>
      <c r="AA27" s="218">
        <f t="shared" si="14"/>
        <v>0</v>
      </c>
      <c r="AB27" s="217">
        <f>X27*VLOOKUP($AB$7,Library!$T$4:$U$7,2,FALSE)</f>
        <v>0</v>
      </c>
      <c r="AC27" s="185">
        <f>Y27*VLOOKUP($AC$7,Library!$T$4:$U$7,2,FALSE)</f>
        <v>0</v>
      </c>
      <c r="AD27" s="185">
        <f>Z27*VLOOKUP($AD$7,Library!$T$4:$U$7,2,FALSE)</f>
        <v>0</v>
      </c>
      <c r="AE27" s="218">
        <f>AA27*VLOOKUP($AE$7,Library!$T$4:$U$7,2,FALSE)</f>
        <v>0</v>
      </c>
    </row>
    <row r="28" spans="1:31" ht="14.4" x14ac:dyDescent="0.3">
      <c r="A28" s="25" t="s">
        <v>50</v>
      </c>
      <c r="B28" s="25">
        <f>IFERROR(VLOOKUP(A28,Library!$B$4:$G$69,2,FALSE),"")</f>
        <v>241.95</v>
      </c>
      <c r="C28" s="26">
        <f>VLOOKUP(A28,'DSMZ 120 v3'!$L$4:$M$13,2,FALSE)*('DSMZ 120 v3'!$G$12/'DSMZ 120 v3'!$G$23)</f>
        <v>3.6000000000000004E-2</v>
      </c>
      <c r="D28" s="41" t="s">
        <v>16</v>
      </c>
      <c r="E28" s="26">
        <f t="shared" si="0"/>
        <v>1.4879107253564788E-7</v>
      </c>
      <c r="F28" s="25" t="s">
        <v>63</v>
      </c>
      <c r="G28" s="28">
        <v>2</v>
      </c>
      <c r="H28" s="25">
        <f>VLOOKUP(F28,Library!$K$4:$N$36,3,FALSE)</f>
        <v>1</v>
      </c>
      <c r="I28" s="25">
        <f t="shared" si="1"/>
        <v>2.9758214507129576E-7</v>
      </c>
      <c r="J28" s="178">
        <f>IF(F28="N/A",0,VLOOKUP(F28,Library!$K$4:$M$36,2,FALSE))</f>
        <v>28.989768999999999</v>
      </c>
      <c r="K28" s="183">
        <f t="shared" si="2"/>
        <v>2.9758214507129576E-7</v>
      </c>
      <c r="L28" s="28">
        <f t="shared" si="3"/>
        <v>8.6268376441413528E-6</v>
      </c>
      <c r="M28" s="25" t="s">
        <v>76</v>
      </c>
      <c r="N28" s="25">
        <v>1</v>
      </c>
      <c r="O28" s="25">
        <f>IFERROR(VLOOKUP(M28,Library!$K$4:$M$36,3,FALSE),"")</f>
        <v>-2</v>
      </c>
      <c r="P28" s="25">
        <f t="shared" si="4"/>
        <v>1.4879107253564788E-7</v>
      </c>
      <c r="Q28" s="25">
        <f>IFERROR(IF(M28="N/A",0,VLOOKUP(M28,Library!$K$4:$N$36,2,FALSE)),"")</f>
        <v>159.94999999999999</v>
      </c>
      <c r="R28" s="25">
        <f t="shared" si="5"/>
        <v>5.9516429014259153E-7</v>
      </c>
      <c r="S28" s="200">
        <f t="shared" si="6"/>
        <v>2.3799132052076878E-5</v>
      </c>
      <c r="T28" s="217">
        <f>VLOOKUP(A28,Library!$B$4:$G$69,3,FALSE)</f>
        <v>0</v>
      </c>
      <c r="U28" s="185">
        <f>VLOOKUP(A28,Library!$B$4:$G$69,4,FALSE)</f>
        <v>0</v>
      </c>
      <c r="V28" s="185">
        <f>VLOOKUP(A28,Library!$B$4:$G$69,5,FALSE)</f>
        <v>0</v>
      </c>
      <c r="W28" s="218">
        <f>VLOOKUP(A28,Library!$B$4:$G$69,6,FALSE)</f>
        <v>0</v>
      </c>
      <c r="X28" s="217">
        <f t="shared" si="11"/>
        <v>0</v>
      </c>
      <c r="Y28" s="185">
        <f t="shared" si="12"/>
        <v>0</v>
      </c>
      <c r="Z28" s="185">
        <f t="shared" si="13"/>
        <v>0</v>
      </c>
      <c r="AA28" s="218">
        <f t="shared" si="14"/>
        <v>0</v>
      </c>
      <c r="AB28" s="217">
        <f>X28*VLOOKUP($AB$7,Library!$T$4:$U$7,2,FALSE)</f>
        <v>0</v>
      </c>
      <c r="AC28" s="185">
        <f>Y28*VLOOKUP($AC$7,Library!$T$4:$U$7,2,FALSE)</f>
        <v>0</v>
      </c>
      <c r="AD28" s="185">
        <f>Z28*VLOOKUP($AD$7,Library!$T$4:$U$7,2,FALSE)</f>
        <v>0</v>
      </c>
      <c r="AE28" s="218">
        <f>AA28*VLOOKUP($AE$7,Library!$T$4:$U$7,2,FALSE)</f>
        <v>0</v>
      </c>
    </row>
    <row r="29" spans="1:31" ht="14.4" x14ac:dyDescent="0.3">
      <c r="A29" s="20" t="s">
        <v>346</v>
      </c>
      <c r="B29" s="253"/>
      <c r="C29" s="262"/>
      <c r="D29" s="262"/>
      <c r="E29" s="262"/>
      <c r="F29" s="253"/>
      <c r="G29" s="257"/>
      <c r="H29" s="253"/>
      <c r="I29" s="253"/>
      <c r="J29" s="263"/>
      <c r="K29" s="264"/>
      <c r="L29" s="257"/>
      <c r="M29" s="253"/>
      <c r="N29" s="253"/>
      <c r="O29" s="253"/>
      <c r="P29" s="253"/>
      <c r="Q29" s="253"/>
      <c r="R29" s="253"/>
      <c r="S29" s="265"/>
      <c r="T29" s="259"/>
      <c r="U29" s="260"/>
      <c r="V29" s="260"/>
      <c r="W29" s="261"/>
      <c r="X29" s="259"/>
      <c r="Y29" s="260"/>
      <c r="Z29" s="260"/>
      <c r="AA29" s="261"/>
      <c r="AB29" s="259"/>
      <c r="AC29" s="260"/>
      <c r="AD29" s="260"/>
      <c r="AE29" s="261"/>
    </row>
    <row r="30" spans="1:31" ht="14.4" x14ac:dyDescent="0.3">
      <c r="A30" s="70" t="s">
        <v>195</v>
      </c>
      <c r="B30" s="25">
        <f>IFERROR(VLOOKUP(A30,Library!$B$4:$G$69,2,FALSE),"")</f>
        <v>175.63</v>
      </c>
      <c r="C30" s="26">
        <f>VLOOKUP(A30,'DSMZ 120 v3'!$F$5:$G$22,2,FALSE)*1000/'DSMZ 120 v3'!$G$23</f>
        <v>0.3</v>
      </c>
      <c r="D30" s="26" t="s">
        <v>97</v>
      </c>
      <c r="E30" s="26">
        <f t="shared" si="0"/>
        <v>1.7081364231623299E-3</v>
      </c>
      <c r="F30" s="25" t="s">
        <v>339</v>
      </c>
      <c r="G30" s="28">
        <v>1</v>
      </c>
      <c r="H30" s="25">
        <f>VLOOKUP(F30,Library!$K$4:$N$36,3,FALSE)</f>
        <v>1</v>
      </c>
      <c r="I30" s="25">
        <f t="shared" si="1"/>
        <v>1.7081364231623299E-3</v>
      </c>
      <c r="J30" s="178">
        <f>IF(F30="N/A",0,VLOOKUP(F30,Library!$K$4:$M$36,2,FALSE))</f>
        <v>1.0078400000000001</v>
      </c>
      <c r="K30" s="183">
        <f t="shared" si="2"/>
        <v>1.7081364231623299E-3</v>
      </c>
      <c r="L30" s="28">
        <f t="shared" si="3"/>
        <v>1.7215282127199228E-3</v>
      </c>
      <c r="M30" s="25" t="s">
        <v>70</v>
      </c>
      <c r="N30" s="25">
        <v>1</v>
      </c>
      <c r="O30" s="25">
        <f>IFERROR(VLOOKUP(M30,Library!$K$4:$M$36,3,FALSE),"")</f>
        <v>-1</v>
      </c>
      <c r="P30" s="25">
        <f t="shared" si="4"/>
        <v>1.7081364231623299E-3</v>
      </c>
      <c r="Q30" s="25">
        <f>IFERROR(IF(M30="N/A",0,VLOOKUP(M30,Library!$K$4:$N$36,2,FALSE)),"")</f>
        <v>35.453000000000003</v>
      </c>
      <c r="R30" s="25">
        <f t="shared" si="5"/>
        <v>1.7081364231623299E-3</v>
      </c>
      <c r="S30" s="200">
        <f t="shared" si="6"/>
        <v>6.0558560610374089E-2</v>
      </c>
      <c r="T30" s="217">
        <f>VLOOKUP(A30,Library!$B$4:$G$69,3,FALSE)</f>
        <v>3</v>
      </c>
      <c r="U30" s="185">
        <f>VLOOKUP(A30,Library!$B$4:$G$69,4,FALSE)</f>
        <v>1</v>
      </c>
      <c r="V30" s="185">
        <f>VLOOKUP(A30,Library!$B$4:$G$69,5,FALSE)</f>
        <v>0</v>
      </c>
      <c r="W30" s="218">
        <f>VLOOKUP(A30,Library!$B$4:$G$69,6,FALSE)</f>
        <v>1</v>
      </c>
      <c r="X30" s="217">
        <f t="shared" si="11"/>
        <v>5.1244092694869899E-3</v>
      </c>
      <c r="Y30" s="185">
        <f t="shared" si="12"/>
        <v>1.7081364231623299E-3</v>
      </c>
      <c r="Z30" s="185">
        <f t="shared" si="13"/>
        <v>0</v>
      </c>
      <c r="AA30" s="218">
        <f t="shared" si="14"/>
        <v>1.7081364231623299E-3</v>
      </c>
      <c r="AB30" s="217">
        <f>X30*VLOOKUP($AB$7,Library!$T$4:$U$7,2,FALSE)</f>
        <v>6.1544155326538751E-2</v>
      </c>
      <c r="AC30" s="185">
        <f>Y30*VLOOKUP($AC$7,Library!$T$4:$U$7,2,FALSE)</f>
        <v>2.393099128850424E-2</v>
      </c>
      <c r="AD30" s="185">
        <f>Z30*VLOOKUP($AD$7,Library!$T$4:$U$7,2,FALSE)</f>
        <v>0</v>
      </c>
      <c r="AE30" s="218">
        <f>AA30*VLOOKUP($AE$7,Library!$T$4:$U$7,2,FALSE)</f>
        <v>5.4779935090815919E-2</v>
      </c>
    </row>
    <row r="31" spans="1:31" ht="14.4" x14ac:dyDescent="0.3">
      <c r="A31" s="70" t="s">
        <v>298</v>
      </c>
      <c r="B31" s="25">
        <f>IFERROR(VLOOKUP(A31,Library!$B$4:$G$69,2,FALSE),"")</f>
        <v>240.18</v>
      </c>
      <c r="C31" s="26">
        <f>VLOOKUP(A31,'DSMZ 120 v3'!$F$5:$G$22,2,FALSE)*1000/'DSMZ 120 v3'!$G$23</f>
        <v>0.3</v>
      </c>
      <c r="D31" s="26" t="s">
        <v>97</v>
      </c>
      <c r="E31" s="26">
        <f t="shared" si="0"/>
        <v>1.2490632025980513E-3</v>
      </c>
      <c r="F31" s="25" t="s">
        <v>63</v>
      </c>
      <c r="G31" s="28">
        <v>2</v>
      </c>
      <c r="H31" s="25">
        <f>VLOOKUP(F31,Library!$K$4:$N$36,3,FALSE)</f>
        <v>1</v>
      </c>
      <c r="I31" s="25">
        <f t="shared" si="1"/>
        <v>2.4981264051961026E-3</v>
      </c>
      <c r="J31" s="178">
        <f>IF(F31="N/A",0,VLOOKUP(F31,Library!$K$4:$M$36,2,FALSE))</f>
        <v>28.989768999999999</v>
      </c>
      <c r="K31" s="183">
        <f t="shared" si="2"/>
        <v>2.4981264051961026E-3</v>
      </c>
      <c r="L31" s="28">
        <f t="shared" si="3"/>
        <v>7.2420107419435414E-2</v>
      </c>
      <c r="M31" s="25" t="s">
        <v>84</v>
      </c>
      <c r="N31" s="25">
        <v>1</v>
      </c>
      <c r="O31" s="25">
        <f>IFERROR(VLOOKUP(M31,Library!$K$4:$M$36,3,FALSE),"")</f>
        <v>-2</v>
      </c>
      <c r="P31" s="25">
        <f t="shared" si="4"/>
        <v>1.2490632025980513E-3</v>
      </c>
      <c r="Q31" s="25">
        <f>IFERROR(IF(M31="N/A",0,VLOOKUP(M31,Library!$K$4:$N$36,2,FALSE)),"")</f>
        <v>32.064999999999998</v>
      </c>
      <c r="R31" s="25">
        <f t="shared" si="5"/>
        <v>4.9962528103922052E-3</v>
      </c>
      <c r="S31" s="200">
        <f t="shared" si="6"/>
        <v>4.0051211591306514E-2</v>
      </c>
      <c r="T31" s="217">
        <f>VLOOKUP(A31,Library!$B$4:$G$69,3,FALSE)</f>
        <v>0</v>
      </c>
      <c r="U31" s="185">
        <f>VLOOKUP(A31,Library!$B$4:$G$69,4,FALSE)</f>
        <v>0</v>
      </c>
      <c r="V31" s="185">
        <f>VLOOKUP(A31,Library!$B$4:$G$69,5,FALSE)</f>
        <v>0</v>
      </c>
      <c r="W31" s="218">
        <f>VLOOKUP(A31,Library!$B$4:$G$69,6,FALSE)</f>
        <v>1</v>
      </c>
      <c r="X31" s="217">
        <f t="shared" si="11"/>
        <v>0</v>
      </c>
      <c r="Y31" s="185">
        <f t="shared" si="12"/>
        <v>0</v>
      </c>
      <c r="Z31" s="185">
        <f t="shared" si="13"/>
        <v>0</v>
      </c>
      <c r="AA31" s="218">
        <f t="shared" si="14"/>
        <v>1.2490632025980513E-3</v>
      </c>
      <c r="AB31" s="217">
        <f>X31*VLOOKUP($AB$7,Library!$T$4:$U$7,2,FALSE)</f>
        <v>0</v>
      </c>
      <c r="AC31" s="185">
        <f>Y31*VLOOKUP($AC$7,Library!$T$4:$U$7,2,FALSE)</f>
        <v>0</v>
      </c>
      <c r="AD31" s="185">
        <f>Z31*VLOOKUP($AD$7,Library!$T$4:$U$7,2,FALSE)</f>
        <v>0</v>
      </c>
      <c r="AE31" s="218">
        <f>AA31*VLOOKUP($AE$7,Library!$T$4:$U$7,2,FALSE)</f>
        <v>4.0057456907319502E-2</v>
      </c>
    </row>
    <row r="32" spans="1:31" ht="14.4" x14ac:dyDescent="0.3">
      <c r="A32" s="20" t="s">
        <v>344</v>
      </c>
      <c r="B32" s="253"/>
      <c r="C32" s="262"/>
      <c r="D32" s="262"/>
      <c r="E32" s="262"/>
      <c r="F32" s="253"/>
      <c r="G32" s="257"/>
      <c r="H32" s="253"/>
      <c r="I32" s="253"/>
      <c r="J32" s="263"/>
      <c r="K32" s="264"/>
      <c r="L32" s="257"/>
      <c r="M32" s="253"/>
      <c r="N32" s="253"/>
      <c r="O32" s="253"/>
      <c r="P32" s="253"/>
      <c r="Q32" s="253"/>
      <c r="R32" s="253"/>
      <c r="S32" s="265"/>
      <c r="T32" s="259"/>
      <c r="U32" s="260"/>
      <c r="V32" s="260"/>
      <c r="W32" s="261"/>
      <c r="X32" s="259"/>
      <c r="Y32" s="260"/>
      <c r="Z32" s="260"/>
      <c r="AA32" s="261"/>
      <c r="AB32" s="259"/>
      <c r="AC32" s="260"/>
      <c r="AD32" s="260"/>
      <c r="AE32" s="261"/>
    </row>
    <row r="33" spans="1:31" ht="14.4" x14ac:dyDescent="0.3">
      <c r="A33" s="70" t="s">
        <v>345</v>
      </c>
      <c r="B33" s="25"/>
      <c r="C33" s="26">
        <f>VLOOKUP(A33,'DSMZ 120 v3'!$F$5:$G$22,2,FALSE)*1000/'DSMZ 120 v3'!$G$23</f>
        <v>0</v>
      </c>
      <c r="D33" s="26" t="s">
        <v>97</v>
      </c>
      <c r="E33" s="26"/>
      <c r="F33" s="25"/>
      <c r="G33" s="28"/>
      <c r="H33" s="25"/>
      <c r="I33" s="25"/>
      <c r="J33" s="178"/>
      <c r="K33" s="183"/>
      <c r="L33" s="28"/>
      <c r="M33" s="25"/>
      <c r="N33" s="25"/>
      <c r="O33" s="25"/>
      <c r="P33" s="25"/>
      <c r="Q33" s="25"/>
      <c r="R33" s="25"/>
      <c r="S33" s="200"/>
      <c r="T33" s="217"/>
      <c r="U33" s="185"/>
      <c r="V33" s="185"/>
      <c r="W33" s="218"/>
      <c r="X33" s="217"/>
      <c r="Y33" s="185"/>
      <c r="Z33" s="185"/>
      <c r="AA33" s="218"/>
      <c r="AB33" s="217"/>
      <c r="AC33" s="185"/>
      <c r="AD33" s="185"/>
      <c r="AE33" s="218"/>
    </row>
    <row r="34" spans="1:31" ht="14.4" x14ac:dyDescent="0.3">
      <c r="A34" s="70" t="s">
        <v>352</v>
      </c>
      <c r="B34" s="25"/>
      <c r="C34" s="26">
        <f>VLOOKUP(A34,'DSMZ 120 v3'!$F$5:$G$22,2,FALSE)*1000/'DSMZ 120 v3'!$G$23</f>
        <v>0</v>
      </c>
      <c r="D34" s="26" t="s">
        <v>97</v>
      </c>
      <c r="E34" s="26"/>
      <c r="F34" s="25"/>
      <c r="G34" s="28"/>
      <c r="H34" s="25"/>
      <c r="I34" s="25"/>
      <c r="J34" s="178"/>
      <c r="K34" s="183"/>
      <c r="L34" s="28"/>
      <c r="M34" s="25"/>
      <c r="N34" s="25"/>
      <c r="O34" s="25"/>
      <c r="P34" s="25"/>
      <c r="Q34" s="25"/>
      <c r="R34" s="25"/>
      <c r="S34" s="200"/>
      <c r="T34" s="217"/>
      <c r="U34" s="185"/>
      <c r="V34" s="185"/>
      <c r="W34" s="218"/>
      <c r="X34" s="217"/>
      <c r="Y34" s="185"/>
      <c r="Z34" s="185"/>
      <c r="AA34" s="218"/>
      <c r="AB34" s="217"/>
      <c r="AC34" s="185"/>
      <c r="AD34" s="185"/>
      <c r="AE34" s="218"/>
    </row>
    <row r="35" spans="1:31" ht="14.4" x14ac:dyDescent="0.3">
      <c r="A35" s="70" t="s">
        <v>295</v>
      </c>
      <c r="B35" s="25">
        <f>IFERROR(VLOOKUP(A35,Library!$B$4:$G$69,2,FALSE),"")</f>
        <v>82.03</v>
      </c>
      <c r="C35" s="26">
        <f>VLOOKUP(A35,'DSMZ 120 v3'!$F$5:$G$22,2,FALSE)*1000/'DSMZ 120 v3'!$G$23</f>
        <v>0</v>
      </c>
      <c r="D35" s="26" t="s">
        <v>97</v>
      </c>
      <c r="E35" s="26">
        <f t="shared" si="0"/>
        <v>0</v>
      </c>
      <c r="F35" s="25" t="s">
        <v>63</v>
      </c>
      <c r="G35" s="28">
        <v>1</v>
      </c>
      <c r="H35" s="25">
        <f>VLOOKUP(F35,Library!$K$4:$N$36,3,FALSE)</f>
        <v>1</v>
      </c>
      <c r="I35" s="25">
        <f t="shared" si="1"/>
        <v>0</v>
      </c>
      <c r="J35" s="178">
        <f>IF(F35="N/A",0,VLOOKUP(F35,Library!$K$4:$M$36,2,FALSE))</f>
        <v>28.989768999999999</v>
      </c>
      <c r="K35" s="183">
        <f t="shared" ref="K35:K37" si="15">I35*(H35^2)</f>
        <v>0</v>
      </c>
      <c r="L35" s="28">
        <f t="shared" ref="L35:L37" si="16">I35*J35</f>
        <v>0</v>
      </c>
      <c r="M35" s="25" t="s">
        <v>77</v>
      </c>
      <c r="N35" s="25">
        <v>1</v>
      </c>
      <c r="O35" s="25">
        <f>IFERROR(VLOOKUP(M35,Library!$K$4:$M$36,3,FALSE),"")</f>
        <v>-1</v>
      </c>
      <c r="P35" s="25">
        <f t="shared" si="4"/>
        <v>0</v>
      </c>
      <c r="Q35" s="25">
        <f>IFERROR(IF(M35="N/A",0,VLOOKUP(M35,Library!$K$4:$N$36,2,FALSE)),"")</f>
        <v>59.043999999999997</v>
      </c>
      <c r="R35" s="25">
        <f t="shared" si="5"/>
        <v>0</v>
      </c>
      <c r="S35" s="200">
        <f t="shared" si="6"/>
        <v>0</v>
      </c>
      <c r="T35" s="217">
        <f>VLOOKUP(A35,Library!$B$4:$G$69,3,FALSE)</f>
        <v>3</v>
      </c>
      <c r="U35" s="185">
        <f>VLOOKUP(A35,Library!$B$4:$G$69,4,FALSE)</f>
        <v>0</v>
      </c>
      <c r="V35" s="185">
        <f>VLOOKUP(A35,Library!$B$4:$G$69,5,FALSE)</f>
        <v>0</v>
      </c>
      <c r="W35" s="218">
        <f>VLOOKUP(A35,Library!$B$4:$G$69,6,FALSE)</f>
        <v>0</v>
      </c>
      <c r="X35" s="217">
        <f t="shared" si="11"/>
        <v>0</v>
      </c>
      <c r="Y35" s="185">
        <f t="shared" si="12"/>
        <v>0</v>
      </c>
      <c r="Z35" s="185">
        <f t="shared" si="13"/>
        <v>0</v>
      </c>
      <c r="AA35" s="218">
        <f t="shared" si="14"/>
        <v>0</v>
      </c>
      <c r="AB35" s="217">
        <f>X35*VLOOKUP($AB$7,Library!$T$4:$U$7,2,FALSE)</f>
        <v>0</v>
      </c>
      <c r="AC35" s="185">
        <f>Y35*VLOOKUP($AC$7,Library!$T$4:$U$7,2,FALSE)</f>
        <v>0</v>
      </c>
      <c r="AD35" s="185">
        <f>Z35*VLOOKUP($AD$7,Library!$T$4:$U$7,2,FALSE)</f>
        <v>0</v>
      </c>
      <c r="AE35" s="218">
        <f>AA35*VLOOKUP($AE$7,Library!$T$4:$U$7,2,FALSE)</f>
        <v>0</v>
      </c>
    </row>
    <row r="36" spans="1:31" ht="14.4" x14ac:dyDescent="0.3">
      <c r="A36" s="70" t="s">
        <v>48</v>
      </c>
      <c r="B36" s="25"/>
      <c r="C36" s="26"/>
      <c r="D36" s="26"/>
      <c r="E36" s="26"/>
      <c r="F36" s="25"/>
      <c r="G36" s="28"/>
      <c r="H36" s="25"/>
      <c r="I36" s="25"/>
      <c r="J36" s="178"/>
      <c r="K36" s="183"/>
      <c r="L36" s="28"/>
      <c r="M36" s="25"/>
      <c r="N36" s="25"/>
      <c r="O36" s="25"/>
      <c r="P36" s="25"/>
      <c r="Q36" s="25"/>
      <c r="R36" s="25"/>
      <c r="S36" s="200"/>
      <c r="T36" s="217"/>
      <c r="U36" s="185"/>
      <c r="V36" s="185"/>
      <c r="W36" s="218"/>
      <c r="X36" s="217"/>
      <c r="Y36" s="185"/>
      <c r="Z36" s="185"/>
      <c r="AA36" s="218"/>
      <c r="AB36" s="217"/>
      <c r="AC36" s="185"/>
      <c r="AD36" s="185"/>
      <c r="AE36" s="218"/>
    </row>
    <row r="37" spans="1:31" ht="14.4" x14ac:dyDescent="0.3">
      <c r="A37" s="69" t="s">
        <v>52</v>
      </c>
      <c r="B37" s="25">
        <f>IFERROR(VLOOKUP(A37,Library!$B$4:$G$69,2,FALSE),"")</f>
        <v>84.01</v>
      </c>
      <c r="C37" s="26">
        <f>VLOOKUP(A37,'DSMZ 120 v3'!$F$5:$G$22,2,FALSE)*1000/'DSMZ 120 v3'!$G$23</f>
        <v>0</v>
      </c>
      <c r="D37" s="26" t="s">
        <v>97</v>
      </c>
      <c r="E37" s="26">
        <f t="shared" si="0"/>
        <v>0</v>
      </c>
      <c r="F37" s="25" t="s">
        <v>63</v>
      </c>
      <c r="G37" s="28">
        <v>1</v>
      </c>
      <c r="H37" s="25">
        <f>VLOOKUP(F37,Library!$K$4:$N$36,3,FALSE)</f>
        <v>1</v>
      </c>
      <c r="I37" s="25">
        <f t="shared" si="1"/>
        <v>0</v>
      </c>
      <c r="J37" s="178">
        <f>IF(F37="N/A",0,VLOOKUP(F37,Library!$K$4:$M$36,2,FALSE))</f>
        <v>28.989768999999999</v>
      </c>
      <c r="K37" s="183">
        <f t="shared" si="15"/>
        <v>0</v>
      </c>
      <c r="L37" s="28">
        <f t="shared" si="16"/>
        <v>0</v>
      </c>
      <c r="M37" s="25" t="s">
        <v>67</v>
      </c>
      <c r="N37" s="25">
        <v>1</v>
      </c>
      <c r="O37" s="25">
        <f>IFERROR(VLOOKUP(M37,Library!$K$4:$M$36,3,FALSE),"")</f>
        <v>-1</v>
      </c>
      <c r="P37" s="25">
        <f t="shared" si="4"/>
        <v>0</v>
      </c>
      <c r="Q37" s="25">
        <f>IFERROR(IF(M37="N/A",0,VLOOKUP(M37,Library!$K$4:$N$36,2,FALSE)),"")</f>
        <v>61.016800000000003</v>
      </c>
      <c r="R37" s="25">
        <f t="shared" si="5"/>
        <v>0</v>
      </c>
      <c r="S37" s="200">
        <f t="shared" si="6"/>
        <v>0</v>
      </c>
      <c r="T37" s="217">
        <f>VLOOKUP(A37,Library!$B$4:$G$69,3,FALSE)</f>
        <v>1</v>
      </c>
      <c r="U37" s="185">
        <f>VLOOKUP(A37,Library!$B$4:$G$69,4,FALSE)</f>
        <v>0</v>
      </c>
      <c r="V37" s="185">
        <f>VLOOKUP(A37,Library!$B$4:$G$69,5,FALSE)</f>
        <v>0</v>
      </c>
      <c r="W37" s="218">
        <f>VLOOKUP(A37,Library!$B$4:$G$69,6,FALSE)</f>
        <v>0</v>
      </c>
      <c r="X37" s="217">
        <f t="shared" si="11"/>
        <v>0</v>
      </c>
      <c r="Y37" s="185">
        <f t="shared" si="12"/>
        <v>0</v>
      </c>
      <c r="Z37" s="185">
        <f t="shared" si="13"/>
        <v>0</v>
      </c>
      <c r="AA37" s="218">
        <f t="shared" si="14"/>
        <v>0</v>
      </c>
      <c r="AB37" s="217">
        <f>X37*VLOOKUP($AB$7,Library!$T$4:$U$7,2,FALSE)</f>
        <v>0</v>
      </c>
      <c r="AC37" s="185">
        <f>Y37*VLOOKUP($AC$7,Library!$T$4:$U$7,2,FALSE)</f>
        <v>0</v>
      </c>
      <c r="AD37" s="185">
        <f>Z37*VLOOKUP($AD$7,Library!$T$4:$U$7,2,FALSE)</f>
        <v>0</v>
      </c>
      <c r="AE37" s="218">
        <f>AA37*VLOOKUP($AE$7,Library!$T$4:$U$7,2,FALSE)</f>
        <v>0</v>
      </c>
    </row>
    <row r="38" spans="1:31" ht="14.4" x14ac:dyDescent="0.3">
      <c r="A38" s="70" t="s">
        <v>347</v>
      </c>
      <c r="B38" s="25">
        <f>IFERROR(VLOOKUP(A38,Library!$B$4:$G$69,2,FALSE),"")</f>
        <v>32.04</v>
      </c>
      <c r="C38" s="26">
        <f>VLOOKUP(A38,'DSMZ 120 v3'!$F$5:$G$22,2,FALSE)*1000/'DSMZ 120 v3'!$G$23*0.7918</f>
        <v>7.9179999999999993</v>
      </c>
      <c r="D38" s="26" t="s">
        <v>97</v>
      </c>
      <c r="E38" s="26">
        <f t="shared" si="0"/>
        <v>0.24712858926342071</v>
      </c>
      <c r="F38" s="25"/>
      <c r="G38" s="28"/>
      <c r="H38" s="25"/>
      <c r="I38" s="25"/>
      <c r="J38" s="178"/>
      <c r="K38" s="183"/>
      <c r="L38" s="28"/>
      <c r="M38" s="25"/>
      <c r="N38" s="25"/>
      <c r="O38" s="25"/>
      <c r="P38" s="25"/>
      <c r="Q38" s="25"/>
      <c r="R38" s="25"/>
      <c r="S38" s="200"/>
      <c r="T38" s="217">
        <f>VLOOKUP(A38,Library!$B$4:$G$69,3,FALSE)</f>
        <v>1</v>
      </c>
      <c r="U38" s="185">
        <f>VLOOKUP(A38,Library!$B$4:$G$69,4,FALSE)</f>
        <v>0</v>
      </c>
      <c r="V38" s="185">
        <f>VLOOKUP(A38,Library!$B$4:$G$69,5,FALSE)</f>
        <v>0</v>
      </c>
      <c r="W38" s="218">
        <f>VLOOKUP(A38,Library!$B$4:$G$69,6,FALSE)</f>
        <v>0</v>
      </c>
      <c r="X38" s="217">
        <f t="shared" si="11"/>
        <v>0.24712858926342071</v>
      </c>
      <c r="Y38" s="185">
        <f t="shared" si="12"/>
        <v>0</v>
      </c>
      <c r="Z38" s="185">
        <f t="shared" si="13"/>
        <v>0</v>
      </c>
      <c r="AA38" s="218">
        <f t="shared" si="14"/>
        <v>0</v>
      </c>
      <c r="AB38" s="217">
        <f>X38*VLOOKUP($AB$7,Library!$T$4:$U$7,2,FALSE)</f>
        <v>2.9680143570536828</v>
      </c>
      <c r="AC38" s="185">
        <f>Y38*VLOOKUP($AC$7,Library!$T$4:$U$7,2,FALSE)</f>
        <v>0</v>
      </c>
      <c r="AD38" s="185">
        <f>Z38*VLOOKUP($AD$7,Library!$T$4:$U$7,2,FALSE)</f>
        <v>0</v>
      </c>
      <c r="AE38" s="218">
        <f>AA38*VLOOKUP($AE$7,Library!$T$4:$U$7,2,FALSE)</f>
        <v>0</v>
      </c>
    </row>
    <row r="39" spans="1:31" ht="14.4" x14ac:dyDescent="0.3">
      <c r="A39" s="20" t="s">
        <v>320</v>
      </c>
      <c r="B39" s="253"/>
      <c r="C39" s="262"/>
      <c r="D39" s="262"/>
      <c r="E39" s="262"/>
      <c r="F39" s="253"/>
      <c r="G39" s="257"/>
      <c r="H39" s="253"/>
      <c r="I39" s="253"/>
      <c r="J39" s="263"/>
      <c r="K39" s="264"/>
      <c r="L39" s="257"/>
      <c r="M39" s="253"/>
      <c r="N39" s="253"/>
      <c r="O39" s="253"/>
      <c r="P39" s="253"/>
      <c r="Q39" s="253"/>
      <c r="R39" s="253"/>
      <c r="S39" s="265"/>
      <c r="T39" s="259"/>
      <c r="U39" s="260"/>
      <c r="V39" s="260"/>
      <c r="W39" s="261"/>
      <c r="X39" s="259">
        <f t="shared" si="11"/>
        <v>0</v>
      </c>
      <c r="Y39" s="260">
        <f t="shared" si="12"/>
        <v>0</v>
      </c>
      <c r="Z39" s="260">
        <f t="shared" si="13"/>
        <v>0</v>
      </c>
      <c r="AA39" s="261">
        <f t="shared" si="14"/>
        <v>0</v>
      </c>
      <c r="AB39" s="259"/>
      <c r="AC39" s="260"/>
      <c r="AD39" s="260"/>
      <c r="AE39" s="261"/>
    </row>
    <row r="40" spans="1:31" ht="14.4" x14ac:dyDescent="0.3">
      <c r="A40" s="25" t="s">
        <v>15</v>
      </c>
      <c r="B40" s="25">
        <f>IFERROR(VLOOKUP(A40,Library!$B$4:$G$69,2,FALSE),"")</f>
        <v>244.31</v>
      </c>
      <c r="C40" s="26">
        <f>VLOOKUP(A40,'DSMZ 120 v3'!$I$5:$J$14,2,FALSE)*'DSMZ 120 v3'!$G$19/'DSMZ 120 v3'!$G$23</f>
        <v>0.02</v>
      </c>
      <c r="D40" s="26" t="s">
        <v>16</v>
      </c>
      <c r="E40" s="26">
        <f t="shared" si="0"/>
        <v>8.1863206581801814E-8</v>
      </c>
      <c r="F40" s="25"/>
      <c r="G40" s="28"/>
      <c r="H40" s="25"/>
      <c r="I40" s="25"/>
      <c r="J40" s="178"/>
      <c r="K40" s="183"/>
      <c r="L40" s="28"/>
      <c r="M40" s="25"/>
      <c r="N40" s="25"/>
      <c r="O40" s="25"/>
      <c r="P40" s="25"/>
      <c r="Q40" s="25"/>
      <c r="R40" s="25"/>
      <c r="S40" s="200"/>
      <c r="T40" s="217">
        <f>VLOOKUP(A40,Library!$B$4:$G$69,3,FALSE)</f>
        <v>10</v>
      </c>
      <c r="U40" s="185">
        <f>VLOOKUP(A40,Library!$B$4:$G$69,4,FALSE)</f>
        <v>2</v>
      </c>
      <c r="V40" s="185">
        <f>VLOOKUP(A40,Library!$B$4:$G$69,5,FALSE)</f>
        <v>0</v>
      </c>
      <c r="W40" s="218">
        <f>VLOOKUP(A40,Library!$B$4:$G$69,6,FALSE)</f>
        <v>1</v>
      </c>
      <c r="X40" s="217">
        <f t="shared" si="11"/>
        <v>8.1863206581801809E-7</v>
      </c>
      <c r="Y40" s="185">
        <f t="shared" si="12"/>
        <v>1.6372641316360363E-7</v>
      </c>
      <c r="Z40" s="185">
        <f t="shared" si="13"/>
        <v>0</v>
      </c>
      <c r="AA40" s="218">
        <f t="shared" si="14"/>
        <v>8.1863206581801814E-8</v>
      </c>
      <c r="AB40" s="217">
        <f>X40*VLOOKUP($AB$7,Library!$T$4:$U$7,2,FALSE)</f>
        <v>9.8317711104743978E-6</v>
      </c>
      <c r="AC40" s="185">
        <f>Y40*VLOOKUP($AC$7,Library!$T$4:$U$7,2,FALSE)</f>
        <v>2.2938070484220868E-6</v>
      </c>
      <c r="AD40" s="185">
        <f>Z40*VLOOKUP($AD$7,Library!$T$4:$U$7,2,FALSE)</f>
        <v>0</v>
      </c>
      <c r="AE40" s="218">
        <f>AA40*VLOOKUP($AE$7,Library!$T$4:$U$7,2,FALSE)</f>
        <v>2.6253530350783843E-6</v>
      </c>
    </row>
    <row r="41" spans="1:31" ht="14.4" x14ac:dyDescent="0.3">
      <c r="A41" s="25" t="s">
        <v>19</v>
      </c>
      <c r="B41" s="25">
        <f>IFERROR(VLOOKUP(A41,Library!$B$4:$G$69,2,FALSE),"")</f>
        <v>441.4</v>
      </c>
      <c r="C41" s="26">
        <f>VLOOKUP(A41,'DSMZ 120 v3'!$I$5:$J$14,2,FALSE)*'DSMZ 120 v3'!$G$19/'DSMZ 120 v3'!$G$23</f>
        <v>0.02</v>
      </c>
      <c r="D41" s="26" t="s">
        <v>16</v>
      </c>
      <c r="E41" s="26">
        <f t="shared" si="0"/>
        <v>4.5310376076121436E-8</v>
      </c>
      <c r="F41" s="25"/>
      <c r="G41" s="28"/>
      <c r="H41" s="25"/>
      <c r="I41" s="25"/>
      <c r="J41" s="178"/>
      <c r="K41" s="183"/>
      <c r="L41" s="28"/>
      <c r="M41" s="25"/>
      <c r="N41" s="25"/>
      <c r="O41" s="25"/>
      <c r="P41" s="25"/>
      <c r="Q41" s="25"/>
      <c r="R41" s="25"/>
      <c r="S41" s="200"/>
      <c r="T41" s="217">
        <f>VLOOKUP(A41,Library!$B$4:$G$69,3,FALSE)</f>
        <v>19</v>
      </c>
      <c r="U41" s="185">
        <f>VLOOKUP(A41,Library!$B$4:$G$69,4,FALSE)</f>
        <v>7</v>
      </c>
      <c r="V41" s="185">
        <f>VLOOKUP(A41,Library!$B$4:$G$69,5,FALSE)</f>
        <v>0</v>
      </c>
      <c r="W41" s="218">
        <f>VLOOKUP(A41,Library!$B$4:$G$69,6,FALSE)</f>
        <v>0</v>
      </c>
      <c r="X41" s="217">
        <f t="shared" si="11"/>
        <v>8.6089714544630728E-7</v>
      </c>
      <c r="Y41" s="185">
        <f t="shared" si="12"/>
        <v>3.1717263253285005E-7</v>
      </c>
      <c r="Z41" s="185">
        <f t="shared" si="13"/>
        <v>0</v>
      </c>
      <c r="AA41" s="218">
        <f t="shared" si="14"/>
        <v>0</v>
      </c>
      <c r="AB41" s="217">
        <f>X41*VLOOKUP($AB$7,Library!$T$4:$U$7,2,FALSE)</f>
        <v>1.033937471681015E-5</v>
      </c>
      <c r="AC41" s="185">
        <f>Y41*VLOOKUP($AC$7,Library!$T$4:$U$7,2,FALSE)</f>
        <v>4.4435885817852293E-6</v>
      </c>
      <c r="AD41" s="185">
        <f>Z41*VLOOKUP($AD$7,Library!$T$4:$U$7,2,FALSE)</f>
        <v>0</v>
      </c>
      <c r="AE41" s="218">
        <f>AA41*VLOOKUP($AE$7,Library!$T$4:$U$7,2,FALSE)</f>
        <v>0</v>
      </c>
    </row>
    <row r="42" spans="1:31" ht="14.4" x14ac:dyDescent="0.3">
      <c r="A42" s="25" t="s">
        <v>120</v>
      </c>
      <c r="B42" s="25">
        <f>IFERROR(VLOOKUP(A42,Library!$B$4:$G$69,2,FALSE),"")</f>
        <v>205.64</v>
      </c>
      <c r="C42" s="26">
        <f>VLOOKUP(A42,'DSMZ 120 v3'!$I$5:$J$14,2,FALSE)*'DSMZ 120 v3'!$G$19/'DSMZ 120 v3'!$G$23</f>
        <v>0.1</v>
      </c>
      <c r="D42" s="26" t="s">
        <v>16</v>
      </c>
      <c r="E42" s="26">
        <f t="shared" si="0"/>
        <v>4.8628671464695592E-7</v>
      </c>
      <c r="F42" s="25"/>
      <c r="G42" s="28"/>
      <c r="H42" s="25"/>
      <c r="I42" s="25"/>
      <c r="J42" s="178"/>
      <c r="K42" s="183"/>
      <c r="L42" s="28"/>
      <c r="M42" s="25"/>
      <c r="N42" s="25"/>
      <c r="O42" s="25"/>
      <c r="P42" s="25"/>
      <c r="Q42" s="25"/>
      <c r="R42" s="25"/>
      <c r="S42" s="200"/>
      <c r="T42" s="217">
        <f>VLOOKUP(A42,Library!$B$4:$G$69,3,FALSE)</f>
        <v>8</v>
      </c>
      <c r="U42" s="185">
        <f>VLOOKUP(A42,Library!$B$4:$G$69,4,FALSE)</f>
        <v>1</v>
      </c>
      <c r="V42" s="185">
        <f>VLOOKUP(A42,Library!$B$4:$G$69,5,FALSE)</f>
        <v>0</v>
      </c>
      <c r="W42" s="218">
        <f>VLOOKUP(A42,Library!$B$4:$G$69,6,FALSE)</f>
        <v>0</v>
      </c>
      <c r="X42" s="217">
        <f t="shared" si="11"/>
        <v>3.8902937171756473E-6</v>
      </c>
      <c r="Y42" s="185">
        <f t="shared" si="12"/>
        <v>4.8628671464695592E-7</v>
      </c>
      <c r="Z42" s="185">
        <f t="shared" si="13"/>
        <v>0</v>
      </c>
      <c r="AA42" s="218">
        <f t="shared" si="14"/>
        <v>0</v>
      </c>
      <c r="AB42" s="217">
        <f>X42*VLOOKUP($AB$7,Library!$T$4:$U$7,2,FALSE)</f>
        <v>4.6722427543279525E-5</v>
      </c>
      <c r="AC42" s="185">
        <f>Y42*VLOOKUP($AC$7,Library!$T$4:$U$7,2,FALSE)</f>
        <v>6.8128768722038524E-6</v>
      </c>
      <c r="AD42" s="185">
        <f>Z42*VLOOKUP($AD$7,Library!$T$4:$U$7,2,FALSE)</f>
        <v>0</v>
      </c>
      <c r="AE42" s="218">
        <f>AA42*VLOOKUP($AE$7,Library!$T$4:$U$7,2,FALSE)</f>
        <v>0</v>
      </c>
    </row>
    <row r="43" spans="1:31" ht="14.4" x14ac:dyDescent="0.3">
      <c r="A43" s="25" t="s">
        <v>121</v>
      </c>
      <c r="B43" s="25">
        <f>IFERROR(VLOOKUP(A43,Library!$B$4:$G$69,2,FALSE),"")</f>
        <v>337.27</v>
      </c>
      <c r="C43" s="26">
        <f>VLOOKUP(A43,'DSMZ 120 v3'!$I$5:$J$14,2,FALSE)*'DSMZ 120 v3'!$G$19/'DSMZ 120 v3'!$G$23</f>
        <v>0.05</v>
      </c>
      <c r="D43" s="26" t="s">
        <v>16</v>
      </c>
      <c r="E43" s="26">
        <f t="shared" si="0"/>
        <v>1.4824917721706646E-7</v>
      </c>
      <c r="F43" s="25"/>
      <c r="G43" s="28"/>
      <c r="H43" s="25"/>
      <c r="I43" s="25"/>
      <c r="J43" s="178"/>
      <c r="K43" s="27"/>
      <c r="L43" s="27"/>
      <c r="M43" s="25"/>
      <c r="N43" s="25"/>
      <c r="O43" s="25"/>
      <c r="P43" s="25"/>
      <c r="Q43" s="25"/>
      <c r="R43" s="25"/>
      <c r="S43" s="200"/>
      <c r="T43" s="217">
        <f>VLOOKUP(A43,Library!$B$4:$G$69,3,FALSE)</f>
        <v>12</v>
      </c>
      <c r="U43" s="185">
        <f>VLOOKUP(A43,Library!$B$4:$G$69,4,FALSE)</f>
        <v>2</v>
      </c>
      <c r="V43" s="185">
        <f>VLOOKUP(A43,Library!$B$4:$G$69,5,FALSE)</f>
        <v>0</v>
      </c>
      <c r="W43" s="218">
        <f>VLOOKUP(A43,Library!$B$4:$G$69,6,FALSE)</f>
        <v>1</v>
      </c>
      <c r="X43" s="217">
        <f t="shared" si="11"/>
        <v>1.7789901266047974E-6</v>
      </c>
      <c r="Y43" s="185">
        <f t="shared" si="12"/>
        <v>2.9649835443413292E-7</v>
      </c>
      <c r="Z43" s="185">
        <f t="shared" si="13"/>
        <v>0</v>
      </c>
      <c r="AA43" s="218">
        <f t="shared" si="14"/>
        <v>1.4824917721706646E-7</v>
      </c>
      <c r="AB43" s="217">
        <f>X43*VLOOKUP($AB$7,Library!$T$4:$U$7,2,FALSE)</f>
        <v>2.1365671420523617E-5</v>
      </c>
      <c r="AC43" s="185">
        <f>Y43*VLOOKUP($AC$7,Library!$T$4:$U$7,2,FALSE)</f>
        <v>4.1539419456222018E-6</v>
      </c>
      <c r="AD43" s="185">
        <f>Z43*VLOOKUP($AD$7,Library!$T$4:$U$7,2,FALSE)</f>
        <v>0</v>
      </c>
      <c r="AE43" s="218">
        <f>AA43*VLOOKUP($AE$7,Library!$T$4:$U$7,2,FALSE)</f>
        <v>4.7543511133513211E-6</v>
      </c>
    </row>
    <row r="44" spans="1:31" ht="14.4" x14ac:dyDescent="0.3">
      <c r="A44" s="25" t="s">
        <v>30</v>
      </c>
      <c r="B44" s="25">
        <f>IFERROR(VLOOKUP(A44,Library!$B$4:$G$69,2,FALSE),"")</f>
        <v>376.37</v>
      </c>
      <c r="C44" s="26">
        <f>VLOOKUP(A44,'DSMZ 120 v3'!$I$5:$J$14,2,FALSE)*'DSMZ 120 v3'!$G$19/'DSMZ 120 v3'!$G$23</f>
        <v>0.05</v>
      </c>
      <c r="D44" s="26" t="s">
        <v>16</v>
      </c>
      <c r="E44" s="26">
        <f t="shared" si="0"/>
        <v>1.3284799532375059E-7</v>
      </c>
      <c r="F44" s="25"/>
      <c r="G44" s="28"/>
      <c r="H44" s="25"/>
      <c r="I44" s="25"/>
      <c r="J44" s="178"/>
      <c r="K44" s="27"/>
      <c r="L44" s="27"/>
      <c r="M44" s="25"/>
      <c r="N44" s="25"/>
      <c r="O44" s="25"/>
      <c r="P44" s="25"/>
      <c r="Q44" s="25"/>
      <c r="R44" s="25"/>
      <c r="S44" s="200"/>
      <c r="T44" s="217">
        <f>VLOOKUP(A44,Library!$B$4:$G$69,3,FALSE)</f>
        <v>17</v>
      </c>
      <c r="U44" s="185">
        <f>VLOOKUP(A44,Library!$B$4:$G$69,4,FALSE)</f>
        <v>4</v>
      </c>
      <c r="V44" s="185">
        <f>VLOOKUP(A44,Library!$B$4:$G$69,5,FALSE)</f>
        <v>0</v>
      </c>
      <c r="W44" s="218">
        <f>VLOOKUP(A44,Library!$B$4:$G$69,6,FALSE)</f>
        <v>0</v>
      </c>
      <c r="X44" s="217">
        <f t="shared" si="11"/>
        <v>2.2584159205037601E-6</v>
      </c>
      <c r="Y44" s="185">
        <f t="shared" si="12"/>
        <v>5.3139198129500234E-7</v>
      </c>
      <c r="Z44" s="185">
        <f t="shared" si="13"/>
        <v>0</v>
      </c>
      <c r="AA44" s="218">
        <f t="shared" si="14"/>
        <v>0</v>
      </c>
      <c r="AB44" s="217">
        <f>X44*VLOOKUP($AB$7,Library!$T$4:$U$7,2,FALSE)</f>
        <v>2.7123575205250158E-5</v>
      </c>
      <c r="AC44" s="185">
        <f>Y44*VLOOKUP($AC$7,Library!$T$4:$U$7,2,FALSE)</f>
        <v>7.444801657942983E-6</v>
      </c>
      <c r="AD44" s="185">
        <f>Z44*VLOOKUP($AD$7,Library!$T$4:$U$7,2,FALSE)</f>
        <v>0</v>
      </c>
      <c r="AE44" s="218">
        <f>AA44*VLOOKUP($AE$7,Library!$T$4:$U$7,2,FALSE)</f>
        <v>0</v>
      </c>
    </row>
    <row r="45" spans="1:31" ht="14.4" x14ac:dyDescent="0.3">
      <c r="A45" s="25" t="s">
        <v>34</v>
      </c>
      <c r="B45" s="25">
        <f>IFERROR(VLOOKUP(A45,Library!$B$4:$G$69,2,FALSE),"")</f>
        <v>123.11</v>
      </c>
      <c r="C45" s="26">
        <f>VLOOKUP(A45,'DSMZ 120 v3'!$I$5:$J$14,2,FALSE)*'DSMZ 120 v3'!$G$19/'DSMZ 120 v3'!$G$23</f>
        <v>0.05</v>
      </c>
      <c r="D45" s="26" t="s">
        <v>16</v>
      </c>
      <c r="E45" s="26">
        <f t="shared" si="0"/>
        <v>4.0614084964665748E-7</v>
      </c>
      <c r="F45" s="25"/>
      <c r="G45" s="28"/>
      <c r="H45" s="25"/>
      <c r="I45" s="25"/>
      <c r="J45" s="178"/>
      <c r="K45" s="27"/>
      <c r="L45" s="27"/>
      <c r="M45" s="25"/>
      <c r="N45" s="25"/>
      <c r="O45" s="25"/>
      <c r="P45" s="25"/>
      <c r="Q45" s="25"/>
      <c r="R45" s="25"/>
      <c r="S45" s="200"/>
      <c r="T45" s="217">
        <f>VLOOKUP(A45,Library!$B$4:$G$69,3,FALSE)</f>
        <v>6</v>
      </c>
      <c r="U45" s="185">
        <f>VLOOKUP(A45,Library!$B$4:$G$69,4,FALSE)</f>
        <v>1</v>
      </c>
      <c r="V45" s="185">
        <f>VLOOKUP(A45,Library!$B$4:$G$69,5,FALSE)</f>
        <v>0</v>
      </c>
      <c r="W45" s="218">
        <f>VLOOKUP(A45,Library!$B$4:$G$69,6,FALSE)</f>
        <v>0</v>
      </c>
      <c r="X45" s="217">
        <f t="shared" si="11"/>
        <v>2.436845097879945E-6</v>
      </c>
      <c r="Y45" s="185">
        <f t="shared" si="12"/>
        <v>4.0614084964665748E-7</v>
      </c>
      <c r="Z45" s="185">
        <f t="shared" si="13"/>
        <v>0</v>
      </c>
      <c r="AA45" s="218">
        <f t="shared" si="14"/>
        <v>0</v>
      </c>
      <c r="AB45" s="217">
        <f>X45*VLOOKUP($AB$7,Library!$T$4:$U$7,2,FALSE)</f>
        <v>2.9266509625538138E-5</v>
      </c>
      <c r="AC45" s="185">
        <f>Y45*VLOOKUP($AC$7,Library!$T$4:$U$7,2,FALSE)</f>
        <v>5.690033303549671E-6</v>
      </c>
      <c r="AD45" s="185">
        <f>Z45*VLOOKUP($AD$7,Library!$T$4:$U$7,2,FALSE)</f>
        <v>0</v>
      </c>
      <c r="AE45" s="218">
        <f>AA45*VLOOKUP($AE$7,Library!$T$4:$U$7,2,FALSE)</f>
        <v>0</v>
      </c>
    </row>
    <row r="46" spans="1:31" ht="14.4" x14ac:dyDescent="0.3">
      <c r="A46" s="25" t="s">
        <v>122</v>
      </c>
      <c r="B46" s="25">
        <f>IFERROR(VLOOKUP(A46,Library!$B$4:$G$69,2,FALSE),"")</f>
        <v>476.53</v>
      </c>
      <c r="C46" s="26">
        <f>VLOOKUP(A46,'DSMZ 120 v3'!$I$5:$J$14,2,FALSE)*'DSMZ 120 v3'!$G$19/'DSMZ 120 v3'!$G$23</f>
        <v>0.05</v>
      </c>
      <c r="D46" s="26" t="s">
        <v>16</v>
      </c>
      <c r="E46" s="26">
        <f t="shared" si="0"/>
        <v>1.0492518834071308E-7</v>
      </c>
      <c r="F46" s="25"/>
      <c r="G46" s="28"/>
      <c r="H46" s="25"/>
      <c r="I46" s="25"/>
      <c r="J46" s="178"/>
      <c r="K46" s="27"/>
      <c r="L46" s="27"/>
      <c r="M46" s="25"/>
      <c r="N46" s="25"/>
      <c r="O46" s="25"/>
      <c r="P46" s="25"/>
      <c r="Q46" s="25"/>
      <c r="R46" s="25"/>
      <c r="S46" s="200"/>
      <c r="T46" s="217">
        <f>VLOOKUP(A46,Library!$B$4:$G$69,3,FALSE)</f>
        <v>9</v>
      </c>
      <c r="U46" s="185">
        <f>VLOOKUP(A46,Library!$B$4:$G$69,4,FALSE)</f>
        <v>1</v>
      </c>
      <c r="V46" s="185">
        <f>VLOOKUP(A46,Library!$B$4:$G$69,5,FALSE)</f>
        <v>0</v>
      </c>
      <c r="W46" s="218">
        <f>VLOOKUP(A46,Library!$B$4:$G$69,6,FALSE)</f>
        <v>0</v>
      </c>
      <c r="X46" s="217">
        <f t="shared" si="11"/>
        <v>9.4432669506641772E-7</v>
      </c>
      <c r="Y46" s="185">
        <f t="shared" si="12"/>
        <v>1.0492518834071308E-7</v>
      </c>
      <c r="Z46" s="185">
        <f t="shared" si="13"/>
        <v>0</v>
      </c>
      <c r="AA46" s="218">
        <f t="shared" si="14"/>
        <v>0</v>
      </c>
      <c r="AB46" s="217">
        <f>X46*VLOOKUP($AB$7,Library!$T$4:$U$7,2,FALSE)</f>
        <v>1.1341363607747676E-5</v>
      </c>
      <c r="AC46" s="185">
        <f>Y46*VLOOKUP($AC$7,Library!$T$4:$U$7,2,FALSE)</f>
        <v>1.4700018886533902E-6</v>
      </c>
      <c r="AD46" s="185">
        <f>Z46*VLOOKUP($AD$7,Library!$T$4:$U$7,2,FALSE)</f>
        <v>0</v>
      </c>
      <c r="AE46" s="218">
        <f>AA46*VLOOKUP($AE$7,Library!$T$4:$U$7,2,FALSE)</f>
        <v>0</v>
      </c>
    </row>
    <row r="47" spans="1:31" ht="14.4" x14ac:dyDescent="0.3">
      <c r="A47" s="25" t="s">
        <v>42</v>
      </c>
      <c r="B47" s="25">
        <f>IFERROR(VLOOKUP(A47,Library!$B$4:$G$69,2,FALSE),"")</f>
        <v>1355.37</v>
      </c>
      <c r="C47" s="26">
        <f>VLOOKUP(A47,'DSMZ 120 v3'!$I$5:$J$14,2,FALSE)*'DSMZ 120 v3'!$G$19/'DSMZ 120 v3'!$G$23</f>
        <v>1E-3</v>
      </c>
      <c r="D47" s="26" t="s">
        <v>16</v>
      </c>
      <c r="E47" s="26">
        <f t="shared" si="0"/>
        <v>7.37805912776585E-10</v>
      </c>
      <c r="F47" s="25"/>
      <c r="G47" s="28"/>
      <c r="H47" s="25"/>
      <c r="I47" s="25"/>
      <c r="J47" s="178"/>
      <c r="K47" s="27"/>
      <c r="L47" s="27"/>
      <c r="M47" s="25"/>
      <c r="N47" s="25"/>
      <c r="O47" s="25"/>
      <c r="P47" s="25"/>
      <c r="Q47" s="25"/>
      <c r="R47" s="25"/>
      <c r="S47" s="200"/>
      <c r="T47" s="217">
        <f>VLOOKUP(A47,Library!$B$4:$G$69,3,FALSE)</f>
        <v>70</v>
      </c>
      <c r="U47" s="185">
        <f>VLOOKUP(A47,Library!$B$4:$G$69,4,FALSE)</f>
        <v>14</v>
      </c>
      <c r="V47" s="185">
        <f>VLOOKUP(A47,Library!$B$4:$G$69,5,FALSE)</f>
        <v>0</v>
      </c>
      <c r="W47" s="218">
        <f>VLOOKUP(A47,Library!$B$4:$G$69,6,FALSE)</f>
        <v>1</v>
      </c>
      <c r="X47" s="217">
        <f t="shared" si="11"/>
        <v>5.1646413894360947E-8</v>
      </c>
      <c r="Y47" s="185">
        <f t="shared" si="12"/>
        <v>1.0329282778872189E-8</v>
      </c>
      <c r="Z47" s="185">
        <f t="shared" si="13"/>
        <v>0</v>
      </c>
      <c r="AA47" s="218">
        <f t="shared" si="14"/>
        <v>7.37805912776585E-10</v>
      </c>
      <c r="AB47" s="217">
        <f>X47*VLOOKUP($AB$7,Library!$T$4:$U$7,2,FALSE)</f>
        <v>6.2027343087127501E-7</v>
      </c>
      <c r="AC47" s="185">
        <f>Y47*VLOOKUP($AC$7,Library!$T$4:$U$7,2,FALSE)</f>
        <v>1.4471325173199938E-7</v>
      </c>
      <c r="AD47" s="185">
        <f>Z47*VLOOKUP($AD$7,Library!$T$4:$U$7,2,FALSE)</f>
        <v>0</v>
      </c>
      <c r="AE47" s="218">
        <f>AA47*VLOOKUP($AE$7,Library!$T$4:$U$7,2,FALSE)</f>
        <v>2.366143562274508E-8</v>
      </c>
    </row>
    <row r="48" spans="1:31" ht="14.4" x14ac:dyDescent="0.3">
      <c r="A48" s="25" t="s">
        <v>45</v>
      </c>
      <c r="B48" s="25">
        <f>IFERROR(VLOOKUP(A48,Library!$B$4:$G$69,2,FALSE),"")</f>
        <v>137.13999999999999</v>
      </c>
      <c r="C48" s="26">
        <f>VLOOKUP(A48,'DSMZ 120 v3'!$I$5:$J$14,2,FALSE)*'DSMZ 120 v3'!$G$19/'DSMZ 120 v3'!$G$23</f>
        <v>0.05</v>
      </c>
      <c r="D48" s="26" t="s">
        <v>16</v>
      </c>
      <c r="E48" s="26">
        <f t="shared" si="0"/>
        <v>3.6459092897768708E-7</v>
      </c>
      <c r="F48" s="25"/>
      <c r="G48" s="28"/>
      <c r="H48" s="25"/>
      <c r="I48" s="25"/>
      <c r="J48" s="178"/>
      <c r="K48" s="27"/>
      <c r="L48" s="27"/>
      <c r="M48" s="25"/>
      <c r="N48" s="25"/>
      <c r="O48" s="25"/>
      <c r="P48" s="25"/>
      <c r="Q48" s="25"/>
      <c r="R48" s="25"/>
      <c r="S48" s="200"/>
      <c r="T48" s="217">
        <f>VLOOKUP(A48,Library!$B$4:$G$69,3,FALSE)</f>
        <v>7</v>
      </c>
      <c r="U48" s="185">
        <f>VLOOKUP(A48,Library!$B$4:$G$69,4,FALSE)</f>
        <v>1</v>
      </c>
      <c r="V48" s="185">
        <f>VLOOKUP(A48,Library!$B$4:$G$69,5,FALSE)</f>
        <v>0</v>
      </c>
      <c r="W48" s="218">
        <f>VLOOKUP(A48,Library!$B$4:$G$69,6,FALSE)</f>
        <v>0</v>
      </c>
      <c r="X48" s="217">
        <f t="shared" si="11"/>
        <v>2.5521365028438097E-6</v>
      </c>
      <c r="Y48" s="185">
        <f t="shared" si="12"/>
        <v>3.6459092897768708E-7</v>
      </c>
      <c r="Z48" s="185">
        <f t="shared" si="13"/>
        <v>0</v>
      </c>
      <c r="AA48" s="218">
        <f t="shared" si="14"/>
        <v>0</v>
      </c>
      <c r="AB48" s="217">
        <f>X48*VLOOKUP($AB$7,Library!$T$4:$U$7,2,FALSE)</f>
        <v>3.0651159399154156E-5</v>
      </c>
      <c r="AC48" s="185">
        <f>Y48*VLOOKUP($AC$7,Library!$T$4:$U$7,2,FALSE)</f>
        <v>5.107918914977396E-6</v>
      </c>
      <c r="AD48" s="185">
        <f>Z48*VLOOKUP($AD$7,Library!$T$4:$U$7,2,FALSE)</f>
        <v>0</v>
      </c>
      <c r="AE48" s="218">
        <f>AA48*VLOOKUP($AE$7,Library!$T$4:$U$7,2,FALSE)</f>
        <v>0</v>
      </c>
    </row>
    <row r="49" spans="1:31" ht="14.4" x14ac:dyDescent="0.3">
      <c r="A49" s="25" t="s">
        <v>288</v>
      </c>
      <c r="B49" s="25">
        <f>IFERROR(VLOOKUP(A49,Library!$B$4:$G$69,2,FALSE),"")</f>
        <v>206.33</v>
      </c>
      <c r="C49" s="26">
        <f>VLOOKUP(A49,'DSMZ 120 v3'!$I$5:$J$14,2,FALSE)*'DSMZ 120 v3'!$G$19/'DSMZ 120 v3'!$G$23</f>
        <v>0.05</v>
      </c>
      <c r="D49" s="26" t="s">
        <v>16</v>
      </c>
      <c r="E49" s="26">
        <f t="shared" si="0"/>
        <v>2.4233024766151311E-7</v>
      </c>
      <c r="F49" s="25"/>
      <c r="G49" s="28"/>
      <c r="H49" s="25"/>
      <c r="I49" s="25"/>
      <c r="J49" s="178"/>
      <c r="K49" s="27"/>
      <c r="L49" s="27"/>
      <c r="M49" s="25"/>
      <c r="N49" s="25"/>
      <c r="O49" s="25"/>
      <c r="P49" s="25"/>
      <c r="Q49" s="25"/>
      <c r="R49" s="25"/>
      <c r="S49" s="200"/>
      <c r="T49" s="217">
        <f>VLOOKUP(A49,Library!$B$4:$G$69,3,FALSE)</f>
        <v>8</v>
      </c>
      <c r="U49" s="185">
        <f>VLOOKUP(A49,Library!$B$4:$G$69,4,FALSE)</f>
        <v>0</v>
      </c>
      <c r="V49" s="185">
        <f>VLOOKUP(A49,Library!$B$4:$G$69,5,FALSE)</f>
        <v>0</v>
      </c>
      <c r="W49" s="218">
        <f>VLOOKUP(A49,Library!$B$4:$G$69,6,FALSE)</f>
        <v>2</v>
      </c>
      <c r="X49" s="217">
        <f t="shared" si="11"/>
        <v>1.9386419812921049E-6</v>
      </c>
      <c r="Y49" s="185">
        <f t="shared" si="12"/>
        <v>0</v>
      </c>
      <c r="Z49" s="185">
        <f t="shared" si="13"/>
        <v>0</v>
      </c>
      <c r="AA49" s="218">
        <f t="shared" si="14"/>
        <v>4.8466049532302623E-7</v>
      </c>
      <c r="AB49" s="217">
        <f>X49*VLOOKUP($AB$7,Library!$T$4:$U$7,2,FALSE)</f>
        <v>2.3283090195318181E-5</v>
      </c>
      <c r="AC49" s="185">
        <f>Y49*VLOOKUP($AC$7,Library!$T$4:$U$7,2,FALSE)</f>
        <v>0</v>
      </c>
      <c r="AD49" s="185">
        <f>Z49*VLOOKUP($AD$7,Library!$T$4:$U$7,2,FALSE)</f>
        <v>0</v>
      </c>
      <c r="AE49" s="218">
        <f>AA49*VLOOKUP($AE$7,Library!$T$4:$U$7,2,FALSE)</f>
        <v>1.5543062085009453E-5</v>
      </c>
    </row>
    <row r="50" spans="1:31" ht="14.4" x14ac:dyDescent="0.3">
      <c r="A50" s="69"/>
      <c r="C50" s="6"/>
      <c r="D50" s="6"/>
      <c r="E50" s="6"/>
      <c r="Q50" s="6"/>
      <c r="AB50" s="1"/>
    </row>
    <row r="51" spans="1:31" ht="14.4" x14ac:dyDescent="0.3">
      <c r="A51" t="s">
        <v>126</v>
      </c>
      <c r="C51" s="6"/>
      <c r="D51" s="6"/>
      <c r="E51" s="6"/>
      <c r="Q51" s="6"/>
    </row>
    <row r="52" spans="1:31" ht="14.4" x14ac:dyDescent="0.3">
      <c r="A52" s="7" t="s">
        <v>278</v>
      </c>
      <c r="B52" s="97"/>
      <c r="E52" s="6"/>
      <c r="Q52" s="6"/>
    </row>
    <row r="53" spans="1:31" ht="14.4" x14ac:dyDescent="0.3">
      <c r="A53" s="71" t="s">
        <v>98</v>
      </c>
      <c r="B53" s="71" t="s">
        <v>322</v>
      </c>
      <c r="C53" s="71" t="s">
        <v>103</v>
      </c>
      <c r="D53" s="206" t="s">
        <v>321</v>
      </c>
    </row>
    <row r="54" spans="1:31" ht="14.4" x14ac:dyDescent="0.3">
      <c r="A54" s="70" t="s">
        <v>63</v>
      </c>
      <c r="B54" s="70">
        <f t="shared" ref="B54:B66" si="17">SUMIF($F$9:$F$49,A54,$L$9:$L$49)*1000</f>
        <v>1188.5646043802831</v>
      </c>
      <c r="C54" s="70">
        <f>SUMIF($F$10:$F$49,A54,$I$10:$I$49)</f>
        <v>4.099945068138635E-2</v>
      </c>
      <c r="D54" s="207">
        <f>SUMIF($F$10:$F$49,A54,$K$10:$K$49)</f>
        <v>4.099945068138635E-2</v>
      </c>
    </row>
    <row r="55" spans="1:31" ht="14.4" x14ac:dyDescent="0.3">
      <c r="A55" s="70" t="s">
        <v>64</v>
      </c>
      <c r="B55" s="70">
        <f t="shared" si="17"/>
        <v>49.304203180785464</v>
      </c>
      <c r="C55" s="70">
        <f t="shared" ref="C55:C66" si="18">SUMIF($F$10:$F$49,A55,$I$10:$I$49)</f>
        <v>2.0285621551444336E-3</v>
      </c>
      <c r="D55" s="207">
        <f t="shared" ref="D55:D66" si="19">SUMIF($F$10:$F$49,A55,$K$10:$K$49)</f>
        <v>8.1142486205777343E-3</v>
      </c>
    </row>
    <row r="56" spans="1:31" ht="14.4" x14ac:dyDescent="0.3">
      <c r="A56" s="70" t="s">
        <v>65</v>
      </c>
      <c r="B56" s="70">
        <f t="shared" si="17"/>
        <v>68.155227535541798</v>
      </c>
      <c r="C56" s="70">
        <f t="shared" si="18"/>
        <v>1.7005645874430312E-3</v>
      </c>
      <c r="D56" s="207">
        <f t="shared" si="19"/>
        <v>6.8022583497721247E-3</v>
      </c>
    </row>
    <row r="57" spans="1:31" ht="14.4" x14ac:dyDescent="0.3">
      <c r="A57" s="70" t="s">
        <v>66</v>
      </c>
      <c r="B57" s="70">
        <f t="shared" si="17"/>
        <v>203.78712914151316</v>
      </c>
      <c r="C57" s="70">
        <f t="shared" si="18"/>
        <v>5.2127736147806851E-3</v>
      </c>
      <c r="D57" s="207">
        <f t="shared" si="19"/>
        <v>5.2127736147806851E-3</v>
      </c>
    </row>
    <row r="58" spans="1:31" ht="14.4" x14ac:dyDescent="0.3">
      <c r="A58" s="70" t="s">
        <v>71</v>
      </c>
      <c r="B58" s="70">
        <f t="shared" si="17"/>
        <v>0</v>
      </c>
      <c r="C58" s="70">
        <f t="shared" si="18"/>
        <v>0</v>
      </c>
      <c r="D58" s="207">
        <f t="shared" si="19"/>
        <v>0</v>
      </c>
    </row>
    <row r="59" spans="1:31" ht="14.4" x14ac:dyDescent="0.3">
      <c r="A59" s="70" t="s">
        <v>72</v>
      </c>
      <c r="B59" s="70">
        <f t="shared" si="17"/>
        <v>5.9263410324372082E-3</v>
      </c>
      <c r="C59" s="70">
        <f t="shared" si="18"/>
        <v>1.0097185409567084E-7</v>
      </c>
      <c r="D59" s="207">
        <f t="shared" si="19"/>
        <v>4.0388741638268334E-7</v>
      </c>
    </row>
    <row r="60" spans="1:31" ht="14.4" x14ac:dyDescent="0.3">
      <c r="A60" s="70" t="s">
        <v>73</v>
      </c>
      <c r="B60" s="70">
        <f t="shared" si="17"/>
        <v>3.3860315356959429E-2</v>
      </c>
      <c r="C60" s="70">
        <f t="shared" si="18"/>
        <v>5.1361068310220855E-7</v>
      </c>
      <c r="D60" s="207">
        <f t="shared" si="19"/>
        <v>2.0544427324088342E-6</v>
      </c>
    </row>
    <row r="61" spans="1:31" ht="14.4" x14ac:dyDescent="0.3">
      <c r="A61" s="70" t="s">
        <v>74</v>
      </c>
      <c r="B61" s="70">
        <f t="shared" si="17"/>
        <v>2.7760092971552727E-2</v>
      </c>
      <c r="C61" s="70">
        <f t="shared" si="18"/>
        <v>5.0528017785862262E-7</v>
      </c>
      <c r="D61" s="207">
        <f t="shared" si="19"/>
        <v>2.0211207114344905E-6</v>
      </c>
    </row>
    <row r="62" spans="1:31" ht="14.4" x14ac:dyDescent="0.3">
      <c r="A62" s="70" t="s">
        <v>75</v>
      </c>
      <c r="B62" s="70">
        <f t="shared" si="17"/>
        <v>4.7061346194258814E-2</v>
      </c>
      <c r="C62" s="70">
        <f t="shared" si="18"/>
        <v>7.9855419661244901E-7</v>
      </c>
      <c r="D62" s="207">
        <f t="shared" si="19"/>
        <v>3.1942167864497961E-6</v>
      </c>
    </row>
    <row r="63" spans="1:31" ht="14.4" x14ac:dyDescent="0.3">
      <c r="A63" s="70" t="s">
        <v>78</v>
      </c>
      <c r="B63" s="70">
        <f t="shared" si="17"/>
        <v>168.62965040194428</v>
      </c>
      <c r="C63" s="70">
        <f t="shared" si="18"/>
        <v>9.3475415965601043E-3</v>
      </c>
      <c r="D63" s="207">
        <f t="shared" si="19"/>
        <v>9.3475415965601043E-3</v>
      </c>
    </row>
    <row r="64" spans="1:31" ht="14.4" x14ac:dyDescent="0.3">
      <c r="A64" s="70" t="s">
        <v>80</v>
      </c>
      <c r="B64" s="70">
        <f t="shared" si="17"/>
        <v>0.70645135396297809</v>
      </c>
      <c r="C64" s="70">
        <f t="shared" si="18"/>
        <v>1.2650216742107225E-5</v>
      </c>
      <c r="D64" s="207">
        <f t="shared" si="19"/>
        <v>5.0600866968428902E-5</v>
      </c>
    </row>
    <row r="65" spans="1:7" ht="14.4" x14ac:dyDescent="0.3">
      <c r="A65" s="70" t="s">
        <v>114</v>
      </c>
      <c r="B65" s="70">
        <f t="shared" si="17"/>
        <v>0</v>
      </c>
      <c r="C65" s="70">
        <f t="shared" si="18"/>
        <v>0</v>
      </c>
      <c r="D65" s="207">
        <f t="shared" si="19"/>
        <v>0</v>
      </c>
    </row>
    <row r="66" spans="1:7" ht="14.4" x14ac:dyDescent="0.3">
      <c r="A66" s="70" t="s">
        <v>81</v>
      </c>
      <c r="B66" s="70">
        <f t="shared" si="17"/>
        <v>2.2003754106053497E-3</v>
      </c>
      <c r="C66" s="70">
        <f t="shared" si="18"/>
        <v>1.1731581417175035E-8</v>
      </c>
      <c r="D66" s="207">
        <f t="shared" si="19"/>
        <v>4.692632566870014E-8</v>
      </c>
    </row>
    <row r="67" spans="1:7" ht="14.4" x14ac:dyDescent="0.3">
      <c r="A67" s="71" t="s">
        <v>99</v>
      </c>
      <c r="B67" s="71" t="s">
        <v>322</v>
      </c>
      <c r="C67" s="71" t="s">
        <v>103</v>
      </c>
      <c r="D67" s="206" t="s">
        <v>321</v>
      </c>
    </row>
    <row r="68" spans="1:7" ht="14.4" x14ac:dyDescent="0.3">
      <c r="A68" s="70" t="s">
        <v>70</v>
      </c>
      <c r="B68" s="70">
        <f t="shared" ref="B68:B81" si="20">SUMIF($M$9:$M$49,A68,$S$9:$S$49)*1000</f>
        <v>1881.0544451222488</v>
      </c>
      <c r="C68" s="70">
        <f>SUMIF($M$10:$M$42,A68,$P$10:$P$49)</f>
        <v>5.3057694556800525E-2</v>
      </c>
      <c r="D68" s="207">
        <f>SUMIF($M$10:$M$49,A68,$R$10:$R$49)</f>
        <v>5.3057694556800525E-2</v>
      </c>
    </row>
    <row r="69" spans="1:7" ht="14.4" x14ac:dyDescent="0.3">
      <c r="A69" s="70" t="s">
        <v>69</v>
      </c>
      <c r="B69" s="70">
        <f t="shared" si="20"/>
        <v>195.35409810752253</v>
      </c>
      <c r="C69" s="70">
        <f t="shared" ref="C69:C81" si="21">SUMIF($M$10:$M$42,A69,$P$10:$P$49)</f>
        <v>2.133479889296676E-3</v>
      </c>
      <c r="D69" s="207">
        <f t="shared" ref="D69:D81" si="22">SUMIF($M$10:$M$49,A69,$R$10:$R$49)</f>
        <v>8.5339195571867039E-3</v>
      </c>
    </row>
    <row r="70" spans="1:7" ht="14.4" x14ac:dyDescent="0.3">
      <c r="A70" s="70" t="s">
        <v>67</v>
      </c>
      <c r="B70" s="70">
        <f t="shared" si="20"/>
        <v>0</v>
      </c>
      <c r="C70" s="70">
        <f t="shared" si="21"/>
        <v>0</v>
      </c>
      <c r="D70" s="207">
        <f t="shared" si="22"/>
        <v>0</v>
      </c>
    </row>
    <row r="71" spans="1:7" ht="14.4" x14ac:dyDescent="0.3">
      <c r="A71" s="70" t="s">
        <v>68</v>
      </c>
      <c r="B71" s="70">
        <f t="shared" si="20"/>
        <v>0</v>
      </c>
      <c r="C71" s="70">
        <f t="shared" si="21"/>
        <v>0</v>
      </c>
      <c r="D71" s="207">
        <f t="shared" si="22"/>
        <v>0</v>
      </c>
    </row>
    <row r="72" spans="1:7" ht="14.4" x14ac:dyDescent="0.3">
      <c r="A72" s="70" t="s">
        <v>79</v>
      </c>
      <c r="B72" s="70">
        <f t="shared" si="20"/>
        <v>0</v>
      </c>
      <c r="C72" s="70">
        <f t="shared" si="21"/>
        <v>0</v>
      </c>
      <c r="D72" s="207">
        <f t="shared" si="22"/>
        <v>0</v>
      </c>
    </row>
    <row r="73" spans="1:7" ht="14.4" x14ac:dyDescent="0.3">
      <c r="A73" s="70" t="s">
        <v>82</v>
      </c>
      <c r="B73" s="70">
        <f t="shared" si="20"/>
        <v>369.65178237392814</v>
      </c>
      <c r="C73" s="70">
        <f t="shared" si="21"/>
        <v>3.8923005409490169E-3</v>
      </c>
      <c r="D73" s="207">
        <f t="shared" si="22"/>
        <v>3.5030704868541158E-2</v>
      </c>
      <c r="G73" s="7"/>
    </row>
    <row r="74" spans="1:7" ht="14.4" x14ac:dyDescent="0.3">
      <c r="A74" s="70" t="s">
        <v>113</v>
      </c>
      <c r="B74" s="70">
        <f t="shared" si="20"/>
        <v>5.7069383794274625E-3</v>
      </c>
      <c r="C74" s="70">
        <f t="shared" si="21"/>
        <v>9.7040271712760799E-8</v>
      </c>
      <c r="D74" s="207">
        <f t="shared" si="22"/>
        <v>8.7336244541484721E-7</v>
      </c>
    </row>
    <row r="75" spans="1:7" ht="14.4" x14ac:dyDescent="0.3">
      <c r="A75" s="70" t="s">
        <v>112</v>
      </c>
      <c r="B75" s="70">
        <f t="shared" si="20"/>
        <v>0</v>
      </c>
      <c r="C75" s="70">
        <f t="shared" si="21"/>
        <v>0</v>
      </c>
      <c r="D75" s="207">
        <f t="shared" si="22"/>
        <v>0</v>
      </c>
    </row>
    <row r="76" spans="1:7" ht="14.4" x14ac:dyDescent="0.3">
      <c r="A76" s="70" t="s">
        <v>76</v>
      </c>
      <c r="B76" s="70">
        <f t="shared" si="20"/>
        <v>2.3799132052076878E-2</v>
      </c>
      <c r="C76" s="70">
        <f t="shared" si="21"/>
        <v>1.4879107253564788E-7</v>
      </c>
      <c r="D76" s="207">
        <f t="shared" si="22"/>
        <v>5.9516429014259153E-7</v>
      </c>
    </row>
    <row r="77" spans="1:7" ht="14.4" x14ac:dyDescent="0.3">
      <c r="A77" s="70" t="s">
        <v>79</v>
      </c>
      <c r="B77" s="70">
        <f t="shared" si="20"/>
        <v>0</v>
      </c>
      <c r="C77" s="70">
        <f t="shared" si="21"/>
        <v>0</v>
      </c>
      <c r="D77" s="207">
        <f t="shared" si="22"/>
        <v>0</v>
      </c>
    </row>
    <row r="78" spans="1:7" ht="14.4" x14ac:dyDescent="0.3">
      <c r="A78" s="70" t="s">
        <v>115</v>
      </c>
      <c r="B78" s="70">
        <f t="shared" si="20"/>
        <v>0</v>
      </c>
      <c r="C78" s="70">
        <f t="shared" si="21"/>
        <v>0</v>
      </c>
      <c r="D78" s="207">
        <f t="shared" si="22"/>
        <v>0</v>
      </c>
    </row>
    <row r="79" spans="1:7" ht="14.4" x14ac:dyDescent="0.3">
      <c r="A79" s="70" t="s">
        <v>84</v>
      </c>
      <c r="B79" s="70">
        <f t="shared" si="20"/>
        <v>40.051211591306512</v>
      </c>
      <c r="C79" s="70">
        <f t="shared" si="21"/>
        <v>1.2490632025980513E-3</v>
      </c>
      <c r="D79" s="207">
        <f t="shared" si="22"/>
        <v>4.9962528103922052E-3</v>
      </c>
    </row>
    <row r="80" spans="1:7" ht="14.4" x14ac:dyDescent="0.3">
      <c r="A80" s="70" t="s">
        <v>119</v>
      </c>
      <c r="B80" s="70">
        <f t="shared" si="20"/>
        <v>0</v>
      </c>
      <c r="C80" s="70">
        <f t="shared" si="21"/>
        <v>0</v>
      </c>
      <c r="D80" s="207">
        <f t="shared" si="22"/>
        <v>0</v>
      </c>
    </row>
    <row r="81" spans="1:4" ht="14.4" x14ac:dyDescent="0.3">
      <c r="A81" s="70" t="s">
        <v>299</v>
      </c>
      <c r="B81" s="70">
        <f t="shared" si="20"/>
        <v>0</v>
      </c>
      <c r="C81" s="70">
        <f t="shared" si="21"/>
        <v>0</v>
      </c>
      <c r="D81" s="207">
        <f t="shared" si="22"/>
        <v>0</v>
      </c>
    </row>
    <row r="82" spans="1:4" ht="14.4" x14ac:dyDescent="0.3">
      <c r="A82" s="71" t="s">
        <v>356</v>
      </c>
      <c r="B82" s="70" t="s">
        <v>322</v>
      </c>
      <c r="C82" s="70"/>
    </row>
    <row r="83" spans="1:4" ht="14.4" x14ac:dyDescent="0.3">
      <c r="A83" t="s">
        <v>116</v>
      </c>
      <c r="B83" s="70">
        <f>B78*78.96/126.96</f>
        <v>0</v>
      </c>
      <c r="C83" s="70"/>
    </row>
    <row r="84" spans="1:4" ht="14.4" x14ac:dyDescent="0.3">
      <c r="A84" t="s">
        <v>87</v>
      </c>
      <c r="B84" s="70">
        <f>B76*95.95/159.95</f>
        <v>1.4276503409795416E-2</v>
      </c>
      <c r="C84" s="70"/>
    </row>
    <row r="85" spans="1:4" ht="14.4" x14ac:dyDescent="0.3">
      <c r="A85" t="s">
        <v>88</v>
      </c>
      <c r="B85" s="70">
        <f>B74*10.911/58.81</f>
        <v>1.0588064046579331E-3</v>
      </c>
      <c r="C85" s="70"/>
    </row>
    <row r="86" spans="1:4" ht="14.4" x14ac:dyDescent="0.3">
      <c r="A86" t="s">
        <v>393</v>
      </c>
      <c r="B86" s="70">
        <f>C30*Library!C14/Library!C15*1000</f>
        <v>206.95780903034787</v>
      </c>
      <c r="C86" s="70"/>
    </row>
    <row r="87" spans="1:4" ht="14.4" x14ac:dyDescent="0.3">
      <c r="A87" t="str">
        <f>A33</f>
        <v>Yeast Extract</v>
      </c>
      <c r="B87" s="70">
        <f>VLOOKUP(A87,$A$33:$D$38,3,FALSE)*1000</f>
        <v>0</v>
      </c>
      <c r="C87" s="70"/>
    </row>
    <row r="88" spans="1:4" ht="14.4" x14ac:dyDescent="0.3">
      <c r="A88" t="str">
        <f>A34</f>
        <v>Casitone</v>
      </c>
      <c r="B88" s="70">
        <f t="shared" ref="B88:B90" si="23">VLOOKUP(A88,$A$33:$D$38,3,FALSE)*1000</f>
        <v>0</v>
      </c>
      <c r="C88" s="70"/>
    </row>
    <row r="89" spans="1:4" ht="14.4" x14ac:dyDescent="0.3">
      <c r="A89" t="str">
        <f>A38</f>
        <v>Methanol</v>
      </c>
      <c r="B89" s="70">
        <f t="shared" si="23"/>
        <v>7917.9999999999991</v>
      </c>
      <c r="C89" s="70"/>
    </row>
    <row r="90" spans="1:4" ht="14.4" x14ac:dyDescent="0.3">
      <c r="A90" t="s">
        <v>295</v>
      </c>
      <c r="B90" s="70">
        <f t="shared" si="23"/>
        <v>0</v>
      </c>
      <c r="C90" s="70"/>
    </row>
    <row r="91" spans="1:4" ht="14.4" x14ac:dyDescent="0.3">
      <c r="A91" s="71" t="s">
        <v>315</v>
      </c>
      <c r="B91" s="71" t="s">
        <v>322</v>
      </c>
      <c r="C91" s="71" t="s">
        <v>61</v>
      </c>
    </row>
    <row r="92" spans="1:4" ht="14.4" x14ac:dyDescent="0.3">
      <c r="A92" s="70" t="s">
        <v>44</v>
      </c>
      <c r="B92" s="70">
        <f>SUM(AD10:AD49)*1000</f>
        <v>120.54454775319105</v>
      </c>
      <c r="C92" s="70">
        <f>SUM(Z10:Z49)</f>
        <v>3.8923005409490169E-3</v>
      </c>
    </row>
    <row r="93" spans="1:4" ht="14.4" x14ac:dyDescent="0.3">
      <c r="A93" s="70" t="s">
        <v>47</v>
      </c>
      <c r="B93" s="70">
        <f>SUM(AC10:AC49)*1000</f>
        <v>154.92761073977618</v>
      </c>
      <c r="C93" s="70">
        <f>SUM(Y10:Y49)</f>
        <v>1.1058359082068248E-2</v>
      </c>
    </row>
    <row r="94" spans="1:4" ht="15" customHeight="1" x14ac:dyDescent="0.3">
      <c r="A94" s="70" t="s">
        <v>196</v>
      </c>
      <c r="B94" s="70">
        <f>SUM(AE10:AE49)*1000</f>
        <v>163.28103847554888</v>
      </c>
      <c r="C94" s="70">
        <f>SUM(AA10:AA49)</f>
        <v>5.091395025742091E-3</v>
      </c>
    </row>
    <row r="95" spans="1:4" ht="15" customHeight="1" x14ac:dyDescent="0.3">
      <c r="A95" s="70" t="s">
        <v>51</v>
      </c>
      <c r="B95" s="70">
        <f>SUM(AB10:AB49)*1000</f>
        <v>3029.7690575964771</v>
      </c>
      <c r="C95" s="70">
        <f>SUM(X10:X49)</f>
        <v>0.25227052935857419</v>
      </c>
    </row>
    <row r="96" spans="1:4" ht="15" customHeight="1" x14ac:dyDescent="0.3">
      <c r="A96" s="209" t="s">
        <v>320</v>
      </c>
      <c r="B96" s="209" t="s">
        <v>325</v>
      </c>
      <c r="C96" s="71" t="s">
        <v>61</v>
      </c>
    </row>
    <row r="97" spans="1:3" ht="15" customHeight="1" x14ac:dyDescent="0.3">
      <c r="A97" t="s">
        <v>15</v>
      </c>
      <c r="B97" s="99">
        <f>VLOOKUP(A97,$A$40:$E$49,3,FALSE)*1000</f>
        <v>20</v>
      </c>
      <c r="C97" s="99">
        <f>VLOOKUP(A97,$A$40:$E$49,5,FALSE)</f>
        <v>8.1863206581801814E-8</v>
      </c>
    </row>
    <row r="98" spans="1:3" ht="15" customHeight="1" x14ac:dyDescent="0.3">
      <c r="A98" t="s">
        <v>19</v>
      </c>
      <c r="B98" s="99">
        <f t="shared" ref="B98:B106" si="24">VLOOKUP(A98,$A$40:$E$49,3,FALSE)*1000</f>
        <v>20</v>
      </c>
      <c r="C98" s="99">
        <f t="shared" ref="C98:C106" si="25">VLOOKUP(A98,$A$40:$E$49,5,FALSE)</f>
        <v>4.5310376076121436E-8</v>
      </c>
    </row>
    <row r="99" spans="1:3" ht="15" customHeight="1" x14ac:dyDescent="0.3">
      <c r="A99" t="s">
        <v>120</v>
      </c>
      <c r="B99" s="99">
        <f t="shared" si="24"/>
        <v>100</v>
      </c>
      <c r="C99" s="99">
        <f t="shared" si="25"/>
        <v>4.8628671464695592E-7</v>
      </c>
    </row>
    <row r="100" spans="1:3" ht="15" customHeight="1" x14ac:dyDescent="0.3">
      <c r="A100" t="s">
        <v>121</v>
      </c>
      <c r="B100" s="99">
        <f t="shared" si="24"/>
        <v>50</v>
      </c>
      <c r="C100" s="99">
        <f t="shared" si="25"/>
        <v>1.4824917721706646E-7</v>
      </c>
    </row>
    <row r="101" spans="1:3" ht="15" customHeight="1" x14ac:dyDescent="0.3">
      <c r="A101" t="s">
        <v>30</v>
      </c>
      <c r="B101" s="99">
        <f t="shared" si="24"/>
        <v>50</v>
      </c>
      <c r="C101" s="99">
        <f t="shared" si="25"/>
        <v>1.3284799532375059E-7</v>
      </c>
    </row>
    <row r="102" spans="1:3" ht="15" customHeight="1" x14ac:dyDescent="0.3">
      <c r="A102" t="s">
        <v>34</v>
      </c>
      <c r="B102" s="99">
        <f t="shared" si="24"/>
        <v>50</v>
      </c>
      <c r="C102" s="99">
        <f t="shared" si="25"/>
        <v>4.0614084964665748E-7</v>
      </c>
    </row>
    <row r="103" spans="1:3" ht="15" customHeight="1" x14ac:dyDescent="0.3">
      <c r="A103" t="s">
        <v>122</v>
      </c>
      <c r="B103" s="99">
        <f t="shared" si="24"/>
        <v>50</v>
      </c>
      <c r="C103" s="99">
        <f t="shared" si="25"/>
        <v>1.0492518834071308E-7</v>
      </c>
    </row>
    <row r="104" spans="1:3" ht="15" customHeight="1" x14ac:dyDescent="0.3">
      <c r="A104" t="s">
        <v>42</v>
      </c>
      <c r="B104" s="99">
        <f t="shared" si="24"/>
        <v>1</v>
      </c>
      <c r="C104" s="99">
        <f t="shared" si="25"/>
        <v>7.37805912776585E-10</v>
      </c>
    </row>
    <row r="105" spans="1:3" ht="15" customHeight="1" x14ac:dyDescent="0.3">
      <c r="A105" t="s">
        <v>45</v>
      </c>
      <c r="B105" s="99">
        <f t="shared" si="24"/>
        <v>50</v>
      </c>
      <c r="C105" s="99">
        <f t="shared" si="25"/>
        <v>3.6459092897768708E-7</v>
      </c>
    </row>
    <row r="106" spans="1:3" ht="15" customHeight="1" x14ac:dyDescent="0.3">
      <c r="A106" t="s">
        <v>288</v>
      </c>
      <c r="B106" s="99">
        <f t="shared" si="24"/>
        <v>50</v>
      </c>
      <c r="C106" s="99">
        <f t="shared" si="25"/>
        <v>2.4233024766151311E-7</v>
      </c>
    </row>
    <row r="107" spans="1:3" ht="15" customHeight="1" x14ac:dyDescent="0.3">
      <c r="A107" s="25" t="s">
        <v>22</v>
      </c>
      <c r="B107" s="289">
        <f>B99*169.18/205.64</f>
        <v>82.269986383971997</v>
      </c>
      <c r="C107" s="99"/>
    </row>
    <row r="108" spans="1:3" ht="15" customHeight="1" x14ac:dyDescent="0.3">
      <c r="A108" s="25" t="s">
        <v>26</v>
      </c>
      <c r="B108" s="289">
        <f>B100*265.36/337.27</f>
        <v>39.339401666320754</v>
      </c>
      <c r="C108" s="99"/>
    </row>
    <row r="109" spans="1:3" ht="15" customHeight="1" x14ac:dyDescent="0.3">
      <c r="A109" s="25" t="s">
        <v>38</v>
      </c>
      <c r="B109" s="289">
        <f>B103</f>
        <v>50</v>
      </c>
      <c r="C109" s="99"/>
    </row>
    <row r="110" spans="1:3" ht="15" customHeight="1" x14ac:dyDescent="0.3">
      <c r="A110" s="25" t="s">
        <v>49</v>
      </c>
      <c r="B110" s="289">
        <f>B106</f>
        <v>50</v>
      </c>
      <c r="C110" s="99"/>
    </row>
    <row r="111" spans="1:3" ht="15" customHeight="1" x14ac:dyDescent="0.3">
      <c r="A111" s="181" t="s">
        <v>123</v>
      </c>
      <c r="B111" s="289">
        <f>B106</f>
        <v>50</v>
      </c>
      <c r="C111" s="99"/>
    </row>
    <row r="112" spans="1:3" ht="15" customHeight="1" x14ac:dyDescent="0.3">
      <c r="A112" s="7" t="s">
        <v>279</v>
      </c>
      <c r="B112" s="269">
        <f>SUM(B54:B58,B68:B72)/1000</f>
        <v>3.5862197074678948</v>
      </c>
      <c r="C112" s="99" t="s">
        <v>97</v>
      </c>
    </row>
    <row r="113" spans="1:3" ht="15" customHeight="1" x14ac:dyDescent="0.3">
      <c r="A113" s="7" t="s">
        <v>4</v>
      </c>
      <c r="B113" s="269">
        <f>SUM(D54:D66,D68:D80)/2</f>
        <v>8.6077317321836946E-2</v>
      </c>
      <c r="C113" s="99" t="e">
        <f>VLOOKUP(A113,$A$44:$E$49,5,FALSE)</f>
        <v>#N/A</v>
      </c>
    </row>
    <row r="124" spans="1:3" ht="15" customHeight="1" x14ac:dyDescent="0.3">
      <c r="A124" s="7"/>
      <c r="B124" s="7"/>
      <c r="C124" s="7"/>
    </row>
    <row r="129" spans="1:3" ht="15" customHeight="1" x14ac:dyDescent="0.3">
      <c r="A129" s="7"/>
      <c r="B129" s="7"/>
      <c r="C129" s="7"/>
    </row>
  </sheetData>
  <pageMargins left="0.7" right="0.7" top="0.75" bottom="0.75" header="0.3" footer="0.3"/>
  <pageSetup scale="42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FEE91-4A24-4D14-A303-9FCBEDE4C581}">
  <sheetPr>
    <tabColor rgb="FFFF0000"/>
    <pageSetUpPr fitToPage="1"/>
  </sheetPr>
  <dimension ref="A1:AE129"/>
  <sheetViews>
    <sheetView workbookViewId="0">
      <selection activeCell="H79" sqref="H79"/>
    </sheetView>
  </sheetViews>
  <sheetFormatPr defaultColWidth="9.109375" defaultRowHeight="15" customHeight="1" x14ac:dyDescent="0.3"/>
  <cols>
    <col min="1" max="1" width="48.109375" customWidth="1"/>
    <col min="2" max="2" width="12.44140625" customWidth="1"/>
    <col min="3" max="3" width="11.44140625" customWidth="1"/>
    <col min="4" max="4" width="7.5546875" customWidth="1"/>
    <col min="5" max="5" width="11.109375" customWidth="1"/>
    <col min="6" max="6" width="10.44140625" customWidth="1"/>
    <col min="7" max="7" width="10.33203125" customWidth="1"/>
    <col min="8" max="8" width="12" customWidth="1"/>
    <col min="9" max="9" width="15.109375" customWidth="1"/>
    <col min="10" max="11" width="16.44140625" customWidth="1"/>
    <col min="12" max="13" width="11.88671875" customWidth="1"/>
    <col min="14" max="16" width="9.109375" bestFit="1" customWidth="1"/>
    <col min="20" max="20" width="12.109375" customWidth="1"/>
    <col min="21" max="21" width="11.88671875" customWidth="1"/>
    <col min="27" max="27" width="12" bestFit="1" customWidth="1"/>
  </cols>
  <sheetData>
    <row r="1" spans="1:31" ht="14.4" customHeight="1" x14ac:dyDescent="0.35">
      <c r="A1" s="47" t="s">
        <v>90</v>
      </c>
    </row>
    <row r="2" spans="1:31" ht="14.4" x14ac:dyDescent="0.3"/>
    <row r="3" spans="1:31" ht="14.4" x14ac:dyDescent="0.3">
      <c r="A3" s="7" t="s">
        <v>91</v>
      </c>
      <c r="B3" s="7" t="s">
        <v>92</v>
      </c>
      <c r="C3" s="7" t="s">
        <v>3</v>
      </c>
      <c r="D3" s="7" t="s">
        <v>93</v>
      </c>
    </row>
    <row r="4" spans="1:31" ht="14.4" x14ac:dyDescent="0.3">
      <c r="A4" t="s">
        <v>94</v>
      </c>
      <c r="B4">
        <v>995</v>
      </c>
      <c r="C4" s="8">
        <f>B69</f>
        <v>195.35409810752253</v>
      </c>
      <c r="D4" s="9">
        <f>B4/1000</f>
        <v>0.995</v>
      </c>
    </row>
    <row r="5" spans="1:31" ht="14.4" x14ac:dyDescent="0.3">
      <c r="A5" t="s">
        <v>95</v>
      </c>
      <c r="B5">
        <v>5</v>
      </c>
      <c r="C5" s="8" t="e">
        <f>#REF!</f>
        <v>#REF!</v>
      </c>
      <c r="D5" s="9">
        <f>B5/1000</f>
        <v>5.0000000000000001E-3</v>
      </c>
    </row>
    <row r="6" spans="1:31" thickBot="1" x14ac:dyDescent="0.35"/>
    <row r="7" spans="1:31" ht="15" customHeight="1" thickBot="1" x14ac:dyDescent="0.35">
      <c r="F7" s="136" t="s">
        <v>98</v>
      </c>
      <c r="G7" s="137"/>
      <c r="H7" s="137"/>
      <c r="I7" s="137"/>
      <c r="J7" s="137"/>
      <c r="K7" s="137"/>
      <c r="L7" s="137"/>
      <c r="M7" s="194" t="s">
        <v>99</v>
      </c>
      <c r="N7" s="195"/>
      <c r="O7" s="196"/>
      <c r="P7" s="196"/>
      <c r="Q7" s="196"/>
      <c r="R7" s="196"/>
      <c r="S7" s="197"/>
      <c r="T7" s="52" t="s">
        <v>51</v>
      </c>
      <c r="U7" s="221" t="s">
        <v>47</v>
      </c>
      <c r="V7" s="221" t="s">
        <v>44</v>
      </c>
      <c r="W7" s="222" t="s">
        <v>196</v>
      </c>
      <c r="X7" s="52" t="s">
        <v>51</v>
      </c>
      <c r="Y7" s="221" t="s">
        <v>47</v>
      </c>
      <c r="Z7" s="221" t="s">
        <v>44</v>
      </c>
      <c r="AA7" s="222" t="s">
        <v>196</v>
      </c>
      <c r="AB7" s="52" t="s">
        <v>51</v>
      </c>
      <c r="AC7" s="221" t="s">
        <v>47</v>
      </c>
      <c r="AD7" s="221" t="s">
        <v>44</v>
      </c>
      <c r="AE7" s="222" t="s">
        <v>196</v>
      </c>
    </row>
    <row r="8" spans="1:31" ht="14.4" x14ac:dyDescent="0.3">
      <c r="A8" s="13" t="s">
        <v>341</v>
      </c>
      <c r="B8" s="14" t="s">
        <v>100</v>
      </c>
      <c r="C8" s="15" t="s">
        <v>102</v>
      </c>
      <c r="D8" s="16" t="s">
        <v>8</v>
      </c>
      <c r="E8" s="16" t="s">
        <v>103</v>
      </c>
      <c r="F8" s="17" t="s">
        <v>98</v>
      </c>
      <c r="G8" s="17" t="s">
        <v>104</v>
      </c>
      <c r="H8" s="17" t="s">
        <v>105</v>
      </c>
      <c r="I8" s="17" t="s">
        <v>106</v>
      </c>
      <c r="J8" s="179" t="s">
        <v>107</v>
      </c>
      <c r="K8" s="179" t="s">
        <v>318</v>
      </c>
      <c r="L8" s="37" t="s">
        <v>108</v>
      </c>
      <c r="M8" s="198" t="s">
        <v>99</v>
      </c>
      <c r="N8" s="85" t="s">
        <v>104</v>
      </c>
      <c r="O8" s="20" t="s">
        <v>105</v>
      </c>
      <c r="P8" s="40" t="s">
        <v>109</v>
      </c>
      <c r="Q8" s="40" t="s">
        <v>107</v>
      </c>
      <c r="R8" s="179" t="s">
        <v>318</v>
      </c>
      <c r="S8" s="199" t="s">
        <v>110</v>
      </c>
      <c r="T8" s="215" t="s">
        <v>104</v>
      </c>
      <c r="U8" s="184"/>
      <c r="V8" s="184"/>
      <c r="W8" s="216"/>
      <c r="X8" s="215" t="s">
        <v>61</v>
      </c>
      <c r="Y8" s="184"/>
      <c r="Z8" s="184"/>
      <c r="AA8" s="216"/>
      <c r="AB8" s="215" t="s">
        <v>334</v>
      </c>
      <c r="AC8" s="184"/>
      <c r="AD8" s="184"/>
      <c r="AE8" s="216"/>
    </row>
    <row r="9" spans="1:31" ht="14.4" x14ac:dyDescent="0.3">
      <c r="A9" s="20" t="s">
        <v>342</v>
      </c>
      <c r="B9" s="25"/>
      <c r="C9" s="26"/>
      <c r="D9" s="26"/>
      <c r="E9" s="26"/>
      <c r="F9" s="25"/>
      <c r="G9" s="25"/>
      <c r="H9" s="25"/>
      <c r="I9" s="25"/>
      <c r="J9" s="178"/>
      <c r="K9" s="183"/>
      <c r="L9" s="28"/>
      <c r="M9" s="86"/>
      <c r="N9" s="27"/>
      <c r="O9" s="25"/>
      <c r="P9" s="25"/>
      <c r="Q9" s="25"/>
      <c r="R9" s="25"/>
      <c r="S9" s="200"/>
      <c r="T9" s="217"/>
      <c r="U9" s="185"/>
      <c r="V9" s="185"/>
      <c r="W9" s="218"/>
      <c r="X9" s="217"/>
      <c r="Y9" s="185"/>
      <c r="Z9" s="185"/>
      <c r="AA9" s="218"/>
      <c r="AB9" s="217"/>
      <c r="AC9" s="185"/>
      <c r="AD9" s="185"/>
      <c r="AE9" s="218"/>
    </row>
    <row r="10" spans="1:31" ht="14.4" x14ac:dyDescent="0.3">
      <c r="A10" s="25" t="s">
        <v>307</v>
      </c>
      <c r="B10" s="25">
        <f>IFERROR(VLOOKUP(A10,Library!$B$4:$G$69,2,FALSE),"")</f>
        <v>136.09</v>
      </c>
      <c r="C10" s="26">
        <f>VLOOKUP(A10,'DSMZ 120 v4'!$F$5:$G$21,2,FALSE)*1000/'DSMZ 120 v4'!$G$23</f>
        <v>0.35</v>
      </c>
      <c r="D10" s="26" t="s">
        <v>97</v>
      </c>
      <c r="E10" s="26">
        <f>IF(D10="g/L",C10/B10,IF(D10="mg/L",C10/(1000*B10),IF(D10="ug/L",C10/(1000000*B10),"error")))</f>
        <v>2.5718274671173488E-3</v>
      </c>
      <c r="F10" s="25" t="s">
        <v>66</v>
      </c>
      <c r="G10" s="25">
        <v>1</v>
      </c>
      <c r="H10" s="25">
        <f>VLOOKUP(F10,Library!$K$4:$N$36,3,FALSE)</f>
        <v>1</v>
      </c>
      <c r="I10" s="25">
        <f>E10*G10</f>
        <v>2.5718274671173488E-3</v>
      </c>
      <c r="J10" s="178">
        <f>IF(F10="N/A",0,VLOOKUP(F10,Library!$K$4:$M$36,2,FALSE))</f>
        <v>39.093800000000002</v>
      </c>
      <c r="K10" s="183">
        <f>I10*(H10^2)</f>
        <v>2.5718274671173488E-3</v>
      </c>
      <c r="L10" s="28">
        <f>I10*J10</f>
        <v>0.10054250863399221</v>
      </c>
      <c r="M10" s="86" t="s">
        <v>82</v>
      </c>
      <c r="N10" s="27">
        <v>1</v>
      </c>
      <c r="O10" s="25">
        <f>IFERROR(VLOOKUP(M10,Library!$K$4:$M$36,3,FALSE),"")</f>
        <v>-3</v>
      </c>
      <c r="P10" s="25">
        <f>E10*N10</f>
        <v>2.5718274671173488E-3</v>
      </c>
      <c r="Q10" s="25">
        <f>IFERROR(IF(M10="N/A",0,VLOOKUP(M10,Library!$K$4:$N$36,2,FALSE)),"")</f>
        <v>94.97</v>
      </c>
      <c r="R10" s="25">
        <f>IFERROR(P10*(O10^2),"")</f>
        <v>2.3146447204056141E-2</v>
      </c>
      <c r="S10" s="200">
        <f>IFERROR(P10*Q10,"")</f>
        <v>0.24424645455213462</v>
      </c>
      <c r="T10" s="217">
        <f>VLOOKUP(A10,Library!$B$4:$G$69,3,FALSE)</f>
        <v>0</v>
      </c>
      <c r="U10" s="185">
        <f>VLOOKUP(A10,Library!$B$4:$G$69,4,FALSE)</f>
        <v>0</v>
      </c>
      <c r="V10" s="185">
        <f>VLOOKUP(A10,Library!$B$4:$G$69,5,FALSE)</f>
        <v>1</v>
      </c>
      <c r="W10" s="218">
        <f>VLOOKUP(A10,Library!$B$4:$G$69,6,FALSE)</f>
        <v>0</v>
      </c>
      <c r="X10" s="217">
        <f>T10*E10</f>
        <v>0</v>
      </c>
      <c r="Y10" s="185">
        <f>U10*E10</f>
        <v>0</v>
      </c>
      <c r="Z10" s="185">
        <f>V10*E10</f>
        <v>2.5718274671173488E-3</v>
      </c>
      <c r="AA10" s="218">
        <f>W10*E10</f>
        <v>0</v>
      </c>
      <c r="AB10" s="217">
        <f>X10*VLOOKUP($AB$7,Library!$T$4:$U$7,2,FALSE)</f>
        <v>0</v>
      </c>
      <c r="AC10" s="185">
        <f>Y10*VLOOKUP($AC$7,Library!$T$4:$U$7,2,FALSE)</f>
        <v>0</v>
      </c>
      <c r="AD10" s="185">
        <f>Z10*VLOOKUP($AD$7,Library!$T$4:$U$7,2,FALSE)</f>
        <v>7.9649496656624283E-2</v>
      </c>
      <c r="AE10" s="218">
        <f>AA10*VLOOKUP($AE$7,Library!$T$4:$U$7,2,FALSE)</f>
        <v>0</v>
      </c>
    </row>
    <row r="11" spans="1:31" ht="14.4" x14ac:dyDescent="0.3">
      <c r="A11" s="25" t="s">
        <v>308</v>
      </c>
      <c r="B11" s="25">
        <f>IFERROR(VLOOKUP(A11,Library!$B$4:$G$69,2,FALSE),"")</f>
        <v>174.18</v>
      </c>
      <c r="C11" s="26">
        <f>VLOOKUP(A11,'DSMZ 120 v4'!$F$5:$G$21,2,FALSE)*1000/'DSMZ 120 v4'!$G$23</f>
        <v>0.23</v>
      </c>
      <c r="D11" s="41" t="s">
        <v>97</v>
      </c>
      <c r="E11" s="26">
        <f t="shared" ref="E11:E49" si="0">IF(D11="g/L",C11/B11,IF(D11="mg/L",C11/(1000*B11),IF(D11="ug/L",C11/(1000000*B11),"error")))</f>
        <v>1.3204730738316684E-3</v>
      </c>
      <c r="F11" s="25" t="s">
        <v>66</v>
      </c>
      <c r="G11" s="28">
        <v>2</v>
      </c>
      <c r="H11" s="25">
        <f>VLOOKUP(F11,Library!$K$4:$N$36,3,FALSE)</f>
        <v>1</v>
      </c>
      <c r="I11" s="25">
        <f t="shared" ref="I11:I37" si="1">E11*G11</f>
        <v>2.6409461476633368E-3</v>
      </c>
      <c r="J11" s="178">
        <f>IF(F11="N/A",0,VLOOKUP(F11,Library!$K$4:$M$36,2,FALSE))</f>
        <v>39.093800000000002</v>
      </c>
      <c r="K11" s="183">
        <f t="shared" ref="K11:K31" si="2">I11*(H11^2)</f>
        <v>2.6409461476633368E-3</v>
      </c>
      <c r="L11" s="28">
        <f t="shared" ref="L11:L31" si="3">I11*J11</f>
        <v>0.10324462050752096</v>
      </c>
      <c r="M11" s="86" t="s">
        <v>82</v>
      </c>
      <c r="N11" s="25">
        <v>1</v>
      </c>
      <c r="O11" s="25">
        <f>IFERROR(VLOOKUP(M11,Library!$K$4:$M$36,3,FALSE),"")</f>
        <v>-3</v>
      </c>
      <c r="P11" s="25">
        <f t="shared" ref="P11:P37" si="4">E11*N11</f>
        <v>1.3204730738316684E-3</v>
      </c>
      <c r="Q11" s="25">
        <f>IFERROR(IF(M11="N/A",0,VLOOKUP(M11,Library!$K$4:$N$36,2,FALSE)),"")</f>
        <v>94.97</v>
      </c>
      <c r="R11" s="25">
        <f t="shared" ref="R11:R37" si="5">IFERROR(P11*(O11^2),"")</f>
        <v>1.1884257664485016E-2</v>
      </c>
      <c r="S11" s="200">
        <f t="shared" ref="S11:S37" si="6">IFERROR(P11*Q11,"")</f>
        <v>0.12540532782179353</v>
      </c>
      <c r="T11" s="217">
        <f>VLOOKUP(A11,Library!$B$4:$G$69,3,FALSE)</f>
        <v>0</v>
      </c>
      <c r="U11" s="185">
        <f>VLOOKUP(A11,Library!$B$4:$G$69,4,FALSE)</f>
        <v>0</v>
      </c>
      <c r="V11" s="185">
        <f>VLOOKUP(A11,Library!$B$4:$G$69,5,FALSE)</f>
        <v>1</v>
      </c>
      <c r="W11" s="218">
        <f>VLOOKUP(A11,Library!$B$4:$G$69,6,FALSE)</f>
        <v>0</v>
      </c>
      <c r="X11" s="217">
        <f t="shared" ref="X11:X15" si="7">T11*E11</f>
        <v>0</v>
      </c>
      <c r="Y11" s="185">
        <f t="shared" ref="Y11:Y15" si="8">U11*E11</f>
        <v>0</v>
      </c>
      <c r="Z11" s="185">
        <f t="shared" ref="Z11:Z15" si="9">V11*E11</f>
        <v>1.3204730738316684E-3</v>
      </c>
      <c r="AA11" s="218">
        <f t="shared" ref="AA11:AA15" si="10">W11*E11</f>
        <v>0</v>
      </c>
      <c r="AB11" s="217">
        <f>X11*VLOOKUP($AB$7,Library!$T$4:$U$7,2,FALSE)</f>
        <v>0</v>
      </c>
      <c r="AC11" s="185">
        <f>Y11*VLOOKUP($AC$7,Library!$T$4:$U$7,2,FALSE)</f>
        <v>0</v>
      </c>
      <c r="AD11" s="185">
        <f>Z11*VLOOKUP($AD$7,Library!$T$4:$U$7,2,FALSE)</f>
        <v>4.089505109656677E-2</v>
      </c>
      <c r="AE11" s="218">
        <f>AA11*VLOOKUP($AE$7,Library!$T$4:$U$7,2,FALSE)</f>
        <v>0</v>
      </c>
    </row>
    <row r="12" spans="1:31" ht="14.4" x14ac:dyDescent="0.3">
      <c r="A12" s="25" t="s">
        <v>21</v>
      </c>
      <c r="B12" s="25">
        <f>IFERROR(VLOOKUP(A12,Library!$B$4:$G$69,2,FALSE),"")</f>
        <v>53.49</v>
      </c>
      <c r="C12" s="26">
        <f>VLOOKUP(A12,'DSMZ 120 v4'!$F$5:$G$21,2,FALSE)*1000/'DSMZ 120 v4'!$G$23</f>
        <v>0.5</v>
      </c>
      <c r="D12" s="41" t="s">
        <v>97</v>
      </c>
      <c r="E12" s="26">
        <f t="shared" si="0"/>
        <v>9.3475415965601043E-3</v>
      </c>
      <c r="F12" s="25" t="s">
        <v>78</v>
      </c>
      <c r="G12" s="28">
        <v>1</v>
      </c>
      <c r="H12" s="25">
        <f>VLOOKUP(F12,Library!$K$4:$N$36,3,FALSE)</f>
        <v>1</v>
      </c>
      <c r="I12" s="25">
        <f t="shared" si="1"/>
        <v>9.3475415965601043E-3</v>
      </c>
      <c r="J12" s="178">
        <f>IF(F12="N/A",0,VLOOKUP(F12,Library!$K$4:$M$36,2,FALSE))</f>
        <v>18.04</v>
      </c>
      <c r="K12" s="183">
        <f t="shared" si="2"/>
        <v>9.3475415965601043E-3</v>
      </c>
      <c r="L12" s="28">
        <f t="shared" si="3"/>
        <v>0.16862965040194428</v>
      </c>
      <c r="M12" s="25" t="s">
        <v>70</v>
      </c>
      <c r="N12" s="25">
        <v>1</v>
      </c>
      <c r="O12" s="25">
        <f>IFERROR(VLOOKUP(M12,Library!$K$4:$M$36,3,FALSE),"")</f>
        <v>-1</v>
      </c>
      <c r="P12" s="25">
        <f t="shared" si="4"/>
        <v>9.3475415965601043E-3</v>
      </c>
      <c r="Q12" s="25">
        <f>IFERROR(IF(M12="N/A",0,VLOOKUP(M12,Library!$K$4:$N$36,2,FALSE)),"")</f>
        <v>35.453000000000003</v>
      </c>
      <c r="R12" s="25">
        <f t="shared" si="5"/>
        <v>9.3475415965601043E-3</v>
      </c>
      <c r="S12" s="200">
        <f t="shared" si="6"/>
        <v>0.33139839222284539</v>
      </c>
      <c r="T12" s="217">
        <f>VLOOKUP(A12,Library!$B$4:$G$69,3,FALSE)</f>
        <v>0</v>
      </c>
      <c r="U12" s="185">
        <f>VLOOKUP(A12,Library!$B$4:$G$69,4,FALSE)</f>
        <v>1</v>
      </c>
      <c r="V12" s="185">
        <f>VLOOKUP(A12,Library!$B$4:$G$69,5,FALSE)</f>
        <v>0</v>
      </c>
      <c r="W12" s="218">
        <f>VLOOKUP(A12,Library!$B$4:$G$69,6,FALSE)</f>
        <v>0</v>
      </c>
      <c r="X12" s="217">
        <f t="shared" si="7"/>
        <v>0</v>
      </c>
      <c r="Y12" s="185">
        <f t="shared" si="8"/>
        <v>9.3475415965601043E-3</v>
      </c>
      <c r="Z12" s="185">
        <f t="shared" si="9"/>
        <v>0</v>
      </c>
      <c r="AA12" s="218">
        <f t="shared" si="10"/>
        <v>0</v>
      </c>
      <c r="AB12" s="217">
        <f>X12*VLOOKUP($AB$7,Library!$T$4:$U$7,2,FALSE)</f>
        <v>0</v>
      </c>
      <c r="AC12" s="185">
        <f>Y12*VLOOKUP($AC$7,Library!$T$4:$U$7,2,FALSE)</f>
        <v>0.13095905776780706</v>
      </c>
      <c r="AD12" s="185">
        <f>Z12*VLOOKUP($AD$7,Library!$T$4:$U$7,2,FALSE)</f>
        <v>0</v>
      </c>
      <c r="AE12" s="218">
        <f>AA12*VLOOKUP($AE$7,Library!$T$4:$U$7,2,FALSE)</f>
        <v>0</v>
      </c>
    </row>
    <row r="13" spans="1:31" ht="14.4" x14ac:dyDescent="0.3">
      <c r="A13" s="25" t="s">
        <v>290</v>
      </c>
      <c r="B13" s="25">
        <f>IFERROR(VLOOKUP(A13,Library!$B$4:$G$69,2,FALSE),"")</f>
        <v>246.48</v>
      </c>
      <c r="C13" s="26">
        <f>VLOOKUP(A13,'DSMZ 120 v4'!$F$5:$G$21,2,FALSE)*1000/'DSMZ 120 v4'!$G$23</f>
        <v>0.5</v>
      </c>
      <c r="D13" s="41" t="s">
        <v>97</v>
      </c>
      <c r="E13" s="26">
        <f t="shared" si="0"/>
        <v>2.0285621551444336E-3</v>
      </c>
      <c r="F13" s="25" t="s">
        <v>64</v>
      </c>
      <c r="G13" s="28">
        <v>1</v>
      </c>
      <c r="H13" s="25">
        <f>VLOOKUP(F13,Library!$K$4:$N$36,3,FALSE)</f>
        <v>2</v>
      </c>
      <c r="I13" s="25">
        <f t="shared" si="1"/>
        <v>2.0285621551444336E-3</v>
      </c>
      <c r="J13" s="178">
        <f>IF(F13="N/A",0,VLOOKUP(F13,Library!$K$4:$M$36,2,FALSE))</f>
        <v>24.305</v>
      </c>
      <c r="K13" s="183">
        <f t="shared" si="2"/>
        <v>8.1142486205777343E-3</v>
      </c>
      <c r="L13" s="28">
        <f t="shared" si="3"/>
        <v>4.9304203180785461E-2</v>
      </c>
      <c r="M13" s="25" t="s">
        <v>69</v>
      </c>
      <c r="N13" s="25">
        <v>1</v>
      </c>
      <c r="O13" s="25">
        <f>IFERROR(VLOOKUP(M13,Library!$K$4:$M$36,3,FALSE),"")</f>
        <v>-2</v>
      </c>
      <c r="P13" s="25">
        <f t="shared" si="4"/>
        <v>2.0285621551444336E-3</v>
      </c>
      <c r="Q13" s="25">
        <f>IFERROR(IF(M13="N/A",0,VLOOKUP(M13,Library!$K$4:$N$36,2,FALSE)),"")</f>
        <v>96.06</v>
      </c>
      <c r="R13" s="25">
        <f t="shared" si="5"/>
        <v>8.1142486205777343E-3</v>
      </c>
      <c r="S13" s="200">
        <f t="shared" si="6"/>
        <v>0.1948636806231743</v>
      </c>
      <c r="T13" s="217">
        <f>VLOOKUP(A13,Library!$B$4:$G$69,3,FALSE)</f>
        <v>0</v>
      </c>
      <c r="U13" s="185">
        <f>VLOOKUP(A13,Library!$B$4:$G$69,4,FALSE)</f>
        <v>0</v>
      </c>
      <c r="V13" s="185">
        <f>VLOOKUP(A13,Library!$B$4:$G$69,5,FALSE)</f>
        <v>0</v>
      </c>
      <c r="W13" s="218">
        <f>VLOOKUP(A13,Library!$B$4:$G$69,6,FALSE)</f>
        <v>1</v>
      </c>
      <c r="X13" s="217">
        <f t="shared" si="7"/>
        <v>0</v>
      </c>
      <c r="Y13" s="185">
        <f t="shared" si="8"/>
        <v>0</v>
      </c>
      <c r="Z13" s="185">
        <f t="shared" si="9"/>
        <v>0</v>
      </c>
      <c r="AA13" s="218">
        <f t="shared" si="10"/>
        <v>2.0285621551444336E-3</v>
      </c>
      <c r="AB13" s="217">
        <f>X13*VLOOKUP($AB$7,Library!$T$4:$U$7,2,FALSE)</f>
        <v>0</v>
      </c>
      <c r="AC13" s="185">
        <f>Y13*VLOOKUP($AC$7,Library!$T$4:$U$7,2,FALSE)</f>
        <v>0</v>
      </c>
      <c r="AD13" s="185">
        <f>Z13*VLOOKUP($AD$7,Library!$T$4:$U$7,2,FALSE)</f>
        <v>0</v>
      </c>
      <c r="AE13" s="218">
        <f>AA13*VLOOKUP($AE$7,Library!$T$4:$U$7,2,FALSE)</f>
        <v>6.5055988315481983E-2</v>
      </c>
    </row>
    <row r="14" spans="1:31" ht="14.4" x14ac:dyDescent="0.3">
      <c r="A14" s="25" t="s">
        <v>29</v>
      </c>
      <c r="B14" s="25">
        <f>IFERROR(VLOOKUP(A14,Library!$B$4:$G$69,2,FALSE),"")</f>
        <v>147.01</v>
      </c>
      <c r="C14" s="26">
        <f>VLOOKUP(A14,'DSMZ 120 v4'!$F$5:$G$21,2,FALSE)*1000/'DSMZ 120 v4'!$G$23</f>
        <v>0.25</v>
      </c>
      <c r="D14" s="41" t="s">
        <v>97</v>
      </c>
      <c r="E14" s="26">
        <f t="shared" si="0"/>
        <v>1.7005645874430312E-3</v>
      </c>
      <c r="F14" s="25" t="s">
        <v>65</v>
      </c>
      <c r="G14" s="28">
        <v>1</v>
      </c>
      <c r="H14" s="25">
        <f>VLOOKUP(F14,Library!$K$4:$N$36,3,FALSE)</f>
        <v>2</v>
      </c>
      <c r="I14" s="25">
        <f t="shared" si="1"/>
        <v>1.7005645874430312E-3</v>
      </c>
      <c r="J14" s="178">
        <f>IF(F14="N/A",0,VLOOKUP(F14,Library!$K$4:$M$36,2,FALSE))</f>
        <v>40.078000000000003</v>
      </c>
      <c r="K14" s="183">
        <f t="shared" si="2"/>
        <v>6.8022583497721247E-3</v>
      </c>
      <c r="L14" s="28">
        <f t="shared" si="3"/>
        <v>6.8155227535541804E-2</v>
      </c>
      <c r="M14" s="25" t="s">
        <v>70</v>
      </c>
      <c r="N14" s="25">
        <v>2</v>
      </c>
      <c r="O14" s="25">
        <f>IFERROR(VLOOKUP(M14,Library!$K$4:$M$36,3,FALSE),"")</f>
        <v>-1</v>
      </c>
      <c r="P14" s="25">
        <f t="shared" si="4"/>
        <v>3.4011291748860624E-3</v>
      </c>
      <c r="Q14" s="25">
        <f>IFERROR(IF(M14="N/A",0,VLOOKUP(M14,Library!$K$4:$N$36,2,FALSE)),"")</f>
        <v>35.453000000000003</v>
      </c>
      <c r="R14" s="25">
        <f t="shared" si="5"/>
        <v>3.4011291748860624E-3</v>
      </c>
      <c r="S14" s="200">
        <f t="shared" si="6"/>
        <v>0.12058023263723558</v>
      </c>
      <c r="T14" s="217">
        <f>VLOOKUP(A14,Library!$B$4:$G$69,3,FALSE)</f>
        <v>0</v>
      </c>
      <c r="U14" s="185">
        <f>VLOOKUP(A14,Library!$B$4:$G$69,4,FALSE)</f>
        <v>0</v>
      </c>
      <c r="V14" s="185">
        <f>VLOOKUP(A14,Library!$B$4:$G$69,5,FALSE)</f>
        <v>0</v>
      </c>
      <c r="W14" s="218">
        <f>VLOOKUP(A14,Library!$B$4:$G$69,6,FALSE)</f>
        <v>0</v>
      </c>
      <c r="X14" s="217">
        <f t="shared" si="7"/>
        <v>0</v>
      </c>
      <c r="Y14" s="185">
        <f t="shared" si="8"/>
        <v>0</v>
      </c>
      <c r="Z14" s="185">
        <f t="shared" si="9"/>
        <v>0</v>
      </c>
      <c r="AA14" s="218">
        <f t="shared" si="10"/>
        <v>0</v>
      </c>
      <c r="AB14" s="217">
        <f>X14*VLOOKUP($AB$7,Library!$T$4:$U$7,2,FALSE)</f>
        <v>0</v>
      </c>
      <c r="AC14" s="185">
        <f>Y14*VLOOKUP($AC$7,Library!$T$4:$U$7,2,FALSE)</f>
        <v>0</v>
      </c>
      <c r="AD14" s="185">
        <f>Z14*VLOOKUP($AD$7,Library!$T$4:$U$7,2,FALSE)</f>
        <v>0</v>
      </c>
      <c r="AE14" s="218">
        <f>AA14*VLOOKUP($AE$7,Library!$T$4:$U$7,2,FALSE)</f>
        <v>0</v>
      </c>
    </row>
    <row r="15" spans="1:31" ht="14.4" x14ac:dyDescent="0.3">
      <c r="A15" s="25" t="s">
        <v>33</v>
      </c>
      <c r="B15" s="25">
        <f>IFERROR(VLOOKUP(A15,Library!$B$4:$G$69,2,FALSE),"")</f>
        <v>58.44</v>
      </c>
      <c r="C15" s="26">
        <f>VLOOKUP(A15,'DSMZ 120 v4'!$F$5:$G$21,2,FALSE)*1000/'DSMZ 120 v4'!$G$23</f>
        <v>2.25</v>
      </c>
      <c r="D15" s="41" t="s">
        <v>97</v>
      </c>
      <c r="E15" s="26">
        <f t="shared" si="0"/>
        <v>3.8501026694045176E-2</v>
      </c>
      <c r="F15" s="25" t="s">
        <v>63</v>
      </c>
      <c r="G15" s="28">
        <v>1</v>
      </c>
      <c r="H15" s="25">
        <f>VLOOKUP(F15,Library!$K$4:$N$36,3,FALSE)</f>
        <v>1</v>
      </c>
      <c r="I15" s="25">
        <f t="shared" si="1"/>
        <v>3.8501026694045176E-2</v>
      </c>
      <c r="J15" s="178">
        <f>IF(F15="N/A",0,VLOOKUP(F15,Library!$K$4:$M$36,2,FALSE))</f>
        <v>28.989768999999999</v>
      </c>
      <c r="K15" s="183">
        <f t="shared" si="2"/>
        <v>3.8501026694045176E-2</v>
      </c>
      <c r="L15" s="28">
        <f t="shared" si="3"/>
        <v>1.1161358701232034</v>
      </c>
      <c r="M15" s="25" t="s">
        <v>70</v>
      </c>
      <c r="N15" s="25">
        <v>1</v>
      </c>
      <c r="O15" s="25">
        <f>IFERROR(VLOOKUP(M15,Library!$K$4:$M$36,3,FALSE),"")</f>
        <v>-1</v>
      </c>
      <c r="P15" s="25">
        <f t="shared" si="4"/>
        <v>3.8501026694045176E-2</v>
      </c>
      <c r="Q15" s="25">
        <f>IFERROR(IF(M15="N/A",0,VLOOKUP(M15,Library!$K$4:$N$36,2,FALSE)),"")</f>
        <v>35.453000000000003</v>
      </c>
      <c r="R15" s="25">
        <f t="shared" si="5"/>
        <v>3.8501026694045176E-2</v>
      </c>
      <c r="S15" s="200">
        <f t="shared" si="6"/>
        <v>1.3649768993839837</v>
      </c>
      <c r="T15" s="217">
        <f>VLOOKUP(A15,Library!$B$4:$G$69,3,FALSE)</f>
        <v>0</v>
      </c>
      <c r="U15" s="185">
        <f>VLOOKUP(A15,Library!$B$4:$G$69,4,FALSE)</f>
        <v>0</v>
      </c>
      <c r="V15" s="185">
        <f>VLOOKUP(A15,Library!$B$4:$G$69,5,FALSE)</f>
        <v>0</v>
      </c>
      <c r="W15" s="218">
        <f>VLOOKUP(A15,Library!$B$4:$G$69,6,FALSE)</f>
        <v>0</v>
      </c>
      <c r="X15" s="217">
        <f t="shared" si="7"/>
        <v>0</v>
      </c>
      <c r="Y15" s="185">
        <f t="shared" si="8"/>
        <v>0</v>
      </c>
      <c r="Z15" s="185">
        <f t="shared" si="9"/>
        <v>0</v>
      </c>
      <c r="AA15" s="218">
        <f t="shared" si="10"/>
        <v>0</v>
      </c>
      <c r="AB15" s="217">
        <f>X15*VLOOKUP($AB$7,Library!$T$4:$U$7,2,FALSE)</f>
        <v>0</v>
      </c>
      <c r="AC15" s="185">
        <f>Y15*VLOOKUP($AC$7,Library!$T$4:$U$7,2,FALSE)</f>
        <v>0</v>
      </c>
      <c r="AD15" s="185">
        <f>Z15*VLOOKUP($AD$7,Library!$T$4:$U$7,2,FALSE)</f>
        <v>0</v>
      </c>
      <c r="AE15" s="218">
        <f>AA15*VLOOKUP($AE$7,Library!$T$4:$U$7,2,FALSE)</f>
        <v>0</v>
      </c>
    </row>
    <row r="16" spans="1:31" ht="14.4" x14ac:dyDescent="0.3">
      <c r="A16" s="20" t="s">
        <v>291</v>
      </c>
      <c r="B16" s="253"/>
      <c r="C16" s="267"/>
      <c r="D16" s="267"/>
      <c r="E16" s="262"/>
      <c r="F16" s="253"/>
      <c r="G16" s="257"/>
      <c r="H16" s="253"/>
      <c r="I16" s="253"/>
      <c r="J16" s="263"/>
      <c r="K16" s="264"/>
      <c r="L16" s="257"/>
      <c r="M16" s="253"/>
      <c r="N16" s="253"/>
      <c r="O16" s="253"/>
      <c r="P16" s="253"/>
      <c r="Q16" s="253"/>
      <c r="R16" s="253"/>
      <c r="S16" s="265"/>
      <c r="T16" s="259"/>
      <c r="U16" s="260"/>
      <c r="V16" s="260"/>
      <c r="W16" s="261"/>
      <c r="X16" s="259"/>
      <c r="Y16" s="260"/>
      <c r="Z16" s="260"/>
      <c r="AA16" s="261"/>
      <c r="AB16" s="259"/>
      <c r="AC16" s="260"/>
      <c r="AD16" s="260"/>
      <c r="AE16" s="261"/>
    </row>
    <row r="17" spans="1:31" ht="14.4" x14ac:dyDescent="0.3">
      <c r="A17" s="25" t="s">
        <v>59</v>
      </c>
      <c r="B17" s="25">
        <f>IFERROR(VLOOKUP(A17,Library!$B$4:$G$69,2,FALSE),"")</f>
        <v>392.14</v>
      </c>
      <c r="C17" s="26">
        <f>VLOOKUP(A17,'DSMZ 120 v4'!I20:J22,2,FALSE)*(1000/'DSMZ 120 v4'!$J$22)*('DSMZ 120 v4'!$G$11/'DSMZ 120 v4'!$G$23)</f>
        <v>2.0020020020020024E-3</v>
      </c>
      <c r="D17" s="41" t="s">
        <v>97</v>
      </c>
      <c r="E17" s="26">
        <f t="shared" si="0"/>
        <v>5.1053246340643714E-6</v>
      </c>
      <c r="F17" s="25" t="s">
        <v>80</v>
      </c>
      <c r="G17" s="28">
        <v>1</v>
      </c>
      <c r="H17" s="25">
        <f>VLOOKUP(F17,Library!$K$4:$N$36,3,FALSE)</f>
        <v>2</v>
      </c>
      <c r="I17" s="25">
        <f>E17*G17</f>
        <v>5.1053246340643714E-6</v>
      </c>
      <c r="J17" s="178">
        <f>IF(F17="N/A",0,VLOOKUP(F17,Library!$K$4:$M$36,2,FALSE))</f>
        <v>55.844999999999999</v>
      </c>
      <c r="K17" s="183">
        <f t="shared" si="2"/>
        <v>2.0421298536257486E-5</v>
      </c>
      <c r="L17" s="28">
        <f t="shared" si="3"/>
        <v>2.8510685418932483E-4</v>
      </c>
      <c r="M17" s="25" t="s">
        <v>69</v>
      </c>
      <c r="N17" s="25">
        <v>1</v>
      </c>
      <c r="O17" s="25">
        <f>IFERROR(VLOOKUP(M17,Library!$K$4:$M$36,3,FALSE),"")</f>
        <v>-2</v>
      </c>
      <c r="P17" s="25">
        <f>E17*N17</f>
        <v>5.1053246340643714E-6</v>
      </c>
      <c r="Q17" s="25">
        <f>IFERROR(IF(M17="N/A",0,VLOOKUP(M17,Library!$K$4:$N$36,2,FALSE)),"")</f>
        <v>96.06</v>
      </c>
      <c r="R17" s="25">
        <f>IFERROR(P17*(O17^2),"")</f>
        <v>2.0421298536257486E-5</v>
      </c>
      <c r="S17" s="200">
        <f>IFERROR(P17*Q17,"")</f>
        <v>4.9041748434822357E-4</v>
      </c>
      <c r="T17" s="217">
        <f>VLOOKUP(A17,Library!$B$4:$G$69,3,FALSE)</f>
        <v>0</v>
      </c>
      <c r="U17" s="185">
        <f>VLOOKUP(A17,Library!$B$4:$G$69,4,FALSE)</f>
        <v>0</v>
      </c>
      <c r="V17" s="185">
        <f>VLOOKUP(A17,Library!$B$4:$G$69,5,FALSE)</f>
        <v>0</v>
      </c>
      <c r="W17" s="218">
        <f>VLOOKUP(A17,Library!$B$4:$G$69,6,FALSE)</f>
        <v>1</v>
      </c>
      <c r="X17" s="217">
        <f t="shared" ref="X17:X49" si="11">T17*E17</f>
        <v>0</v>
      </c>
      <c r="Y17" s="185">
        <f>U17*E17</f>
        <v>0</v>
      </c>
      <c r="Z17" s="185">
        <f>V17*E17</f>
        <v>0</v>
      </c>
      <c r="AA17" s="218">
        <f>W17*E17</f>
        <v>5.1053246340643714E-6</v>
      </c>
      <c r="AB17" s="217">
        <f>X17*VLOOKUP($AB$7,Library!$T$4:$U$7,2,FALSE)</f>
        <v>0</v>
      </c>
      <c r="AC17" s="185">
        <f>Y17*VLOOKUP($AC$7,Library!$T$4:$U$7,2,FALSE)</f>
        <v>0</v>
      </c>
      <c r="AD17" s="185">
        <f>Z17*VLOOKUP($AD$7,Library!$T$4:$U$7,2,FALSE)</f>
        <v>0</v>
      </c>
      <c r="AE17" s="218">
        <f>AA17*VLOOKUP($AE$7,Library!$T$4:$U$7,2,FALSE)</f>
        <v>1.637277610144444E-4</v>
      </c>
    </row>
    <row r="18" spans="1:31" ht="14.4" x14ac:dyDescent="0.3">
      <c r="A18" s="25" t="s">
        <v>348</v>
      </c>
      <c r="B18" s="25">
        <f>IFERROR(VLOOKUP(A18,Library!$B$4:$G$69,2,FALSE),"")</f>
        <v>98.085999999999999</v>
      </c>
      <c r="C18" s="26">
        <f>'DSMZ 120 v4'!$M$20*('DSMZ 120 v4'!J22/1000)*('DSMZ 120 v4'!$G$11/'DSMZ 120 v4'!$G$23)</f>
        <v>9.7902000000000006E-3</v>
      </c>
      <c r="D18" s="41" t="s">
        <v>97</v>
      </c>
      <c r="E18" s="26">
        <f t="shared" si="0"/>
        <v>9.981240951817794E-5</v>
      </c>
      <c r="F18" s="25" t="s">
        <v>339</v>
      </c>
      <c r="G18" s="28">
        <v>2</v>
      </c>
      <c r="H18" s="25">
        <f>VLOOKUP(F18,Library!$K$4:$N$36,3,FALSE)</f>
        <v>1</v>
      </c>
      <c r="I18" s="25">
        <f>E18*G18</f>
        <v>1.9962481903635588E-4</v>
      </c>
      <c r="J18" s="178">
        <f>IF(F18="N/A",0,VLOOKUP(F18,Library!$K$4:$M$36,2,FALSE))</f>
        <v>1.0078400000000001</v>
      </c>
      <c r="K18" s="183">
        <f t="shared" si="2"/>
        <v>1.9962481903635588E-4</v>
      </c>
      <c r="L18" s="28">
        <f t="shared" si="3"/>
        <v>2.0118987761760093E-4</v>
      </c>
      <c r="M18" s="25" t="s">
        <v>69</v>
      </c>
      <c r="N18" s="25">
        <v>1</v>
      </c>
      <c r="O18" s="25">
        <f>IFERROR(VLOOKUP(M18,Library!$K$4:$M$36,3,FALSE),"")</f>
        <v>-2</v>
      </c>
      <c r="P18" s="25">
        <f>E18*N18</f>
        <v>9.981240951817794E-5</v>
      </c>
      <c r="Q18" s="25"/>
      <c r="R18" s="25">
        <f>IFERROR(P18*(O18^2),"")</f>
        <v>3.9924963807271176E-4</v>
      </c>
      <c r="S18" s="200"/>
      <c r="T18" s="217">
        <f>VLOOKUP(A18,Library!$B$4:$G$69,3,FALSE)</f>
        <v>0</v>
      </c>
      <c r="U18" s="185">
        <f>VLOOKUP(A18,Library!$B$4:$G$69,4,FALSE)</f>
        <v>0</v>
      </c>
      <c r="V18" s="185">
        <f>VLOOKUP(A18,Library!$B$4:$G$69,5,FALSE)</f>
        <v>0</v>
      </c>
      <c r="W18" s="218">
        <f>VLOOKUP(A18,Library!$B$4:$G$69,6,FALSE)</f>
        <v>1</v>
      </c>
      <c r="X18" s="217">
        <f t="shared" si="11"/>
        <v>0</v>
      </c>
      <c r="Y18" s="185">
        <f t="shared" ref="Y18:Y49" si="12">U18*E18</f>
        <v>0</v>
      </c>
      <c r="Z18" s="185">
        <f t="shared" ref="Z18:Z49" si="13">V18*E18</f>
        <v>0</v>
      </c>
      <c r="AA18" s="218">
        <f t="shared" ref="AA18:AA49" si="14">W18*E18</f>
        <v>9.981240951817794E-5</v>
      </c>
      <c r="AB18" s="217">
        <f>X18*VLOOKUP($AB$7,Library!$T$4:$U$7,2,FALSE)</f>
        <v>0</v>
      </c>
      <c r="AC18" s="185">
        <f>Y18*VLOOKUP($AC$7,Library!$T$4:$U$7,2,FALSE)</f>
        <v>0</v>
      </c>
      <c r="AD18" s="185">
        <f>Z18*VLOOKUP($AD$7,Library!$T$4:$U$7,2,FALSE)</f>
        <v>0</v>
      </c>
      <c r="AE18" s="218">
        <f>AA18*VLOOKUP($AE$7,Library!$T$4:$U$7,2,FALSE)</f>
        <v>3.2009839732479667E-3</v>
      </c>
    </row>
    <row r="19" spans="1:31" ht="14.4" x14ac:dyDescent="0.3">
      <c r="A19" s="20" t="s">
        <v>327</v>
      </c>
      <c r="B19" s="253"/>
      <c r="C19" s="262"/>
      <c r="D19" s="267"/>
      <c r="E19" s="262"/>
      <c r="F19" s="253"/>
      <c r="G19" s="257"/>
      <c r="H19" s="253"/>
      <c r="I19" s="253"/>
      <c r="J19" s="263"/>
      <c r="K19" s="264"/>
      <c r="L19" s="257"/>
      <c r="M19" s="253"/>
      <c r="N19" s="253"/>
      <c r="O19" s="253"/>
      <c r="P19" s="253"/>
      <c r="Q19" s="253"/>
      <c r="R19" s="253"/>
      <c r="S19" s="265"/>
      <c r="T19" s="259"/>
      <c r="U19" s="260"/>
      <c r="V19" s="260"/>
      <c r="W19" s="261"/>
      <c r="X19" s="259">
        <f t="shared" si="11"/>
        <v>0</v>
      </c>
      <c r="Y19" s="260">
        <f t="shared" si="12"/>
        <v>0</v>
      </c>
      <c r="Z19" s="260">
        <f t="shared" si="13"/>
        <v>0</v>
      </c>
      <c r="AA19" s="261">
        <f t="shared" si="14"/>
        <v>0</v>
      </c>
      <c r="AB19" s="259"/>
      <c r="AC19" s="260"/>
      <c r="AD19" s="260"/>
      <c r="AE19" s="261"/>
    </row>
    <row r="20" spans="1:31" ht="14.4" x14ac:dyDescent="0.3">
      <c r="A20" s="25" t="s">
        <v>124</v>
      </c>
      <c r="B20" s="25">
        <f>IFERROR(VLOOKUP(A20,Library!$B$4:$G$69,2,FALSE),"")</f>
        <v>36.46</v>
      </c>
      <c r="C20" s="26">
        <f>'DSMZ 120 v4'!P20*('DSMZ 120 v4'!$M$4/'DSMZ 120 v4'!$M$14)*('DSMZ 120 v4'!$G$12/'DSMZ 120 v4'!$G$23)</f>
        <v>2.9500000000000004E-3</v>
      </c>
      <c r="D20" s="41" t="s">
        <v>97</v>
      </c>
      <c r="E20" s="26">
        <f t="shared" si="0"/>
        <v>8.091058694459683E-5</v>
      </c>
      <c r="F20" s="25" t="s">
        <v>339</v>
      </c>
      <c r="G20" s="28">
        <v>1</v>
      </c>
      <c r="H20" s="25">
        <f>VLOOKUP(F20,Library!$K$4:$N$36,3,FALSE)</f>
        <v>1</v>
      </c>
      <c r="I20" s="25">
        <f t="shared" si="1"/>
        <v>8.091058694459683E-5</v>
      </c>
      <c r="J20" s="178">
        <f>IF(F20="N/A",0,VLOOKUP(F20,Library!$K$4:$M$36,2,FALSE))</f>
        <v>1.0078400000000001</v>
      </c>
      <c r="K20" s="183">
        <f t="shared" si="2"/>
        <v>8.091058694459683E-5</v>
      </c>
      <c r="L20" s="28">
        <f t="shared" si="3"/>
        <v>8.1544925946242482E-5</v>
      </c>
      <c r="M20" s="25" t="s">
        <v>70</v>
      </c>
      <c r="N20" s="25">
        <v>1</v>
      </c>
      <c r="O20" s="25">
        <f>IFERROR(VLOOKUP(M20,Library!$K$4:$M$36,3,FALSE),"")</f>
        <v>-1</v>
      </c>
      <c r="P20" s="25">
        <f t="shared" si="4"/>
        <v>8.091058694459683E-5</v>
      </c>
      <c r="Q20" s="25">
        <f>IFERROR(IF(M20="N/A",0,VLOOKUP(M20,Library!$K$4:$N$36,2,FALSE)),"")</f>
        <v>35.453000000000003</v>
      </c>
      <c r="R20" s="25">
        <f t="shared" si="5"/>
        <v>8.091058694459683E-5</v>
      </c>
      <c r="S20" s="200">
        <f t="shared" si="6"/>
        <v>2.8685230389467915E-3</v>
      </c>
      <c r="T20" s="217">
        <f>VLOOKUP(A20,Library!$B$4:$G$69,3,FALSE)</f>
        <v>0</v>
      </c>
      <c r="U20" s="185">
        <f>VLOOKUP(A20,Library!$B$4:$G$69,4,FALSE)</f>
        <v>0</v>
      </c>
      <c r="V20" s="185">
        <f>VLOOKUP(A20,Library!$B$4:$G$69,5,FALSE)</f>
        <v>0</v>
      </c>
      <c r="W20" s="218">
        <f>VLOOKUP(A20,Library!$B$4:$G$69,6,FALSE)</f>
        <v>0</v>
      </c>
      <c r="X20" s="217">
        <f t="shared" si="11"/>
        <v>0</v>
      </c>
      <c r="Y20" s="185">
        <f t="shared" si="12"/>
        <v>0</v>
      </c>
      <c r="Z20" s="185">
        <f t="shared" si="13"/>
        <v>0</v>
      </c>
      <c r="AA20" s="218">
        <f t="shared" si="14"/>
        <v>0</v>
      </c>
      <c r="AB20" s="217">
        <f>X20*VLOOKUP($AB$7,Library!$T$4:$U$7,2,FALSE)</f>
        <v>0</v>
      </c>
      <c r="AC20" s="185">
        <f>Y20*VLOOKUP($AC$7,Library!$T$4:$U$7,2,FALSE)</f>
        <v>0</v>
      </c>
      <c r="AD20" s="185">
        <f>Z20*VLOOKUP($AD$7,Library!$T$4:$U$7,2,FALSE)</f>
        <v>0</v>
      </c>
      <c r="AE20" s="218">
        <f>AA20*VLOOKUP($AE$7,Library!$T$4:$U$7,2,FALSE)</f>
        <v>0</v>
      </c>
    </row>
    <row r="21" spans="1:31" ht="14.4" x14ac:dyDescent="0.3">
      <c r="A21" s="25" t="s">
        <v>164</v>
      </c>
      <c r="B21" s="25">
        <f>IFERROR(VLOOKUP(A21,Library!$B$4:$G$69,2,FALSE),"")</f>
        <v>198.81</v>
      </c>
      <c r="C21" s="26">
        <f>VLOOKUP(A21,'DSMZ 120 v4'!$L$4:$M$13,2,FALSE)*('DSMZ 120 v4'!$G$12/'DSMZ 120 v4'!$G$23)</f>
        <v>1.5E-3</v>
      </c>
      <c r="D21" s="41" t="s">
        <v>97</v>
      </c>
      <c r="E21" s="26">
        <f t="shared" si="0"/>
        <v>7.5448921080428549E-6</v>
      </c>
      <c r="F21" s="25" t="s">
        <v>80</v>
      </c>
      <c r="G21" s="28">
        <v>1</v>
      </c>
      <c r="H21" s="25">
        <f>VLOOKUP(F21,Library!$K$4:$N$36,3,FALSE)</f>
        <v>2</v>
      </c>
      <c r="I21" s="25">
        <f t="shared" si="1"/>
        <v>7.5448921080428549E-6</v>
      </c>
      <c r="J21" s="178">
        <f>IF(F21="N/A",0,VLOOKUP(F21,Library!$K$4:$M$36,2,FALSE))</f>
        <v>55.844999999999999</v>
      </c>
      <c r="K21" s="183">
        <f t="shared" si="2"/>
        <v>3.017956843217142E-5</v>
      </c>
      <c r="L21" s="28">
        <f t="shared" si="3"/>
        <v>4.2134449977365322E-4</v>
      </c>
      <c r="M21" s="25" t="s">
        <v>70</v>
      </c>
      <c r="N21" s="25">
        <v>2</v>
      </c>
      <c r="O21" s="25">
        <f>IFERROR(VLOOKUP(M21,Library!$K$4:$M$36,3,FALSE),"")</f>
        <v>-1</v>
      </c>
      <c r="P21" s="25">
        <f t="shared" si="4"/>
        <v>1.508978421608571E-5</v>
      </c>
      <c r="Q21" s="25">
        <f>IFERROR(IF(M21="N/A",0,VLOOKUP(M21,Library!$K$4:$N$36,2,FALSE)),"")</f>
        <v>35.453000000000003</v>
      </c>
      <c r="R21" s="25">
        <f t="shared" si="5"/>
        <v>1.508978421608571E-5</v>
      </c>
      <c r="S21" s="200">
        <f t="shared" si="6"/>
        <v>5.3497811981288669E-4</v>
      </c>
      <c r="T21" s="217">
        <f>VLOOKUP(A21,Library!$B$4:$G$69,3,FALSE)</f>
        <v>0</v>
      </c>
      <c r="U21" s="185">
        <f>VLOOKUP(A21,Library!$B$4:$G$69,4,FALSE)</f>
        <v>0</v>
      </c>
      <c r="V21" s="185">
        <f>VLOOKUP(A21,Library!$B$4:$G$69,5,FALSE)</f>
        <v>0</v>
      </c>
      <c r="W21" s="218">
        <f>VLOOKUP(A21,Library!$B$4:$G$69,6,FALSE)</f>
        <v>0</v>
      </c>
      <c r="X21" s="217">
        <f t="shared" si="11"/>
        <v>0</v>
      </c>
      <c r="Y21" s="185">
        <f t="shared" si="12"/>
        <v>0</v>
      </c>
      <c r="Z21" s="185">
        <f t="shared" si="13"/>
        <v>0</v>
      </c>
      <c r="AA21" s="218">
        <f t="shared" si="14"/>
        <v>0</v>
      </c>
      <c r="AB21" s="217">
        <f>X21*VLOOKUP($AB$7,Library!$T$4:$U$7,2,FALSE)</f>
        <v>0</v>
      </c>
      <c r="AC21" s="185">
        <f>Y21*VLOOKUP($AC$7,Library!$T$4:$U$7,2,FALSE)</f>
        <v>0</v>
      </c>
      <c r="AD21" s="185">
        <f>Z21*VLOOKUP($AD$7,Library!$T$4:$U$7,2,FALSE)</f>
        <v>0</v>
      </c>
      <c r="AE21" s="218">
        <f>AA21*VLOOKUP($AE$7,Library!$T$4:$U$7,2,FALSE)</f>
        <v>0</v>
      </c>
    </row>
    <row r="22" spans="1:31" ht="14.4" x14ac:dyDescent="0.3">
      <c r="A22" s="25" t="s">
        <v>168</v>
      </c>
      <c r="B22" s="25">
        <f>IFERROR(VLOOKUP(A22,Library!$B$4:$G$69,2,FALSE),"")</f>
        <v>136.29</v>
      </c>
      <c r="C22" s="26">
        <f>VLOOKUP(A22,'DSMZ 120 v4'!$L$4:$M$13,2,FALSE)*('DSMZ 120 v4'!$G$12/'DSMZ 120 v4'!$G$23)</f>
        <v>7.0000000000000007E-2</v>
      </c>
      <c r="D22" s="41" t="s">
        <v>16</v>
      </c>
      <c r="E22" s="26">
        <f t="shared" si="0"/>
        <v>5.1361068310220855E-7</v>
      </c>
      <c r="F22" s="25" t="s">
        <v>73</v>
      </c>
      <c r="G22" s="28">
        <v>1</v>
      </c>
      <c r="H22" s="25">
        <f>VLOOKUP(F22,Library!$K$4:$N$36,3,FALSE)</f>
        <v>2</v>
      </c>
      <c r="I22" s="25">
        <f t="shared" si="1"/>
        <v>5.1361068310220855E-7</v>
      </c>
      <c r="J22" s="178">
        <f>IF(F22="N/A",0,VLOOKUP(F22,Library!$K$4:$M$36,2,FALSE))</f>
        <v>65.926034000000001</v>
      </c>
      <c r="K22" s="183">
        <f t="shared" si="2"/>
        <v>2.0544427324088342E-6</v>
      </c>
      <c r="L22" s="28">
        <f t="shared" si="3"/>
        <v>3.3860315356959429E-5</v>
      </c>
      <c r="M22" s="25" t="s">
        <v>70</v>
      </c>
      <c r="N22" s="25">
        <v>2</v>
      </c>
      <c r="O22" s="25">
        <f>IFERROR(VLOOKUP(M22,Library!$K$4:$M$36,3,FALSE),"")</f>
        <v>-1</v>
      </c>
      <c r="P22" s="25">
        <f t="shared" si="4"/>
        <v>1.0272213662044171E-6</v>
      </c>
      <c r="Q22" s="25">
        <f>IFERROR(IF(M22="N/A",0,VLOOKUP(M22,Library!$K$4:$N$36,2,FALSE)),"")</f>
        <v>35.453000000000003</v>
      </c>
      <c r="R22" s="25">
        <f t="shared" si="5"/>
        <v>1.0272213662044171E-6</v>
      </c>
      <c r="S22" s="200">
        <f t="shared" si="6"/>
        <v>3.64180790960452E-5</v>
      </c>
      <c r="T22" s="217">
        <f>VLOOKUP(A22,Library!$B$4:$G$69,3,FALSE)</f>
        <v>0</v>
      </c>
      <c r="U22" s="185">
        <f>VLOOKUP(A22,Library!$B$4:$G$69,4,FALSE)</f>
        <v>0</v>
      </c>
      <c r="V22" s="185">
        <f>VLOOKUP(A22,Library!$B$4:$G$69,5,FALSE)</f>
        <v>0</v>
      </c>
      <c r="W22" s="218">
        <f>VLOOKUP(A22,Library!$B$4:$G$69,6,FALSE)</f>
        <v>0</v>
      </c>
      <c r="X22" s="217">
        <f t="shared" si="11"/>
        <v>0</v>
      </c>
      <c r="Y22" s="185">
        <f t="shared" si="12"/>
        <v>0</v>
      </c>
      <c r="Z22" s="185">
        <f t="shared" si="13"/>
        <v>0</v>
      </c>
      <c r="AA22" s="218">
        <f t="shared" si="14"/>
        <v>0</v>
      </c>
      <c r="AB22" s="217">
        <f>X22*VLOOKUP($AB$7,Library!$T$4:$U$7,2,FALSE)</f>
        <v>0</v>
      </c>
      <c r="AC22" s="185">
        <f>Y22*VLOOKUP($AC$7,Library!$T$4:$U$7,2,FALSE)</f>
        <v>0</v>
      </c>
      <c r="AD22" s="185">
        <f>Z22*VLOOKUP($AD$7,Library!$T$4:$U$7,2,FALSE)</f>
        <v>0</v>
      </c>
      <c r="AE22" s="218">
        <f>AA22*VLOOKUP($AE$7,Library!$T$4:$U$7,2,FALSE)</f>
        <v>0</v>
      </c>
    </row>
    <row r="23" spans="1:31" ht="14.4" x14ac:dyDescent="0.3">
      <c r="A23" s="25" t="s">
        <v>163</v>
      </c>
      <c r="B23" s="25">
        <f>IFERROR(VLOOKUP(A23,Library!$B$4:$G$69,2,FALSE),"")</f>
        <v>197.91</v>
      </c>
      <c r="C23" s="26">
        <f>VLOOKUP(A23,'DSMZ 120 v4'!$L$4:$M$13,2,FALSE)*('DSMZ 120 v4'!$G$12/'DSMZ 120 v4'!$G$23)</f>
        <v>0.1</v>
      </c>
      <c r="D23" s="41" t="s">
        <v>16</v>
      </c>
      <c r="E23" s="26">
        <f t="shared" si="0"/>
        <v>5.0528017785862262E-7</v>
      </c>
      <c r="F23" s="25" t="s">
        <v>74</v>
      </c>
      <c r="G23" s="28">
        <v>1</v>
      </c>
      <c r="H23" s="25">
        <f>VLOOKUP(F23,Library!$K$4:$N$36,3,FALSE)</f>
        <v>2</v>
      </c>
      <c r="I23" s="25">
        <f t="shared" si="1"/>
        <v>5.0528017785862262E-7</v>
      </c>
      <c r="J23" s="178">
        <f>IF(F23="N/A",0,VLOOKUP(F23,Library!$K$4:$M$36,2,FALSE))</f>
        <v>54.94</v>
      </c>
      <c r="K23" s="183">
        <f t="shared" si="2"/>
        <v>2.0211207114344905E-6</v>
      </c>
      <c r="L23" s="28">
        <f t="shared" si="3"/>
        <v>2.7760092971552727E-5</v>
      </c>
      <c r="M23" s="25" t="s">
        <v>70</v>
      </c>
      <c r="N23" s="25">
        <v>2</v>
      </c>
      <c r="O23" s="25">
        <f>IFERROR(VLOOKUP(M23,Library!$K$4:$M$36,3,FALSE),"")</f>
        <v>-1</v>
      </c>
      <c r="P23" s="25">
        <f t="shared" si="4"/>
        <v>1.0105603557172452E-6</v>
      </c>
      <c r="Q23" s="25">
        <f>IFERROR(IF(M23="N/A",0,VLOOKUP(M23,Library!$K$4:$N$36,2,FALSE)),"")</f>
        <v>35.453000000000003</v>
      </c>
      <c r="R23" s="25">
        <f t="shared" si="5"/>
        <v>1.0105603557172452E-6</v>
      </c>
      <c r="S23" s="200">
        <f t="shared" si="6"/>
        <v>3.5827396291243501E-5</v>
      </c>
      <c r="T23" s="217">
        <f>VLOOKUP(A23,Library!$B$4:$G$69,3,FALSE)</f>
        <v>0</v>
      </c>
      <c r="U23" s="185">
        <f>VLOOKUP(A23,Library!$B$4:$G$69,4,FALSE)</f>
        <v>0</v>
      </c>
      <c r="V23" s="185">
        <f>VLOOKUP(A23,Library!$B$4:$G$69,5,FALSE)</f>
        <v>0</v>
      </c>
      <c r="W23" s="218">
        <f>VLOOKUP(A23,Library!$B$4:$G$69,6,FALSE)</f>
        <v>0</v>
      </c>
      <c r="X23" s="217">
        <f t="shared" si="11"/>
        <v>0</v>
      </c>
      <c r="Y23" s="185">
        <f t="shared" si="12"/>
        <v>0</v>
      </c>
      <c r="Z23" s="185">
        <f t="shared" si="13"/>
        <v>0</v>
      </c>
      <c r="AA23" s="218">
        <f t="shared" si="14"/>
        <v>0</v>
      </c>
      <c r="AB23" s="217">
        <f>X23*VLOOKUP($AB$7,Library!$T$4:$U$7,2,FALSE)</f>
        <v>0</v>
      </c>
      <c r="AC23" s="185">
        <f>Y23*VLOOKUP($AC$7,Library!$T$4:$U$7,2,FALSE)</f>
        <v>0</v>
      </c>
      <c r="AD23" s="185">
        <f>Z23*VLOOKUP($AD$7,Library!$T$4:$U$7,2,FALSE)</f>
        <v>0</v>
      </c>
      <c r="AE23" s="218">
        <f>AA23*VLOOKUP($AE$7,Library!$T$4:$U$7,2,FALSE)</f>
        <v>0</v>
      </c>
    </row>
    <row r="24" spans="1:31" ht="14.4" x14ac:dyDescent="0.3">
      <c r="A24" s="25" t="s">
        <v>31</v>
      </c>
      <c r="B24" s="25">
        <f>IFERROR(VLOOKUP(A24,Library!$B$4:$G$69,2,FALSE),"")</f>
        <v>61.83</v>
      </c>
      <c r="C24" s="26">
        <f>VLOOKUP(A24,'DSMZ 120 v4'!$L$4:$M$13,2,FALSE)*('DSMZ 120 v4'!$G$12/'DSMZ 120 v4'!$G$23)</f>
        <v>6.0000000000000001E-3</v>
      </c>
      <c r="D24" s="41" t="s">
        <v>16</v>
      </c>
      <c r="E24" s="26">
        <f t="shared" si="0"/>
        <v>9.7040271712760799E-8</v>
      </c>
      <c r="F24" s="25" t="s">
        <v>339</v>
      </c>
      <c r="G24" s="28">
        <v>3</v>
      </c>
      <c r="H24" s="25">
        <f>VLOOKUP(F24,Library!$K$4:$N$36,3,FALSE)</f>
        <v>1</v>
      </c>
      <c r="I24" s="25">
        <f t="shared" si="1"/>
        <v>2.9112081513828238E-7</v>
      </c>
      <c r="J24" s="178">
        <f>IF(F24="N/A",0,VLOOKUP(F24,Library!$K$4:$M$36,2,FALSE))</f>
        <v>1.0078400000000001</v>
      </c>
      <c r="K24" s="183">
        <f t="shared" si="2"/>
        <v>2.9112081513828238E-7</v>
      </c>
      <c r="L24" s="28">
        <f t="shared" si="3"/>
        <v>2.9340320232896652E-7</v>
      </c>
      <c r="M24" s="25" t="s">
        <v>113</v>
      </c>
      <c r="N24" s="25">
        <v>1</v>
      </c>
      <c r="O24" s="25">
        <f>IFERROR(VLOOKUP(M24,Library!$K$4:$M$36,3,FALSE),"")</f>
        <v>-3</v>
      </c>
      <c r="P24" s="25">
        <f t="shared" si="4"/>
        <v>9.7040271712760799E-8</v>
      </c>
      <c r="Q24" s="25">
        <f>IFERROR(IF(M24="N/A",0,VLOOKUP(M24,Library!$K$4:$N$36,2,FALSE)),"")</f>
        <v>58.81</v>
      </c>
      <c r="R24" s="25">
        <f t="shared" si="5"/>
        <v>8.7336244541484721E-7</v>
      </c>
      <c r="S24" s="200">
        <f t="shared" si="6"/>
        <v>5.7069383794274627E-6</v>
      </c>
      <c r="T24" s="217">
        <f>VLOOKUP(A24,Library!$B$4:$G$69,3,FALSE)</f>
        <v>0</v>
      </c>
      <c r="U24" s="185">
        <f>VLOOKUP(A24,Library!$B$4:$G$69,4,FALSE)</f>
        <v>0</v>
      </c>
      <c r="V24" s="185">
        <f>VLOOKUP(A24,Library!$B$4:$G$69,5,FALSE)</f>
        <v>0</v>
      </c>
      <c r="W24" s="218">
        <f>VLOOKUP(A24,Library!$B$4:$G$69,6,FALSE)</f>
        <v>0</v>
      </c>
      <c r="X24" s="217">
        <f t="shared" si="11"/>
        <v>0</v>
      </c>
      <c r="Y24" s="185">
        <f t="shared" si="12"/>
        <v>0</v>
      </c>
      <c r="Z24" s="185">
        <f t="shared" si="13"/>
        <v>0</v>
      </c>
      <c r="AA24" s="218">
        <f t="shared" si="14"/>
        <v>0</v>
      </c>
      <c r="AB24" s="217">
        <f>X24*VLOOKUP($AB$7,Library!$T$4:$U$7,2,FALSE)</f>
        <v>0</v>
      </c>
      <c r="AC24" s="185">
        <f>Y24*VLOOKUP($AC$7,Library!$T$4:$U$7,2,FALSE)</f>
        <v>0</v>
      </c>
      <c r="AD24" s="185">
        <f>Z24*VLOOKUP($AD$7,Library!$T$4:$U$7,2,FALSE)</f>
        <v>0</v>
      </c>
      <c r="AE24" s="218">
        <f>AA24*VLOOKUP($AE$7,Library!$T$4:$U$7,2,FALSE)</f>
        <v>0</v>
      </c>
    </row>
    <row r="25" spans="1:31" ht="14.4" x14ac:dyDescent="0.3">
      <c r="A25" s="25" t="s">
        <v>35</v>
      </c>
      <c r="B25" s="25">
        <f>IFERROR(VLOOKUP(A25,Library!$B$4:$G$69,2,FALSE),"")</f>
        <v>237.93</v>
      </c>
      <c r="C25" s="26">
        <f>VLOOKUP(A25,'DSMZ 120 v4'!$L$4:$M$13,2,FALSE)*('DSMZ 120 v4'!$G$12/'DSMZ 120 v4'!$G$23)</f>
        <v>0.19</v>
      </c>
      <c r="D25" s="41" t="s">
        <v>16</v>
      </c>
      <c r="E25" s="26">
        <f t="shared" si="0"/>
        <v>7.9855419661244901E-7</v>
      </c>
      <c r="F25" s="25" t="s">
        <v>75</v>
      </c>
      <c r="G25" s="28">
        <v>1</v>
      </c>
      <c r="H25" s="25">
        <f>VLOOKUP(F25,Library!$K$4:$N$36,3,FALSE)</f>
        <v>2</v>
      </c>
      <c r="I25" s="25">
        <f t="shared" si="1"/>
        <v>7.9855419661244901E-7</v>
      </c>
      <c r="J25" s="178">
        <f>IF(F25="N/A",0,VLOOKUP(F25,Library!$K$4:$M$36,2,FALSE))</f>
        <v>58.933190000000003</v>
      </c>
      <c r="K25" s="183">
        <f t="shared" si="2"/>
        <v>3.1942167864497961E-6</v>
      </c>
      <c r="L25" s="28">
        <f t="shared" si="3"/>
        <v>4.7061346194258816E-5</v>
      </c>
      <c r="M25" s="25" t="s">
        <v>70</v>
      </c>
      <c r="N25" s="25">
        <v>2</v>
      </c>
      <c r="O25" s="25">
        <f>IFERROR(VLOOKUP(M25,Library!$K$4:$M$36,3,FALSE),"")</f>
        <v>-1</v>
      </c>
      <c r="P25" s="25">
        <f t="shared" si="4"/>
        <v>1.597108393224898E-6</v>
      </c>
      <c r="Q25" s="25">
        <f>IFERROR(IF(M25="N/A",0,VLOOKUP(M25,Library!$K$4:$N$36,2,FALSE)),"")</f>
        <v>35.453000000000003</v>
      </c>
      <c r="R25" s="25">
        <f t="shared" si="5"/>
        <v>1.597108393224898E-6</v>
      </c>
      <c r="S25" s="200">
        <f t="shared" si="6"/>
        <v>5.6622283865002313E-5</v>
      </c>
      <c r="T25" s="217">
        <f>VLOOKUP(A25,Library!$B$4:$G$69,3,FALSE)</f>
        <v>0</v>
      </c>
      <c r="U25" s="185">
        <f>VLOOKUP(A25,Library!$B$4:$G$69,4,FALSE)</f>
        <v>0</v>
      </c>
      <c r="V25" s="185">
        <f>VLOOKUP(A25,Library!$B$4:$G$69,5,FALSE)</f>
        <v>0</v>
      </c>
      <c r="W25" s="218">
        <f>VLOOKUP(A25,Library!$B$4:$G$69,6,FALSE)</f>
        <v>0</v>
      </c>
      <c r="X25" s="217">
        <f t="shared" si="11"/>
        <v>0</v>
      </c>
      <c r="Y25" s="185">
        <f t="shared" si="12"/>
        <v>0</v>
      </c>
      <c r="Z25" s="185">
        <f t="shared" si="13"/>
        <v>0</v>
      </c>
      <c r="AA25" s="218">
        <f t="shared" si="14"/>
        <v>0</v>
      </c>
      <c r="AB25" s="217">
        <f>X25*VLOOKUP($AB$7,Library!$T$4:$U$7,2,FALSE)</f>
        <v>0</v>
      </c>
      <c r="AC25" s="185">
        <f>Y25*VLOOKUP($AC$7,Library!$T$4:$U$7,2,FALSE)</f>
        <v>0</v>
      </c>
      <c r="AD25" s="185">
        <f>Z25*VLOOKUP($AD$7,Library!$T$4:$U$7,2,FALSE)</f>
        <v>0</v>
      </c>
      <c r="AE25" s="218">
        <f>AA25*VLOOKUP($AE$7,Library!$T$4:$U$7,2,FALSE)</f>
        <v>0</v>
      </c>
    </row>
    <row r="26" spans="1:31" ht="14.4" x14ac:dyDescent="0.3">
      <c r="A26" s="25" t="s">
        <v>179</v>
      </c>
      <c r="B26" s="25">
        <f>IFERROR(VLOOKUP(A26,Library!$B$4:$G$69,2,FALSE),"")</f>
        <v>170.48</v>
      </c>
      <c r="C26" s="26">
        <f>VLOOKUP(A26,'DSMZ 120 v4'!$L$4:$M$13,2,FALSE)*('DSMZ 120 v4'!$G$12/'DSMZ 120 v4'!$G$23)</f>
        <v>2E-3</v>
      </c>
      <c r="D26" s="41" t="s">
        <v>16</v>
      </c>
      <c r="E26" s="26">
        <f t="shared" si="0"/>
        <v>1.1731581417175035E-8</v>
      </c>
      <c r="F26" s="25" t="s">
        <v>81</v>
      </c>
      <c r="G26" s="28">
        <v>1</v>
      </c>
      <c r="H26" s="25">
        <f>VLOOKUP(F26,Library!$K$4:$N$36,3,FALSE)</f>
        <v>2</v>
      </c>
      <c r="I26" s="25">
        <f t="shared" si="1"/>
        <v>1.1731581417175035E-8</v>
      </c>
      <c r="J26" s="178">
        <f>IF(F26="N/A",0,VLOOKUP(F26,Library!$K$4:$M$36,2,FALSE))</f>
        <v>187.56</v>
      </c>
      <c r="K26" s="183">
        <f t="shared" si="2"/>
        <v>4.692632566870014E-8</v>
      </c>
      <c r="L26" s="28">
        <f t="shared" si="3"/>
        <v>2.2003754106053496E-6</v>
      </c>
      <c r="M26" s="25" t="s">
        <v>70</v>
      </c>
      <c r="N26" s="25">
        <v>2</v>
      </c>
      <c r="O26" s="25">
        <f>IFERROR(VLOOKUP(M26,Library!$K$4:$M$36,3,FALSE),"")</f>
        <v>-1</v>
      </c>
      <c r="P26" s="25">
        <f t="shared" si="4"/>
        <v>2.346316283435007E-8</v>
      </c>
      <c r="Q26" s="25">
        <f>IFERROR(IF(M26="N/A",0,VLOOKUP(M26,Library!$K$4:$N$36,2,FALSE)),"")</f>
        <v>35.453000000000003</v>
      </c>
      <c r="R26" s="25">
        <f t="shared" si="5"/>
        <v>2.346316283435007E-8</v>
      </c>
      <c r="S26" s="200">
        <f t="shared" si="6"/>
        <v>8.3183951196621312E-7</v>
      </c>
      <c r="T26" s="217">
        <f>VLOOKUP(A26,Library!$B$4:$G$69,3,FALSE)</f>
        <v>0</v>
      </c>
      <c r="U26" s="185">
        <f>VLOOKUP(A26,Library!$B$4:$G$69,4,FALSE)</f>
        <v>0</v>
      </c>
      <c r="V26" s="185">
        <f>VLOOKUP(A26,Library!$B$4:$G$69,5,FALSE)</f>
        <v>0</v>
      </c>
      <c r="W26" s="218">
        <f>VLOOKUP(A26,Library!$B$4:$G$69,6,FALSE)</f>
        <v>0</v>
      </c>
      <c r="X26" s="217">
        <f t="shared" si="11"/>
        <v>0</v>
      </c>
      <c r="Y26" s="185">
        <f t="shared" si="12"/>
        <v>0</v>
      </c>
      <c r="Z26" s="185">
        <f t="shared" si="13"/>
        <v>0</v>
      </c>
      <c r="AA26" s="218">
        <f t="shared" si="14"/>
        <v>0</v>
      </c>
      <c r="AB26" s="217">
        <f>X26*VLOOKUP($AB$7,Library!$T$4:$U$7,2,FALSE)</f>
        <v>0</v>
      </c>
      <c r="AC26" s="185">
        <f>Y26*VLOOKUP($AC$7,Library!$T$4:$U$7,2,FALSE)</f>
        <v>0</v>
      </c>
      <c r="AD26" s="185">
        <f>Z26*VLOOKUP($AD$7,Library!$T$4:$U$7,2,FALSE)</f>
        <v>0</v>
      </c>
      <c r="AE26" s="218">
        <f>AA26*VLOOKUP($AE$7,Library!$T$4:$U$7,2,FALSE)</f>
        <v>0</v>
      </c>
    </row>
    <row r="27" spans="1:31" ht="14.4" x14ac:dyDescent="0.3">
      <c r="A27" s="25" t="s">
        <v>43</v>
      </c>
      <c r="B27" s="25">
        <f>IFERROR(VLOOKUP(A27,Library!$B$4:$G$69,2,FALSE),"")</f>
        <v>237.69</v>
      </c>
      <c r="C27" s="26">
        <f>VLOOKUP(A27,'DSMZ 120 v4'!$L$4:$M$13,2,FALSE)*('DSMZ 120 v4'!$G$12/'DSMZ 120 v4'!$G$23)</f>
        <v>2.4E-2</v>
      </c>
      <c r="D27" s="41" t="s">
        <v>16</v>
      </c>
      <c r="E27" s="26">
        <f t="shared" si="0"/>
        <v>1.0097185409567084E-7</v>
      </c>
      <c r="F27" s="25" t="s">
        <v>72</v>
      </c>
      <c r="G27" s="28">
        <v>1</v>
      </c>
      <c r="H27" s="25">
        <f>VLOOKUP(F27,Library!$K$4:$N$36,3,FALSE)</f>
        <v>2</v>
      </c>
      <c r="I27" s="25">
        <f t="shared" si="1"/>
        <v>1.0097185409567084E-7</v>
      </c>
      <c r="J27" s="178">
        <f>IF(F27="N/A",0,VLOOKUP(F27,Library!$K$4:$M$36,2,FALSE))</f>
        <v>58.692999999999998</v>
      </c>
      <c r="K27" s="183">
        <f t="shared" si="2"/>
        <v>4.0388741638268334E-7</v>
      </c>
      <c r="L27" s="28">
        <f t="shared" si="3"/>
        <v>5.926341032437208E-6</v>
      </c>
      <c r="M27" s="25" t="s">
        <v>70</v>
      </c>
      <c r="N27" s="25">
        <v>2</v>
      </c>
      <c r="O27" s="25">
        <f>IFERROR(VLOOKUP(M27,Library!$K$4:$M$36,3,FALSE),"")</f>
        <v>-1</v>
      </c>
      <c r="P27" s="25">
        <f t="shared" si="4"/>
        <v>2.0194370819134167E-7</v>
      </c>
      <c r="Q27" s="25">
        <f>IFERROR(IF(M27="N/A",0,VLOOKUP(M27,Library!$K$4:$N$36,2,FALSE)),"")</f>
        <v>35.453000000000003</v>
      </c>
      <c r="R27" s="25">
        <f t="shared" si="5"/>
        <v>2.0194370819134167E-7</v>
      </c>
      <c r="S27" s="200">
        <f t="shared" si="6"/>
        <v>7.1595102865076371E-6</v>
      </c>
      <c r="T27" s="217">
        <f>VLOOKUP(A27,Library!$B$4:$G$69,3,FALSE)</f>
        <v>0</v>
      </c>
      <c r="U27" s="185">
        <f>VLOOKUP(A27,Library!$B$4:$G$69,4,FALSE)</f>
        <v>0</v>
      </c>
      <c r="V27" s="185">
        <f>VLOOKUP(A27,Library!$B$4:$G$69,5,FALSE)</f>
        <v>0</v>
      </c>
      <c r="W27" s="218">
        <f>VLOOKUP(A27,Library!$B$4:$G$69,6,FALSE)</f>
        <v>0</v>
      </c>
      <c r="X27" s="217">
        <f t="shared" si="11"/>
        <v>0</v>
      </c>
      <c r="Y27" s="185">
        <f t="shared" si="12"/>
        <v>0</v>
      </c>
      <c r="Z27" s="185">
        <f t="shared" si="13"/>
        <v>0</v>
      </c>
      <c r="AA27" s="218">
        <f t="shared" si="14"/>
        <v>0</v>
      </c>
      <c r="AB27" s="217">
        <f>X27*VLOOKUP($AB$7,Library!$T$4:$U$7,2,FALSE)</f>
        <v>0</v>
      </c>
      <c r="AC27" s="185">
        <f>Y27*VLOOKUP($AC$7,Library!$T$4:$U$7,2,FALSE)</f>
        <v>0</v>
      </c>
      <c r="AD27" s="185">
        <f>Z27*VLOOKUP($AD$7,Library!$T$4:$U$7,2,FALSE)</f>
        <v>0</v>
      </c>
      <c r="AE27" s="218">
        <f>AA27*VLOOKUP($AE$7,Library!$T$4:$U$7,2,FALSE)</f>
        <v>0</v>
      </c>
    </row>
    <row r="28" spans="1:31" ht="14.4" x14ac:dyDescent="0.3">
      <c r="A28" s="25" t="s">
        <v>50</v>
      </c>
      <c r="B28" s="25">
        <f>IFERROR(VLOOKUP(A28,Library!$B$4:$G$69,2,FALSE),"")</f>
        <v>241.95</v>
      </c>
      <c r="C28" s="26">
        <f>VLOOKUP(A28,'DSMZ 120 v4'!$L$4:$M$13,2,FALSE)*('DSMZ 120 v4'!$G$12/'DSMZ 120 v4'!$G$23)</f>
        <v>3.6000000000000004E-2</v>
      </c>
      <c r="D28" s="41" t="s">
        <v>16</v>
      </c>
      <c r="E28" s="26">
        <f t="shared" si="0"/>
        <v>1.4879107253564788E-7</v>
      </c>
      <c r="F28" s="25" t="s">
        <v>63</v>
      </c>
      <c r="G28" s="28">
        <v>2</v>
      </c>
      <c r="H28" s="25">
        <f>VLOOKUP(F28,Library!$K$4:$N$36,3,FALSE)</f>
        <v>1</v>
      </c>
      <c r="I28" s="25">
        <f t="shared" si="1"/>
        <v>2.9758214507129576E-7</v>
      </c>
      <c r="J28" s="178">
        <f>IF(F28="N/A",0,VLOOKUP(F28,Library!$K$4:$M$36,2,FALSE))</f>
        <v>28.989768999999999</v>
      </c>
      <c r="K28" s="183">
        <f t="shared" si="2"/>
        <v>2.9758214507129576E-7</v>
      </c>
      <c r="L28" s="28">
        <f t="shared" si="3"/>
        <v>8.6268376441413528E-6</v>
      </c>
      <c r="M28" s="25" t="s">
        <v>76</v>
      </c>
      <c r="N28" s="25">
        <v>1</v>
      </c>
      <c r="O28" s="25">
        <f>IFERROR(VLOOKUP(M28,Library!$K$4:$M$36,3,FALSE),"")</f>
        <v>-2</v>
      </c>
      <c r="P28" s="25">
        <f t="shared" si="4"/>
        <v>1.4879107253564788E-7</v>
      </c>
      <c r="Q28" s="25">
        <f>IFERROR(IF(M28="N/A",0,VLOOKUP(M28,Library!$K$4:$N$36,2,FALSE)),"")</f>
        <v>159.94999999999999</v>
      </c>
      <c r="R28" s="25">
        <f t="shared" si="5"/>
        <v>5.9516429014259153E-7</v>
      </c>
      <c r="S28" s="200">
        <f t="shared" si="6"/>
        <v>2.3799132052076878E-5</v>
      </c>
      <c r="T28" s="217">
        <f>VLOOKUP(A28,Library!$B$4:$G$69,3,FALSE)</f>
        <v>0</v>
      </c>
      <c r="U28" s="185">
        <f>VLOOKUP(A28,Library!$B$4:$G$69,4,FALSE)</f>
        <v>0</v>
      </c>
      <c r="V28" s="185">
        <f>VLOOKUP(A28,Library!$B$4:$G$69,5,FALSE)</f>
        <v>0</v>
      </c>
      <c r="W28" s="218">
        <f>VLOOKUP(A28,Library!$B$4:$G$69,6,FALSE)</f>
        <v>0</v>
      </c>
      <c r="X28" s="217">
        <f t="shared" si="11"/>
        <v>0</v>
      </c>
      <c r="Y28" s="185">
        <f t="shared" si="12"/>
        <v>0</v>
      </c>
      <c r="Z28" s="185">
        <f t="shared" si="13"/>
        <v>0</v>
      </c>
      <c r="AA28" s="218">
        <f t="shared" si="14"/>
        <v>0</v>
      </c>
      <c r="AB28" s="217">
        <f>X28*VLOOKUP($AB$7,Library!$T$4:$U$7,2,FALSE)</f>
        <v>0</v>
      </c>
      <c r="AC28" s="185">
        <f>Y28*VLOOKUP($AC$7,Library!$T$4:$U$7,2,FALSE)</f>
        <v>0</v>
      </c>
      <c r="AD28" s="185">
        <f>Z28*VLOOKUP($AD$7,Library!$T$4:$U$7,2,FALSE)</f>
        <v>0</v>
      </c>
      <c r="AE28" s="218">
        <f>AA28*VLOOKUP($AE$7,Library!$T$4:$U$7,2,FALSE)</f>
        <v>0</v>
      </c>
    </row>
    <row r="29" spans="1:31" ht="14.4" x14ac:dyDescent="0.3">
      <c r="A29" s="20" t="s">
        <v>346</v>
      </c>
      <c r="B29" s="253"/>
      <c r="C29" s="262"/>
      <c r="D29" s="262"/>
      <c r="E29" s="262"/>
      <c r="F29" s="253"/>
      <c r="G29" s="257"/>
      <c r="H29" s="253"/>
      <c r="I29" s="253"/>
      <c r="J29" s="263"/>
      <c r="K29" s="264"/>
      <c r="L29" s="257"/>
      <c r="M29" s="253"/>
      <c r="N29" s="253"/>
      <c r="O29" s="253"/>
      <c r="P29" s="253"/>
      <c r="Q29" s="253"/>
      <c r="R29" s="253"/>
      <c r="S29" s="265"/>
      <c r="T29" s="259"/>
      <c r="U29" s="260"/>
      <c r="V29" s="260"/>
      <c r="W29" s="261"/>
      <c r="X29" s="259"/>
      <c r="Y29" s="260"/>
      <c r="Z29" s="260"/>
      <c r="AA29" s="261"/>
      <c r="AB29" s="259"/>
      <c r="AC29" s="260"/>
      <c r="AD29" s="260"/>
      <c r="AE29" s="261"/>
    </row>
    <row r="30" spans="1:31" ht="14.4" x14ac:dyDescent="0.3">
      <c r="A30" s="70" t="s">
        <v>195</v>
      </c>
      <c r="B30" s="25">
        <f>IFERROR(VLOOKUP(A30,Library!$B$4:$G$69,2,FALSE),"")</f>
        <v>175.63</v>
      </c>
      <c r="C30" s="26">
        <f>VLOOKUP(A30,'DSMZ 120 v4'!$F$5:$G$22,2,FALSE)*1000/'DSMZ 120 v4'!$G$23</f>
        <v>0.3</v>
      </c>
      <c r="D30" s="26" t="s">
        <v>97</v>
      </c>
      <c r="E30" s="26">
        <f t="shared" si="0"/>
        <v>1.7081364231623299E-3</v>
      </c>
      <c r="F30" s="25" t="s">
        <v>339</v>
      </c>
      <c r="G30" s="28">
        <v>1</v>
      </c>
      <c r="H30" s="25">
        <f>VLOOKUP(F30,Library!$K$4:$N$36,3,FALSE)</f>
        <v>1</v>
      </c>
      <c r="I30" s="25">
        <f t="shared" si="1"/>
        <v>1.7081364231623299E-3</v>
      </c>
      <c r="J30" s="178">
        <f>IF(F30="N/A",0,VLOOKUP(F30,Library!$K$4:$M$36,2,FALSE))</f>
        <v>1.0078400000000001</v>
      </c>
      <c r="K30" s="183">
        <f t="shared" si="2"/>
        <v>1.7081364231623299E-3</v>
      </c>
      <c r="L30" s="28">
        <f t="shared" si="3"/>
        <v>1.7215282127199228E-3</v>
      </c>
      <c r="M30" s="25" t="s">
        <v>70</v>
      </c>
      <c r="N30" s="25">
        <v>1</v>
      </c>
      <c r="O30" s="25">
        <f>IFERROR(VLOOKUP(M30,Library!$K$4:$M$36,3,FALSE),"")</f>
        <v>-1</v>
      </c>
      <c r="P30" s="25">
        <f t="shared" si="4"/>
        <v>1.7081364231623299E-3</v>
      </c>
      <c r="Q30" s="25">
        <f>IFERROR(IF(M30="N/A",0,VLOOKUP(M30,Library!$K$4:$N$36,2,FALSE)),"")</f>
        <v>35.453000000000003</v>
      </c>
      <c r="R30" s="25">
        <f t="shared" si="5"/>
        <v>1.7081364231623299E-3</v>
      </c>
      <c r="S30" s="200">
        <f t="shared" si="6"/>
        <v>6.0558560610374089E-2</v>
      </c>
      <c r="T30" s="217">
        <f>VLOOKUP(A30,Library!$B$4:$G$69,3,FALSE)</f>
        <v>3</v>
      </c>
      <c r="U30" s="185">
        <f>VLOOKUP(A30,Library!$B$4:$G$69,4,FALSE)</f>
        <v>1</v>
      </c>
      <c r="V30" s="185">
        <f>VLOOKUP(A30,Library!$B$4:$G$69,5,FALSE)</f>
        <v>0</v>
      </c>
      <c r="W30" s="218">
        <f>VLOOKUP(A30,Library!$B$4:$G$69,6,FALSE)</f>
        <v>1</v>
      </c>
      <c r="X30" s="217">
        <f t="shared" si="11"/>
        <v>5.1244092694869899E-3</v>
      </c>
      <c r="Y30" s="185">
        <f t="shared" si="12"/>
        <v>1.7081364231623299E-3</v>
      </c>
      <c r="Z30" s="185">
        <f t="shared" si="13"/>
        <v>0</v>
      </c>
      <c r="AA30" s="218">
        <f t="shared" si="14"/>
        <v>1.7081364231623299E-3</v>
      </c>
      <c r="AB30" s="217">
        <f>X30*VLOOKUP($AB$7,Library!$T$4:$U$7,2,FALSE)</f>
        <v>6.1544155326538751E-2</v>
      </c>
      <c r="AC30" s="185">
        <f>Y30*VLOOKUP($AC$7,Library!$T$4:$U$7,2,FALSE)</f>
        <v>2.393099128850424E-2</v>
      </c>
      <c r="AD30" s="185">
        <f>Z30*VLOOKUP($AD$7,Library!$T$4:$U$7,2,FALSE)</f>
        <v>0</v>
      </c>
      <c r="AE30" s="218">
        <f>AA30*VLOOKUP($AE$7,Library!$T$4:$U$7,2,FALSE)</f>
        <v>5.4779935090815919E-2</v>
      </c>
    </row>
    <row r="31" spans="1:31" ht="14.4" x14ac:dyDescent="0.3">
      <c r="A31" s="70" t="s">
        <v>298</v>
      </c>
      <c r="B31" s="25">
        <f>IFERROR(VLOOKUP(A31,Library!$B$4:$G$69,2,FALSE),"")</f>
        <v>240.18</v>
      </c>
      <c r="C31" s="26">
        <f>VLOOKUP(A31,'DSMZ 120 v4'!$F$5:$G$22,2,FALSE)*1000/'DSMZ 120 v4'!$G$23</f>
        <v>0.3</v>
      </c>
      <c r="D31" s="26" t="s">
        <v>97</v>
      </c>
      <c r="E31" s="26">
        <f t="shared" si="0"/>
        <v>1.2490632025980513E-3</v>
      </c>
      <c r="F31" s="25" t="s">
        <v>63</v>
      </c>
      <c r="G31" s="28">
        <v>2</v>
      </c>
      <c r="H31" s="25">
        <f>VLOOKUP(F31,Library!$K$4:$N$36,3,FALSE)</f>
        <v>1</v>
      </c>
      <c r="I31" s="25">
        <f t="shared" si="1"/>
        <v>2.4981264051961026E-3</v>
      </c>
      <c r="J31" s="178">
        <f>IF(F31="N/A",0,VLOOKUP(F31,Library!$K$4:$M$36,2,FALSE))</f>
        <v>28.989768999999999</v>
      </c>
      <c r="K31" s="183">
        <f t="shared" si="2"/>
        <v>2.4981264051961026E-3</v>
      </c>
      <c r="L31" s="28">
        <f t="shared" si="3"/>
        <v>7.2420107419435414E-2</v>
      </c>
      <c r="M31" s="25" t="s">
        <v>84</v>
      </c>
      <c r="N31" s="25">
        <v>1</v>
      </c>
      <c r="O31" s="25">
        <f>IFERROR(VLOOKUP(M31,Library!$K$4:$M$36,3,FALSE),"")</f>
        <v>-2</v>
      </c>
      <c r="P31" s="25">
        <f t="shared" si="4"/>
        <v>1.2490632025980513E-3</v>
      </c>
      <c r="Q31" s="25">
        <f>IFERROR(IF(M31="N/A",0,VLOOKUP(M31,Library!$K$4:$N$36,2,FALSE)),"")</f>
        <v>32.064999999999998</v>
      </c>
      <c r="R31" s="25">
        <f t="shared" si="5"/>
        <v>4.9962528103922052E-3</v>
      </c>
      <c r="S31" s="200">
        <f t="shared" si="6"/>
        <v>4.0051211591306514E-2</v>
      </c>
      <c r="T31" s="217">
        <f>VLOOKUP(A31,Library!$B$4:$G$69,3,FALSE)</f>
        <v>0</v>
      </c>
      <c r="U31" s="185">
        <f>VLOOKUP(A31,Library!$B$4:$G$69,4,FALSE)</f>
        <v>0</v>
      </c>
      <c r="V31" s="185">
        <f>VLOOKUP(A31,Library!$B$4:$G$69,5,FALSE)</f>
        <v>0</v>
      </c>
      <c r="W31" s="218">
        <f>VLOOKUP(A31,Library!$B$4:$G$69,6,FALSE)</f>
        <v>1</v>
      </c>
      <c r="X31" s="217">
        <f t="shared" si="11"/>
        <v>0</v>
      </c>
      <c r="Y31" s="185">
        <f t="shared" si="12"/>
        <v>0</v>
      </c>
      <c r="Z31" s="185">
        <f t="shared" si="13"/>
        <v>0</v>
      </c>
      <c r="AA31" s="218">
        <f t="shared" si="14"/>
        <v>1.2490632025980513E-3</v>
      </c>
      <c r="AB31" s="217">
        <f>X31*VLOOKUP($AB$7,Library!$T$4:$U$7,2,FALSE)</f>
        <v>0</v>
      </c>
      <c r="AC31" s="185">
        <f>Y31*VLOOKUP($AC$7,Library!$T$4:$U$7,2,FALSE)</f>
        <v>0</v>
      </c>
      <c r="AD31" s="185">
        <f>Z31*VLOOKUP($AD$7,Library!$T$4:$U$7,2,FALSE)</f>
        <v>0</v>
      </c>
      <c r="AE31" s="218">
        <f>AA31*VLOOKUP($AE$7,Library!$T$4:$U$7,2,FALSE)</f>
        <v>4.0057456907319502E-2</v>
      </c>
    </row>
    <row r="32" spans="1:31" ht="14.4" x14ac:dyDescent="0.3">
      <c r="A32" s="20" t="s">
        <v>344</v>
      </c>
      <c r="B32" s="253"/>
      <c r="C32" s="262"/>
      <c r="D32" s="262"/>
      <c r="E32" s="262"/>
      <c r="F32" s="253"/>
      <c r="G32" s="257"/>
      <c r="H32" s="253"/>
      <c r="I32" s="253"/>
      <c r="J32" s="263"/>
      <c r="K32" s="264"/>
      <c r="L32" s="257"/>
      <c r="M32" s="253"/>
      <c r="N32" s="253"/>
      <c r="O32" s="253"/>
      <c r="P32" s="253"/>
      <c r="Q32" s="253"/>
      <c r="R32" s="253"/>
      <c r="S32" s="265"/>
      <c r="T32" s="259"/>
      <c r="U32" s="260"/>
      <c r="V32" s="260"/>
      <c r="W32" s="261"/>
      <c r="X32" s="259"/>
      <c r="Y32" s="260"/>
      <c r="Z32" s="260"/>
      <c r="AA32" s="261"/>
      <c r="AB32" s="259"/>
      <c r="AC32" s="260"/>
      <c r="AD32" s="260"/>
      <c r="AE32" s="261"/>
    </row>
    <row r="33" spans="1:31" ht="14.4" x14ac:dyDescent="0.3">
      <c r="A33" s="70" t="s">
        <v>345</v>
      </c>
      <c r="B33" s="25"/>
      <c r="C33" s="26">
        <f>VLOOKUP(A33,'DSMZ 120 v4'!$F$5:$G$22,2,FALSE)*1000/'DSMZ 120 v4'!$G$23</f>
        <v>0</v>
      </c>
      <c r="D33" s="26" t="s">
        <v>97</v>
      </c>
      <c r="E33" s="26"/>
      <c r="F33" s="25"/>
      <c r="G33" s="28"/>
      <c r="H33" s="25"/>
      <c r="I33" s="25"/>
      <c r="J33" s="178"/>
      <c r="K33" s="183"/>
      <c r="L33" s="28"/>
      <c r="M33" s="25"/>
      <c r="N33" s="25"/>
      <c r="O33" s="25"/>
      <c r="P33" s="25"/>
      <c r="Q33" s="25"/>
      <c r="R33" s="25"/>
      <c r="S33" s="200"/>
      <c r="T33" s="217"/>
      <c r="U33" s="185"/>
      <c r="V33" s="185"/>
      <c r="W33" s="218"/>
      <c r="X33" s="217"/>
      <c r="Y33" s="185"/>
      <c r="Z33" s="185"/>
      <c r="AA33" s="218"/>
      <c r="AB33" s="217"/>
      <c r="AC33" s="185"/>
      <c r="AD33" s="185"/>
      <c r="AE33" s="218"/>
    </row>
    <row r="34" spans="1:31" ht="14.4" x14ac:dyDescent="0.3">
      <c r="A34" s="70" t="s">
        <v>352</v>
      </c>
      <c r="B34" s="25"/>
      <c r="C34" s="26">
        <f>VLOOKUP(A34,'DSMZ 120 v4'!$F$5:$G$22,2,FALSE)*1000/'DSMZ 120 v4'!$G$23</f>
        <v>0</v>
      </c>
      <c r="D34" s="26" t="s">
        <v>97</v>
      </c>
      <c r="E34" s="26"/>
      <c r="F34" s="25"/>
      <c r="G34" s="28"/>
      <c r="H34" s="25"/>
      <c r="I34" s="25"/>
      <c r="J34" s="178"/>
      <c r="K34" s="183"/>
      <c r="L34" s="28"/>
      <c r="M34" s="25"/>
      <c r="N34" s="25"/>
      <c r="O34" s="25"/>
      <c r="P34" s="25"/>
      <c r="Q34" s="25"/>
      <c r="R34" s="25"/>
      <c r="S34" s="200"/>
      <c r="T34" s="217"/>
      <c r="U34" s="185"/>
      <c r="V34" s="185"/>
      <c r="W34" s="218"/>
      <c r="X34" s="217"/>
      <c r="Y34" s="185"/>
      <c r="Z34" s="185"/>
      <c r="AA34" s="218"/>
      <c r="AB34" s="217"/>
      <c r="AC34" s="185"/>
      <c r="AD34" s="185"/>
      <c r="AE34" s="218"/>
    </row>
    <row r="35" spans="1:31" ht="14.4" x14ac:dyDescent="0.3">
      <c r="A35" s="70" t="s">
        <v>295</v>
      </c>
      <c r="B35" s="25">
        <f>IFERROR(VLOOKUP(A35,Library!$B$4:$G$69,2,FALSE),"")</f>
        <v>82.03</v>
      </c>
      <c r="C35" s="26">
        <f>VLOOKUP(A35,'DSMZ 120 v4'!$F$5:$G$22,2,FALSE)*1000/'DSMZ 120 v4'!$G$23</f>
        <v>0</v>
      </c>
      <c r="D35" s="26" t="s">
        <v>97</v>
      </c>
      <c r="E35" s="26">
        <f t="shared" si="0"/>
        <v>0</v>
      </c>
      <c r="F35" s="25" t="s">
        <v>63</v>
      </c>
      <c r="G35" s="28">
        <v>1</v>
      </c>
      <c r="H35" s="25">
        <f>VLOOKUP(F35,Library!$K$4:$N$36,3,FALSE)</f>
        <v>1</v>
      </c>
      <c r="I35" s="25">
        <f t="shared" si="1"/>
        <v>0</v>
      </c>
      <c r="J35" s="178">
        <f>IF(F35="N/A",0,VLOOKUP(F35,Library!$K$4:$M$36,2,FALSE))</f>
        <v>28.989768999999999</v>
      </c>
      <c r="K35" s="183">
        <f t="shared" ref="K35:K37" si="15">I35*(H35^2)</f>
        <v>0</v>
      </c>
      <c r="L35" s="28">
        <f t="shared" ref="L35:L37" si="16">I35*J35</f>
        <v>0</v>
      </c>
      <c r="M35" s="25" t="s">
        <v>77</v>
      </c>
      <c r="N35" s="25">
        <v>1</v>
      </c>
      <c r="O35" s="25">
        <f>IFERROR(VLOOKUP(M35,Library!$K$4:$M$36,3,FALSE),"")</f>
        <v>-1</v>
      </c>
      <c r="P35" s="25">
        <f t="shared" si="4"/>
        <v>0</v>
      </c>
      <c r="Q35" s="25">
        <f>IFERROR(IF(M35="N/A",0,VLOOKUP(M35,Library!$K$4:$N$36,2,FALSE)),"")</f>
        <v>59.043999999999997</v>
      </c>
      <c r="R35" s="25">
        <f t="shared" si="5"/>
        <v>0</v>
      </c>
      <c r="S35" s="200">
        <f t="shared" si="6"/>
        <v>0</v>
      </c>
      <c r="T35" s="217">
        <f>VLOOKUP(A35,Library!$B$4:$G$69,3,FALSE)</f>
        <v>3</v>
      </c>
      <c r="U35" s="185">
        <f>VLOOKUP(A35,Library!$B$4:$G$69,4,FALSE)</f>
        <v>0</v>
      </c>
      <c r="V35" s="185">
        <f>VLOOKUP(A35,Library!$B$4:$G$69,5,FALSE)</f>
        <v>0</v>
      </c>
      <c r="W35" s="218">
        <f>VLOOKUP(A35,Library!$B$4:$G$69,6,FALSE)</f>
        <v>0</v>
      </c>
      <c r="X35" s="217">
        <f t="shared" si="11"/>
        <v>0</v>
      </c>
      <c r="Y35" s="185">
        <f t="shared" si="12"/>
        <v>0</v>
      </c>
      <c r="Z35" s="185">
        <f t="shared" si="13"/>
        <v>0</v>
      </c>
      <c r="AA35" s="218">
        <f t="shared" si="14"/>
        <v>0</v>
      </c>
      <c r="AB35" s="217">
        <f>X35*VLOOKUP($AB$7,Library!$T$4:$U$7,2,FALSE)</f>
        <v>0</v>
      </c>
      <c r="AC35" s="185">
        <f>Y35*VLOOKUP($AC$7,Library!$T$4:$U$7,2,FALSE)</f>
        <v>0</v>
      </c>
      <c r="AD35" s="185">
        <f>Z35*VLOOKUP($AD$7,Library!$T$4:$U$7,2,FALSE)</f>
        <v>0</v>
      </c>
      <c r="AE35" s="218">
        <f>AA35*VLOOKUP($AE$7,Library!$T$4:$U$7,2,FALSE)</f>
        <v>0</v>
      </c>
    </row>
    <row r="36" spans="1:31" ht="14.4" x14ac:dyDescent="0.3">
      <c r="A36" s="70" t="s">
        <v>48</v>
      </c>
      <c r="B36" s="25"/>
      <c r="C36" s="26"/>
      <c r="D36" s="26"/>
      <c r="E36" s="26"/>
      <c r="F36" s="25"/>
      <c r="G36" s="28"/>
      <c r="H36" s="25"/>
      <c r="I36" s="25"/>
      <c r="J36" s="178"/>
      <c r="K36" s="183"/>
      <c r="L36" s="28"/>
      <c r="M36" s="25"/>
      <c r="N36" s="25"/>
      <c r="O36" s="25"/>
      <c r="P36" s="25"/>
      <c r="Q36" s="25"/>
      <c r="R36" s="25"/>
      <c r="S36" s="200"/>
      <c r="T36" s="217"/>
      <c r="U36" s="185"/>
      <c r="V36" s="185"/>
      <c r="W36" s="218"/>
      <c r="X36" s="217"/>
      <c r="Y36" s="185"/>
      <c r="Z36" s="185"/>
      <c r="AA36" s="218"/>
      <c r="AB36" s="217"/>
      <c r="AC36" s="185"/>
      <c r="AD36" s="185"/>
      <c r="AE36" s="218"/>
    </row>
    <row r="37" spans="1:31" ht="14.4" x14ac:dyDescent="0.3">
      <c r="A37" s="69" t="s">
        <v>52</v>
      </c>
      <c r="B37" s="25">
        <f>IFERROR(VLOOKUP(A37,Library!$B$4:$G$69,2,FALSE),"")</f>
        <v>84.01</v>
      </c>
      <c r="C37" s="26">
        <f>VLOOKUP(A37,'DSMZ 120 v4'!$F$5:$G$22,2,FALSE)*1000/'DSMZ 120 v4'!$G$23</f>
        <v>0</v>
      </c>
      <c r="D37" s="26" t="s">
        <v>97</v>
      </c>
      <c r="E37" s="26">
        <f t="shared" si="0"/>
        <v>0</v>
      </c>
      <c r="F37" s="25" t="s">
        <v>63</v>
      </c>
      <c r="G37" s="28">
        <v>1</v>
      </c>
      <c r="H37" s="25">
        <f>VLOOKUP(F37,Library!$K$4:$N$36,3,FALSE)</f>
        <v>1</v>
      </c>
      <c r="I37" s="25">
        <f t="shared" si="1"/>
        <v>0</v>
      </c>
      <c r="J37" s="178">
        <f>IF(F37="N/A",0,VLOOKUP(F37,Library!$K$4:$M$36,2,FALSE))</f>
        <v>28.989768999999999</v>
      </c>
      <c r="K37" s="183">
        <f t="shared" si="15"/>
        <v>0</v>
      </c>
      <c r="L37" s="28">
        <f t="shared" si="16"/>
        <v>0</v>
      </c>
      <c r="M37" s="25" t="s">
        <v>67</v>
      </c>
      <c r="N37" s="25">
        <v>1</v>
      </c>
      <c r="O37" s="25">
        <f>IFERROR(VLOOKUP(M37,Library!$K$4:$M$36,3,FALSE),"")</f>
        <v>-1</v>
      </c>
      <c r="P37" s="25">
        <f t="shared" si="4"/>
        <v>0</v>
      </c>
      <c r="Q37" s="25">
        <f>IFERROR(IF(M37="N/A",0,VLOOKUP(M37,Library!$K$4:$N$36,2,FALSE)),"")</f>
        <v>61.016800000000003</v>
      </c>
      <c r="R37" s="25">
        <f t="shared" si="5"/>
        <v>0</v>
      </c>
      <c r="S37" s="200">
        <f t="shared" si="6"/>
        <v>0</v>
      </c>
      <c r="T37" s="217">
        <f>VLOOKUP(A37,Library!$B$4:$G$69,3,FALSE)</f>
        <v>1</v>
      </c>
      <c r="U37" s="185">
        <f>VLOOKUP(A37,Library!$B$4:$G$69,4,FALSE)</f>
        <v>0</v>
      </c>
      <c r="V37" s="185">
        <f>VLOOKUP(A37,Library!$B$4:$G$69,5,FALSE)</f>
        <v>0</v>
      </c>
      <c r="W37" s="218">
        <f>VLOOKUP(A37,Library!$B$4:$G$69,6,FALSE)</f>
        <v>0</v>
      </c>
      <c r="X37" s="217">
        <f t="shared" si="11"/>
        <v>0</v>
      </c>
      <c r="Y37" s="185">
        <f t="shared" si="12"/>
        <v>0</v>
      </c>
      <c r="Z37" s="185">
        <f t="shared" si="13"/>
        <v>0</v>
      </c>
      <c r="AA37" s="218">
        <f t="shared" si="14"/>
        <v>0</v>
      </c>
      <c r="AB37" s="217">
        <f>X37*VLOOKUP($AB$7,Library!$T$4:$U$7,2,FALSE)</f>
        <v>0</v>
      </c>
      <c r="AC37" s="185">
        <f>Y37*VLOOKUP($AC$7,Library!$T$4:$U$7,2,FALSE)</f>
        <v>0</v>
      </c>
      <c r="AD37" s="185">
        <f>Z37*VLOOKUP($AD$7,Library!$T$4:$U$7,2,FALSE)</f>
        <v>0</v>
      </c>
      <c r="AE37" s="218">
        <f>AA37*VLOOKUP($AE$7,Library!$T$4:$U$7,2,FALSE)</f>
        <v>0</v>
      </c>
    </row>
    <row r="38" spans="1:31" ht="14.4" x14ac:dyDescent="0.3">
      <c r="A38" s="70" t="s">
        <v>347</v>
      </c>
      <c r="B38" s="25">
        <f>IFERROR(VLOOKUP(A38,Library!$B$4:$G$69,2,FALSE),"")</f>
        <v>32.04</v>
      </c>
      <c r="C38" s="26">
        <f>VLOOKUP(A38,'DSMZ 120 v4'!$F$5:$G$22,2,FALSE)*1000/'DSMZ 120 v4'!$G$23*0.7918</f>
        <v>0</v>
      </c>
      <c r="D38" s="26" t="s">
        <v>97</v>
      </c>
      <c r="E38" s="26">
        <f t="shared" si="0"/>
        <v>0</v>
      </c>
      <c r="F38" s="25"/>
      <c r="G38" s="28"/>
      <c r="H38" s="25"/>
      <c r="I38" s="25"/>
      <c r="J38" s="178"/>
      <c r="K38" s="183"/>
      <c r="L38" s="28"/>
      <c r="M38" s="25"/>
      <c r="N38" s="25"/>
      <c r="O38" s="25"/>
      <c r="P38" s="25"/>
      <c r="Q38" s="25"/>
      <c r="R38" s="25"/>
      <c r="S38" s="200"/>
      <c r="T38" s="217">
        <f>VLOOKUP(A38,Library!$B$4:$G$69,3,FALSE)</f>
        <v>1</v>
      </c>
      <c r="U38" s="185">
        <f>VLOOKUP(A38,Library!$B$4:$G$69,4,FALSE)</f>
        <v>0</v>
      </c>
      <c r="V38" s="185">
        <f>VLOOKUP(A38,Library!$B$4:$G$69,5,FALSE)</f>
        <v>0</v>
      </c>
      <c r="W38" s="218">
        <f>VLOOKUP(A38,Library!$B$4:$G$69,6,FALSE)</f>
        <v>0</v>
      </c>
      <c r="X38" s="217">
        <f t="shared" si="11"/>
        <v>0</v>
      </c>
      <c r="Y38" s="185">
        <f t="shared" si="12"/>
        <v>0</v>
      </c>
      <c r="Z38" s="185">
        <f t="shared" si="13"/>
        <v>0</v>
      </c>
      <c r="AA38" s="218">
        <f t="shared" si="14"/>
        <v>0</v>
      </c>
      <c r="AB38" s="217">
        <f>X38*VLOOKUP($AB$7,Library!$T$4:$U$7,2,FALSE)</f>
        <v>0</v>
      </c>
      <c r="AC38" s="185">
        <f>Y38*VLOOKUP($AC$7,Library!$T$4:$U$7,2,FALSE)</f>
        <v>0</v>
      </c>
      <c r="AD38" s="185">
        <f>Z38*VLOOKUP($AD$7,Library!$T$4:$U$7,2,FALSE)</f>
        <v>0</v>
      </c>
      <c r="AE38" s="218">
        <f>AA38*VLOOKUP($AE$7,Library!$T$4:$U$7,2,FALSE)</f>
        <v>0</v>
      </c>
    </row>
    <row r="39" spans="1:31" ht="14.4" x14ac:dyDescent="0.3">
      <c r="A39" s="20" t="s">
        <v>320</v>
      </c>
      <c r="B39" s="253"/>
      <c r="C39" s="262"/>
      <c r="D39" s="262"/>
      <c r="E39" s="262"/>
      <c r="F39" s="253"/>
      <c r="G39" s="257"/>
      <c r="H39" s="253"/>
      <c r="I39" s="253"/>
      <c r="J39" s="263"/>
      <c r="K39" s="264"/>
      <c r="L39" s="257"/>
      <c r="M39" s="253"/>
      <c r="N39" s="253"/>
      <c r="O39" s="253"/>
      <c r="P39" s="253"/>
      <c r="Q39" s="253"/>
      <c r="R39" s="253"/>
      <c r="S39" s="265"/>
      <c r="T39" s="259"/>
      <c r="U39" s="260"/>
      <c r="V39" s="260"/>
      <c r="W39" s="261"/>
      <c r="X39" s="259">
        <f t="shared" si="11"/>
        <v>0</v>
      </c>
      <c r="Y39" s="260">
        <f t="shared" si="12"/>
        <v>0</v>
      </c>
      <c r="Z39" s="260">
        <f t="shared" si="13"/>
        <v>0</v>
      </c>
      <c r="AA39" s="261">
        <f t="shared" si="14"/>
        <v>0</v>
      </c>
      <c r="AB39" s="259"/>
      <c r="AC39" s="260"/>
      <c r="AD39" s="260"/>
      <c r="AE39" s="261"/>
    </row>
    <row r="40" spans="1:31" ht="14.4" x14ac:dyDescent="0.3">
      <c r="A40" s="25" t="s">
        <v>15</v>
      </c>
      <c r="B40" s="25">
        <f>IFERROR(VLOOKUP(A40,Library!$B$4:$G$69,2,FALSE),"")</f>
        <v>244.31</v>
      </c>
      <c r="C40" s="26">
        <f>VLOOKUP(A40,'DSMZ 120 v4'!$I$5:$J$14,2,FALSE)*'DSMZ 120 v4'!$G$19/'DSMZ 120 v4'!$G$23</f>
        <v>0.02</v>
      </c>
      <c r="D40" s="26" t="s">
        <v>16</v>
      </c>
      <c r="E40" s="26">
        <f t="shared" si="0"/>
        <v>8.1863206581801814E-8</v>
      </c>
      <c r="F40" s="25"/>
      <c r="G40" s="28"/>
      <c r="H40" s="25"/>
      <c r="I40" s="25"/>
      <c r="J40" s="178"/>
      <c r="K40" s="183"/>
      <c r="L40" s="28"/>
      <c r="M40" s="25"/>
      <c r="N40" s="25"/>
      <c r="O40" s="25"/>
      <c r="P40" s="25"/>
      <c r="Q40" s="25"/>
      <c r="R40" s="25"/>
      <c r="S40" s="200"/>
      <c r="T40" s="217">
        <f>VLOOKUP(A40,Library!$B$4:$G$69,3,FALSE)</f>
        <v>10</v>
      </c>
      <c r="U40" s="185">
        <f>VLOOKUP(A40,Library!$B$4:$G$69,4,FALSE)</f>
        <v>2</v>
      </c>
      <c r="V40" s="185">
        <f>VLOOKUP(A40,Library!$B$4:$G$69,5,FALSE)</f>
        <v>0</v>
      </c>
      <c r="W40" s="218">
        <f>VLOOKUP(A40,Library!$B$4:$G$69,6,FALSE)</f>
        <v>1</v>
      </c>
      <c r="X40" s="217">
        <f t="shared" si="11"/>
        <v>8.1863206581801809E-7</v>
      </c>
      <c r="Y40" s="185">
        <f t="shared" si="12"/>
        <v>1.6372641316360363E-7</v>
      </c>
      <c r="Z40" s="185">
        <f t="shared" si="13"/>
        <v>0</v>
      </c>
      <c r="AA40" s="218">
        <f t="shared" si="14"/>
        <v>8.1863206581801814E-8</v>
      </c>
      <c r="AB40" s="217">
        <f>X40*VLOOKUP($AB$7,Library!$T$4:$U$7,2,FALSE)</f>
        <v>9.8317711104743978E-6</v>
      </c>
      <c r="AC40" s="185">
        <f>Y40*VLOOKUP($AC$7,Library!$T$4:$U$7,2,FALSE)</f>
        <v>2.2938070484220868E-6</v>
      </c>
      <c r="AD40" s="185">
        <f>Z40*VLOOKUP($AD$7,Library!$T$4:$U$7,2,FALSE)</f>
        <v>0</v>
      </c>
      <c r="AE40" s="218">
        <f>AA40*VLOOKUP($AE$7,Library!$T$4:$U$7,2,FALSE)</f>
        <v>2.6253530350783843E-6</v>
      </c>
    </row>
    <row r="41" spans="1:31" ht="14.4" x14ac:dyDescent="0.3">
      <c r="A41" s="25" t="s">
        <v>19</v>
      </c>
      <c r="B41" s="25">
        <f>IFERROR(VLOOKUP(A41,Library!$B$4:$G$69,2,FALSE),"")</f>
        <v>441.4</v>
      </c>
      <c r="C41" s="26">
        <f>VLOOKUP(A41,'DSMZ 120 v4'!$I$5:$J$14,2,FALSE)*'DSMZ 120 v4'!$G$19/'DSMZ 120 v4'!$G$23</f>
        <v>0.02</v>
      </c>
      <c r="D41" s="26" t="s">
        <v>16</v>
      </c>
      <c r="E41" s="26">
        <f t="shared" si="0"/>
        <v>4.5310376076121436E-8</v>
      </c>
      <c r="F41" s="25"/>
      <c r="G41" s="28"/>
      <c r="H41" s="25"/>
      <c r="I41" s="25"/>
      <c r="J41" s="178"/>
      <c r="K41" s="183"/>
      <c r="L41" s="28"/>
      <c r="M41" s="25"/>
      <c r="N41" s="25"/>
      <c r="O41" s="25"/>
      <c r="P41" s="25"/>
      <c r="Q41" s="25"/>
      <c r="R41" s="25"/>
      <c r="S41" s="200"/>
      <c r="T41" s="217">
        <f>VLOOKUP(A41,Library!$B$4:$G$69,3,FALSE)</f>
        <v>19</v>
      </c>
      <c r="U41" s="185">
        <f>VLOOKUP(A41,Library!$B$4:$G$69,4,FALSE)</f>
        <v>7</v>
      </c>
      <c r="V41" s="185">
        <f>VLOOKUP(A41,Library!$B$4:$G$69,5,FALSE)</f>
        <v>0</v>
      </c>
      <c r="W41" s="218">
        <f>VLOOKUP(A41,Library!$B$4:$G$69,6,FALSE)</f>
        <v>0</v>
      </c>
      <c r="X41" s="217">
        <f t="shared" si="11"/>
        <v>8.6089714544630728E-7</v>
      </c>
      <c r="Y41" s="185">
        <f t="shared" si="12"/>
        <v>3.1717263253285005E-7</v>
      </c>
      <c r="Z41" s="185">
        <f t="shared" si="13"/>
        <v>0</v>
      </c>
      <c r="AA41" s="218">
        <f t="shared" si="14"/>
        <v>0</v>
      </c>
      <c r="AB41" s="217">
        <f>X41*VLOOKUP($AB$7,Library!$T$4:$U$7,2,FALSE)</f>
        <v>1.033937471681015E-5</v>
      </c>
      <c r="AC41" s="185">
        <f>Y41*VLOOKUP($AC$7,Library!$T$4:$U$7,2,FALSE)</f>
        <v>4.4435885817852293E-6</v>
      </c>
      <c r="AD41" s="185">
        <f>Z41*VLOOKUP($AD$7,Library!$T$4:$U$7,2,FALSE)</f>
        <v>0</v>
      </c>
      <c r="AE41" s="218">
        <f>AA41*VLOOKUP($AE$7,Library!$T$4:$U$7,2,FALSE)</f>
        <v>0</v>
      </c>
    </row>
    <row r="42" spans="1:31" ht="14.4" x14ac:dyDescent="0.3">
      <c r="A42" s="25" t="s">
        <v>120</v>
      </c>
      <c r="B42" s="25">
        <f>IFERROR(VLOOKUP(A42,Library!$B$4:$G$69,2,FALSE),"")</f>
        <v>205.64</v>
      </c>
      <c r="C42" s="26">
        <f>VLOOKUP(A42,'DSMZ 120 v4'!$I$5:$J$14,2,FALSE)*'DSMZ 120 v4'!$G$19/'DSMZ 120 v4'!$G$23</f>
        <v>0.1</v>
      </c>
      <c r="D42" s="26" t="s">
        <v>16</v>
      </c>
      <c r="E42" s="26">
        <f t="shared" si="0"/>
        <v>4.8628671464695592E-7</v>
      </c>
      <c r="F42" s="25"/>
      <c r="G42" s="28"/>
      <c r="H42" s="25"/>
      <c r="I42" s="25"/>
      <c r="J42" s="178"/>
      <c r="K42" s="183"/>
      <c r="L42" s="28"/>
      <c r="M42" s="25"/>
      <c r="N42" s="25"/>
      <c r="O42" s="25"/>
      <c r="P42" s="25"/>
      <c r="Q42" s="25"/>
      <c r="R42" s="25"/>
      <c r="S42" s="200"/>
      <c r="T42" s="217">
        <f>VLOOKUP(A42,Library!$B$4:$G$69,3,FALSE)</f>
        <v>8</v>
      </c>
      <c r="U42" s="185">
        <f>VLOOKUP(A42,Library!$B$4:$G$69,4,FALSE)</f>
        <v>1</v>
      </c>
      <c r="V42" s="185">
        <f>VLOOKUP(A42,Library!$B$4:$G$69,5,FALSE)</f>
        <v>0</v>
      </c>
      <c r="W42" s="218">
        <f>VLOOKUP(A42,Library!$B$4:$G$69,6,FALSE)</f>
        <v>0</v>
      </c>
      <c r="X42" s="217">
        <f t="shared" si="11"/>
        <v>3.8902937171756473E-6</v>
      </c>
      <c r="Y42" s="185">
        <f t="shared" si="12"/>
        <v>4.8628671464695592E-7</v>
      </c>
      <c r="Z42" s="185">
        <f t="shared" si="13"/>
        <v>0</v>
      </c>
      <c r="AA42" s="218">
        <f t="shared" si="14"/>
        <v>0</v>
      </c>
      <c r="AB42" s="217">
        <f>X42*VLOOKUP($AB$7,Library!$T$4:$U$7,2,FALSE)</f>
        <v>4.6722427543279525E-5</v>
      </c>
      <c r="AC42" s="185">
        <f>Y42*VLOOKUP($AC$7,Library!$T$4:$U$7,2,FALSE)</f>
        <v>6.8128768722038524E-6</v>
      </c>
      <c r="AD42" s="185">
        <f>Z42*VLOOKUP($AD$7,Library!$T$4:$U$7,2,FALSE)</f>
        <v>0</v>
      </c>
      <c r="AE42" s="218">
        <f>AA42*VLOOKUP($AE$7,Library!$T$4:$U$7,2,FALSE)</f>
        <v>0</v>
      </c>
    </row>
    <row r="43" spans="1:31" ht="14.4" x14ac:dyDescent="0.3">
      <c r="A43" s="25" t="s">
        <v>121</v>
      </c>
      <c r="B43" s="25">
        <f>IFERROR(VLOOKUP(A43,Library!$B$4:$G$69,2,FALSE),"")</f>
        <v>337.27</v>
      </c>
      <c r="C43" s="26">
        <f>VLOOKUP(A43,'DSMZ 120 v4'!$I$5:$J$14,2,FALSE)*'DSMZ 120 v4'!$G$19/'DSMZ 120 v4'!$G$23</f>
        <v>0.05</v>
      </c>
      <c r="D43" s="26" t="s">
        <v>16</v>
      </c>
      <c r="E43" s="26">
        <f t="shared" si="0"/>
        <v>1.4824917721706646E-7</v>
      </c>
      <c r="F43" s="25"/>
      <c r="G43" s="28"/>
      <c r="H43" s="25"/>
      <c r="I43" s="25"/>
      <c r="J43" s="178"/>
      <c r="K43" s="27"/>
      <c r="L43" s="27"/>
      <c r="M43" s="25"/>
      <c r="N43" s="25"/>
      <c r="O43" s="25"/>
      <c r="P43" s="25"/>
      <c r="Q43" s="25"/>
      <c r="R43" s="25"/>
      <c r="S43" s="200"/>
      <c r="T43" s="217">
        <f>VLOOKUP(A43,Library!$B$4:$G$69,3,FALSE)</f>
        <v>12</v>
      </c>
      <c r="U43" s="185">
        <f>VLOOKUP(A43,Library!$B$4:$G$69,4,FALSE)</f>
        <v>2</v>
      </c>
      <c r="V43" s="185">
        <f>VLOOKUP(A43,Library!$B$4:$G$69,5,FALSE)</f>
        <v>0</v>
      </c>
      <c r="W43" s="218">
        <f>VLOOKUP(A43,Library!$B$4:$G$69,6,FALSE)</f>
        <v>1</v>
      </c>
      <c r="X43" s="217">
        <f t="shared" si="11"/>
        <v>1.7789901266047974E-6</v>
      </c>
      <c r="Y43" s="185">
        <f t="shared" si="12"/>
        <v>2.9649835443413292E-7</v>
      </c>
      <c r="Z43" s="185">
        <f t="shared" si="13"/>
        <v>0</v>
      </c>
      <c r="AA43" s="218">
        <f t="shared" si="14"/>
        <v>1.4824917721706646E-7</v>
      </c>
      <c r="AB43" s="217">
        <f>X43*VLOOKUP($AB$7,Library!$T$4:$U$7,2,FALSE)</f>
        <v>2.1365671420523617E-5</v>
      </c>
      <c r="AC43" s="185">
        <f>Y43*VLOOKUP($AC$7,Library!$T$4:$U$7,2,FALSE)</f>
        <v>4.1539419456222018E-6</v>
      </c>
      <c r="AD43" s="185">
        <f>Z43*VLOOKUP($AD$7,Library!$T$4:$U$7,2,FALSE)</f>
        <v>0</v>
      </c>
      <c r="AE43" s="218">
        <f>AA43*VLOOKUP($AE$7,Library!$T$4:$U$7,2,FALSE)</f>
        <v>4.7543511133513211E-6</v>
      </c>
    </row>
    <row r="44" spans="1:31" ht="14.4" x14ac:dyDescent="0.3">
      <c r="A44" s="25" t="s">
        <v>30</v>
      </c>
      <c r="B44" s="25">
        <f>IFERROR(VLOOKUP(A44,Library!$B$4:$G$69,2,FALSE),"")</f>
        <v>376.37</v>
      </c>
      <c r="C44" s="26">
        <f>VLOOKUP(A44,'DSMZ 120 v4'!$I$5:$J$14,2,FALSE)*'DSMZ 120 v4'!$G$19/'DSMZ 120 v4'!$G$23</f>
        <v>0.05</v>
      </c>
      <c r="D44" s="26" t="s">
        <v>16</v>
      </c>
      <c r="E44" s="26">
        <f t="shared" si="0"/>
        <v>1.3284799532375059E-7</v>
      </c>
      <c r="F44" s="25"/>
      <c r="G44" s="28"/>
      <c r="H44" s="25"/>
      <c r="I44" s="25"/>
      <c r="J44" s="178"/>
      <c r="K44" s="27"/>
      <c r="L44" s="27"/>
      <c r="M44" s="25"/>
      <c r="N44" s="25"/>
      <c r="O44" s="25"/>
      <c r="P44" s="25"/>
      <c r="Q44" s="25"/>
      <c r="R44" s="25"/>
      <c r="S44" s="200"/>
      <c r="T44" s="217">
        <f>VLOOKUP(A44,Library!$B$4:$G$69,3,FALSE)</f>
        <v>17</v>
      </c>
      <c r="U44" s="185">
        <f>VLOOKUP(A44,Library!$B$4:$G$69,4,FALSE)</f>
        <v>4</v>
      </c>
      <c r="V44" s="185">
        <f>VLOOKUP(A44,Library!$B$4:$G$69,5,FALSE)</f>
        <v>0</v>
      </c>
      <c r="W44" s="218">
        <f>VLOOKUP(A44,Library!$B$4:$G$69,6,FALSE)</f>
        <v>0</v>
      </c>
      <c r="X44" s="217">
        <f t="shared" si="11"/>
        <v>2.2584159205037601E-6</v>
      </c>
      <c r="Y44" s="185">
        <f t="shared" si="12"/>
        <v>5.3139198129500234E-7</v>
      </c>
      <c r="Z44" s="185">
        <f t="shared" si="13"/>
        <v>0</v>
      </c>
      <c r="AA44" s="218">
        <f t="shared" si="14"/>
        <v>0</v>
      </c>
      <c r="AB44" s="217">
        <f>X44*VLOOKUP($AB$7,Library!$T$4:$U$7,2,FALSE)</f>
        <v>2.7123575205250158E-5</v>
      </c>
      <c r="AC44" s="185">
        <f>Y44*VLOOKUP($AC$7,Library!$T$4:$U$7,2,FALSE)</f>
        <v>7.444801657942983E-6</v>
      </c>
      <c r="AD44" s="185">
        <f>Z44*VLOOKUP($AD$7,Library!$T$4:$U$7,2,FALSE)</f>
        <v>0</v>
      </c>
      <c r="AE44" s="218">
        <f>AA44*VLOOKUP($AE$7,Library!$T$4:$U$7,2,FALSE)</f>
        <v>0</v>
      </c>
    </row>
    <row r="45" spans="1:31" ht="14.4" x14ac:dyDescent="0.3">
      <c r="A45" s="25" t="s">
        <v>34</v>
      </c>
      <c r="B45" s="25">
        <f>IFERROR(VLOOKUP(A45,Library!$B$4:$G$69,2,FALSE),"")</f>
        <v>123.11</v>
      </c>
      <c r="C45" s="26">
        <f>VLOOKUP(A45,'DSMZ 120 v4'!$I$5:$J$14,2,FALSE)*'DSMZ 120 v4'!$G$19/'DSMZ 120 v4'!$G$23</f>
        <v>0.05</v>
      </c>
      <c r="D45" s="26" t="s">
        <v>16</v>
      </c>
      <c r="E45" s="26">
        <f t="shared" si="0"/>
        <v>4.0614084964665748E-7</v>
      </c>
      <c r="F45" s="25"/>
      <c r="G45" s="28"/>
      <c r="H45" s="25"/>
      <c r="I45" s="25"/>
      <c r="J45" s="178"/>
      <c r="K45" s="27"/>
      <c r="L45" s="27"/>
      <c r="M45" s="25"/>
      <c r="N45" s="25"/>
      <c r="O45" s="25"/>
      <c r="P45" s="25"/>
      <c r="Q45" s="25"/>
      <c r="R45" s="25"/>
      <c r="S45" s="200"/>
      <c r="T45" s="217">
        <f>VLOOKUP(A45,Library!$B$4:$G$69,3,FALSE)</f>
        <v>6</v>
      </c>
      <c r="U45" s="185">
        <f>VLOOKUP(A45,Library!$B$4:$G$69,4,FALSE)</f>
        <v>1</v>
      </c>
      <c r="V45" s="185">
        <f>VLOOKUP(A45,Library!$B$4:$G$69,5,FALSE)</f>
        <v>0</v>
      </c>
      <c r="W45" s="218">
        <f>VLOOKUP(A45,Library!$B$4:$G$69,6,FALSE)</f>
        <v>0</v>
      </c>
      <c r="X45" s="217">
        <f t="shared" si="11"/>
        <v>2.436845097879945E-6</v>
      </c>
      <c r="Y45" s="185">
        <f t="shared" si="12"/>
        <v>4.0614084964665748E-7</v>
      </c>
      <c r="Z45" s="185">
        <f t="shared" si="13"/>
        <v>0</v>
      </c>
      <c r="AA45" s="218">
        <f t="shared" si="14"/>
        <v>0</v>
      </c>
      <c r="AB45" s="217">
        <f>X45*VLOOKUP($AB$7,Library!$T$4:$U$7,2,FALSE)</f>
        <v>2.9266509625538138E-5</v>
      </c>
      <c r="AC45" s="185">
        <f>Y45*VLOOKUP($AC$7,Library!$T$4:$U$7,2,FALSE)</f>
        <v>5.690033303549671E-6</v>
      </c>
      <c r="AD45" s="185">
        <f>Z45*VLOOKUP($AD$7,Library!$T$4:$U$7,2,FALSE)</f>
        <v>0</v>
      </c>
      <c r="AE45" s="218">
        <f>AA45*VLOOKUP($AE$7,Library!$T$4:$U$7,2,FALSE)</f>
        <v>0</v>
      </c>
    </row>
    <row r="46" spans="1:31" ht="14.4" x14ac:dyDescent="0.3">
      <c r="A46" s="25" t="s">
        <v>122</v>
      </c>
      <c r="B46" s="25">
        <f>IFERROR(VLOOKUP(A46,Library!$B$4:$G$69,2,FALSE),"")</f>
        <v>476.53</v>
      </c>
      <c r="C46" s="26">
        <f>VLOOKUP(A46,'DSMZ 120 v4'!$I$5:$J$14,2,FALSE)*'DSMZ 120 v4'!$G$19/'DSMZ 120 v4'!$G$23</f>
        <v>0.05</v>
      </c>
      <c r="D46" s="26" t="s">
        <v>16</v>
      </c>
      <c r="E46" s="26">
        <f t="shared" si="0"/>
        <v>1.0492518834071308E-7</v>
      </c>
      <c r="F46" s="25"/>
      <c r="G46" s="28"/>
      <c r="H46" s="25"/>
      <c r="I46" s="25"/>
      <c r="J46" s="178"/>
      <c r="K46" s="27"/>
      <c r="L46" s="27"/>
      <c r="M46" s="25"/>
      <c r="N46" s="25"/>
      <c r="O46" s="25"/>
      <c r="P46" s="25"/>
      <c r="Q46" s="25"/>
      <c r="R46" s="25"/>
      <c r="S46" s="200"/>
      <c r="T46" s="217">
        <f>VLOOKUP(A46,Library!$B$4:$G$69,3,FALSE)</f>
        <v>9</v>
      </c>
      <c r="U46" s="185">
        <f>VLOOKUP(A46,Library!$B$4:$G$69,4,FALSE)</f>
        <v>1</v>
      </c>
      <c r="V46" s="185">
        <f>VLOOKUP(A46,Library!$B$4:$G$69,5,FALSE)</f>
        <v>0</v>
      </c>
      <c r="W46" s="218">
        <f>VLOOKUP(A46,Library!$B$4:$G$69,6,FALSE)</f>
        <v>0</v>
      </c>
      <c r="X46" s="217">
        <f t="shared" si="11"/>
        <v>9.4432669506641772E-7</v>
      </c>
      <c r="Y46" s="185">
        <f t="shared" si="12"/>
        <v>1.0492518834071308E-7</v>
      </c>
      <c r="Z46" s="185">
        <f t="shared" si="13"/>
        <v>0</v>
      </c>
      <c r="AA46" s="218">
        <f t="shared" si="14"/>
        <v>0</v>
      </c>
      <c r="AB46" s="217">
        <f>X46*VLOOKUP($AB$7,Library!$T$4:$U$7,2,FALSE)</f>
        <v>1.1341363607747676E-5</v>
      </c>
      <c r="AC46" s="185">
        <f>Y46*VLOOKUP($AC$7,Library!$T$4:$U$7,2,FALSE)</f>
        <v>1.4700018886533902E-6</v>
      </c>
      <c r="AD46" s="185">
        <f>Z46*VLOOKUP($AD$7,Library!$T$4:$U$7,2,FALSE)</f>
        <v>0</v>
      </c>
      <c r="AE46" s="218">
        <f>AA46*VLOOKUP($AE$7,Library!$T$4:$U$7,2,FALSE)</f>
        <v>0</v>
      </c>
    </row>
    <row r="47" spans="1:31" ht="14.4" x14ac:dyDescent="0.3">
      <c r="A47" s="25" t="s">
        <v>42</v>
      </c>
      <c r="B47" s="25">
        <f>IFERROR(VLOOKUP(A47,Library!$B$4:$G$69,2,FALSE),"")</f>
        <v>1355.37</v>
      </c>
      <c r="C47" s="26">
        <f>VLOOKUP(A47,'DSMZ 120 v4'!$I$5:$J$14,2,FALSE)*'DSMZ 120 v4'!$G$19/'DSMZ 120 v4'!$G$23</f>
        <v>1E-3</v>
      </c>
      <c r="D47" s="26" t="s">
        <v>16</v>
      </c>
      <c r="E47" s="26">
        <f t="shared" si="0"/>
        <v>7.37805912776585E-10</v>
      </c>
      <c r="F47" s="25"/>
      <c r="G47" s="28"/>
      <c r="H47" s="25"/>
      <c r="I47" s="25"/>
      <c r="J47" s="178"/>
      <c r="K47" s="27"/>
      <c r="L47" s="27"/>
      <c r="M47" s="25"/>
      <c r="N47" s="25"/>
      <c r="O47" s="25"/>
      <c r="P47" s="25"/>
      <c r="Q47" s="25"/>
      <c r="R47" s="25"/>
      <c r="S47" s="200"/>
      <c r="T47" s="217">
        <f>VLOOKUP(A47,Library!$B$4:$G$69,3,FALSE)</f>
        <v>70</v>
      </c>
      <c r="U47" s="185">
        <f>VLOOKUP(A47,Library!$B$4:$G$69,4,FALSE)</f>
        <v>14</v>
      </c>
      <c r="V47" s="185">
        <f>VLOOKUP(A47,Library!$B$4:$G$69,5,FALSE)</f>
        <v>0</v>
      </c>
      <c r="W47" s="218">
        <f>VLOOKUP(A47,Library!$B$4:$G$69,6,FALSE)</f>
        <v>1</v>
      </c>
      <c r="X47" s="217">
        <f t="shared" si="11"/>
        <v>5.1646413894360947E-8</v>
      </c>
      <c r="Y47" s="185">
        <f t="shared" si="12"/>
        <v>1.0329282778872189E-8</v>
      </c>
      <c r="Z47" s="185">
        <f t="shared" si="13"/>
        <v>0</v>
      </c>
      <c r="AA47" s="218">
        <f t="shared" si="14"/>
        <v>7.37805912776585E-10</v>
      </c>
      <c r="AB47" s="217">
        <f>X47*VLOOKUP($AB$7,Library!$T$4:$U$7,2,FALSE)</f>
        <v>6.2027343087127501E-7</v>
      </c>
      <c r="AC47" s="185">
        <f>Y47*VLOOKUP($AC$7,Library!$T$4:$U$7,2,FALSE)</f>
        <v>1.4471325173199938E-7</v>
      </c>
      <c r="AD47" s="185">
        <f>Z47*VLOOKUP($AD$7,Library!$T$4:$U$7,2,FALSE)</f>
        <v>0</v>
      </c>
      <c r="AE47" s="218">
        <f>AA47*VLOOKUP($AE$7,Library!$T$4:$U$7,2,FALSE)</f>
        <v>2.366143562274508E-8</v>
      </c>
    </row>
    <row r="48" spans="1:31" ht="14.4" x14ac:dyDescent="0.3">
      <c r="A48" s="25" t="s">
        <v>45</v>
      </c>
      <c r="B48" s="25">
        <f>IFERROR(VLOOKUP(A48,Library!$B$4:$G$69,2,FALSE),"")</f>
        <v>137.13999999999999</v>
      </c>
      <c r="C48" s="26">
        <f>VLOOKUP(A48,'DSMZ 120 v4'!$I$5:$J$14,2,FALSE)*'DSMZ 120 v4'!$G$19/'DSMZ 120 v4'!$G$23</f>
        <v>0.05</v>
      </c>
      <c r="D48" s="26" t="s">
        <v>16</v>
      </c>
      <c r="E48" s="26">
        <f t="shared" si="0"/>
        <v>3.6459092897768708E-7</v>
      </c>
      <c r="F48" s="25"/>
      <c r="G48" s="28"/>
      <c r="H48" s="25"/>
      <c r="I48" s="25"/>
      <c r="J48" s="178"/>
      <c r="K48" s="27"/>
      <c r="L48" s="27"/>
      <c r="M48" s="25"/>
      <c r="N48" s="25"/>
      <c r="O48" s="25"/>
      <c r="P48" s="25"/>
      <c r="Q48" s="25"/>
      <c r="R48" s="25"/>
      <c r="S48" s="200"/>
      <c r="T48" s="217">
        <f>VLOOKUP(A48,Library!$B$4:$G$69,3,FALSE)</f>
        <v>7</v>
      </c>
      <c r="U48" s="185">
        <f>VLOOKUP(A48,Library!$B$4:$G$69,4,FALSE)</f>
        <v>1</v>
      </c>
      <c r="V48" s="185">
        <f>VLOOKUP(A48,Library!$B$4:$G$69,5,FALSE)</f>
        <v>0</v>
      </c>
      <c r="W48" s="218">
        <f>VLOOKUP(A48,Library!$B$4:$G$69,6,FALSE)</f>
        <v>0</v>
      </c>
      <c r="X48" s="217">
        <f t="shared" si="11"/>
        <v>2.5521365028438097E-6</v>
      </c>
      <c r="Y48" s="185">
        <f t="shared" si="12"/>
        <v>3.6459092897768708E-7</v>
      </c>
      <c r="Z48" s="185">
        <f t="shared" si="13"/>
        <v>0</v>
      </c>
      <c r="AA48" s="218">
        <f t="shared" si="14"/>
        <v>0</v>
      </c>
      <c r="AB48" s="217">
        <f>X48*VLOOKUP($AB$7,Library!$T$4:$U$7,2,FALSE)</f>
        <v>3.0651159399154156E-5</v>
      </c>
      <c r="AC48" s="185">
        <f>Y48*VLOOKUP($AC$7,Library!$T$4:$U$7,2,FALSE)</f>
        <v>5.107918914977396E-6</v>
      </c>
      <c r="AD48" s="185">
        <f>Z48*VLOOKUP($AD$7,Library!$T$4:$U$7,2,FALSE)</f>
        <v>0</v>
      </c>
      <c r="AE48" s="218">
        <f>AA48*VLOOKUP($AE$7,Library!$T$4:$U$7,2,FALSE)</f>
        <v>0</v>
      </c>
    </row>
    <row r="49" spans="1:31" ht="14.4" x14ac:dyDescent="0.3">
      <c r="A49" s="25" t="s">
        <v>288</v>
      </c>
      <c r="B49" s="25">
        <f>IFERROR(VLOOKUP(A49,Library!$B$4:$G$69,2,FALSE),"")</f>
        <v>206.33</v>
      </c>
      <c r="C49" s="26">
        <f>VLOOKUP(A49,'DSMZ 120 v4'!$I$5:$J$14,2,FALSE)*'DSMZ 120 v4'!$G$19/'DSMZ 120 v4'!$G$23</f>
        <v>0.05</v>
      </c>
      <c r="D49" s="26" t="s">
        <v>16</v>
      </c>
      <c r="E49" s="26">
        <f t="shared" si="0"/>
        <v>2.4233024766151311E-7</v>
      </c>
      <c r="F49" s="25"/>
      <c r="G49" s="28"/>
      <c r="H49" s="25"/>
      <c r="I49" s="25"/>
      <c r="J49" s="178"/>
      <c r="K49" s="27"/>
      <c r="L49" s="27"/>
      <c r="M49" s="25"/>
      <c r="N49" s="25"/>
      <c r="O49" s="25"/>
      <c r="P49" s="25"/>
      <c r="Q49" s="25"/>
      <c r="R49" s="25"/>
      <c r="S49" s="200"/>
      <c r="T49" s="217">
        <f>VLOOKUP(A49,Library!$B$4:$G$69,3,FALSE)</f>
        <v>8</v>
      </c>
      <c r="U49" s="185">
        <f>VLOOKUP(A49,Library!$B$4:$G$69,4,FALSE)</f>
        <v>0</v>
      </c>
      <c r="V49" s="185">
        <f>VLOOKUP(A49,Library!$B$4:$G$69,5,FALSE)</f>
        <v>0</v>
      </c>
      <c r="W49" s="218">
        <f>VLOOKUP(A49,Library!$B$4:$G$69,6,FALSE)</f>
        <v>2</v>
      </c>
      <c r="X49" s="217">
        <f t="shared" si="11"/>
        <v>1.9386419812921049E-6</v>
      </c>
      <c r="Y49" s="185">
        <f t="shared" si="12"/>
        <v>0</v>
      </c>
      <c r="Z49" s="185">
        <f t="shared" si="13"/>
        <v>0</v>
      </c>
      <c r="AA49" s="218">
        <f t="shared" si="14"/>
        <v>4.8466049532302623E-7</v>
      </c>
      <c r="AB49" s="217">
        <f>X49*VLOOKUP($AB$7,Library!$T$4:$U$7,2,FALSE)</f>
        <v>2.3283090195318181E-5</v>
      </c>
      <c r="AC49" s="185">
        <f>Y49*VLOOKUP($AC$7,Library!$T$4:$U$7,2,FALSE)</f>
        <v>0</v>
      </c>
      <c r="AD49" s="185">
        <f>Z49*VLOOKUP($AD$7,Library!$T$4:$U$7,2,FALSE)</f>
        <v>0</v>
      </c>
      <c r="AE49" s="218">
        <f>AA49*VLOOKUP($AE$7,Library!$T$4:$U$7,2,FALSE)</f>
        <v>1.5543062085009453E-5</v>
      </c>
    </row>
    <row r="50" spans="1:31" ht="14.4" x14ac:dyDescent="0.3">
      <c r="A50" s="69"/>
      <c r="C50" s="6"/>
      <c r="D50" s="6"/>
      <c r="E50" s="6"/>
      <c r="Q50" s="6"/>
      <c r="AB50" s="1"/>
    </row>
    <row r="51" spans="1:31" ht="14.4" x14ac:dyDescent="0.3">
      <c r="A51" t="s">
        <v>126</v>
      </c>
      <c r="C51" s="6"/>
      <c r="D51" s="6"/>
      <c r="E51" s="6"/>
      <c r="Q51" s="6"/>
    </row>
    <row r="52" spans="1:31" ht="14.4" x14ac:dyDescent="0.3">
      <c r="A52" s="7" t="s">
        <v>278</v>
      </c>
      <c r="B52" s="97"/>
      <c r="E52" s="6"/>
      <c r="Q52" s="6"/>
    </row>
    <row r="53" spans="1:31" ht="14.4" x14ac:dyDescent="0.3">
      <c r="A53" s="71" t="s">
        <v>98</v>
      </c>
      <c r="B53" s="71" t="s">
        <v>322</v>
      </c>
      <c r="C53" s="71" t="s">
        <v>103</v>
      </c>
      <c r="D53" s="206" t="s">
        <v>321</v>
      </c>
    </row>
    <row r="54" spans="1:31" ht="14.4" x14ac:dyDescent="0.3">
      <c r="A54" s="70" t="s">
        <v>63</v>
      </c>
      <c r="B54" s="70">
        <f t="shared" ref="B54:B66" si="17">SUMIF($F$9:$F$49,A54,$L$9:$L$49)*1000</f>
        <v>1188.5646043802831</v>
      </c>
      <c r="C54" s="70">
        <f>SUMIF($F$10:$F$49,A54,$I$10:$I$49)</f>
        <v>4.099945068138635E-2</v>
      </c>
      <c r="D54" s="207">
        <f>SUMIF($F$10:$F$49,A54,$K$10:$K$49)</f>
        <v>4.099945068138635E-2</v>
      </c>
    </row>
    <row r="55" spans="1:31" ht="14.4" x14ac:dyDescent="0.3">
      <c r="A55" s="70" t="s">
        <v>64</v>
      </c>
      <c r="B55" s="70">
        <f t="shared" si="17"/>
        <v>49.304203180785464</v>
      </c>
      <c r="C55" s="70">
        <f t="shared" ref="C55:C66" si="18">SUMIF($F$10:$F$49,A55,$I$10:$I$49)</f>
        <v>2.0285621551444336E-3</v>
      </c>
      <c r="D55" s="207">
        <f t="shared" ref="D55:D66" si="19">SUMIF($F$10:$F$49,A55,$K$10:$K$49)</f>
        <v>8.1142486205777343E-3</v>
      </c>
    </row>
    <row r="56" spans="1:31" ht="14.4" x14ac:dyDescent="0.3">
      <c r="A56" s="70" t="s">
        <v>65</v>
      </c>
      <c r="B56" s="70">
        <f t="shared" si="17"/>
        <v>68.155227535541798</v>
      </c>
      <c r="C56" s="70">
        <f t="shared" si="18"/>
        <v>1.7005645874430312E-3</v>
      </c>
      <c r="D56" s="207">
        <f t="shared" si="19"/>
        <v>6.8022583497721247E-3</v>
      </c>
    </row>
    <row r="57" spans="1:31" ht="14.4" x14ac:dyDescent="0.3">
      <c r="A57" s="70" t="s">
        <v>66</v>
      </c>
      <c r="B57" s="70">
        <f t="shared" si="17"/>
        <v>203.78712914151316</v>
      </c>
      <c r="C57" s="70">
        <f t="shared" si="18"/>
        <v>5.2127736147806851E-3</v>
      </c>
      <c r="D57" s="207">
        <f t="shared" si="19"/>
        <v>5.2127736147806851E-3</v>
      </c>
    </row>
    <row r="58" spans="1:31" ht="14.4" x14ac:dyDescent="0.3">
      <c r="A58" s="70" t="s">
        <v>71</v>
      </c>
      <c r="B58" s="70">
        <f t="shared" si="17"/>
        <v>0</v>
      </c>
      <c r="C58" s="70">
        <f t="shared" si="18"/>
        <v>0</v>
      </c>
      <c r="D58" s="207">
        <f t="shared" si="19"/>
        <v>0</v>
      </c>
    </row>
    <row r="59" spans="1:31" ht="14.4" x14ac:dyDescent="0.3">
      <c r="A59" s="70" t="s">
        <v>72</v>
      </c>
      <c r="B59" s="70">
        <f t="shared" si="17"/>
        <v>5.9263410324372082E-3</v>
      </c>
      <c r="C59" s="70">
        <f t="shared" si="18"/>
        <v>1.0097185409567084E-7</v>
      </c>
      <c r="D59" s="207">
        <f t="shared" si="19"/>
        <v>4.0388741638268334E-7</v>
      </c>
    </row>
    <row r="60" spans="1:31" ht="14.4" x14ac:dyDescent="0.3">
      <c r="A60" s="70" t="s">
        <v>73</v>
      </c>
      <c r="B60" s="70">
        <f t="shared" si="17"/>
        <v>3.3860315356959429E-2</v>
      </c>
      <c r="C60" s="70">
        <f t="shared" si="18"/>
        <v>5.1361068310220855E-7</v>
      </c>
      <c r="D60" s="207">
        <f t="shared" si="19"/>
        <v>2.0544427324088342E-6</v>
      </c>
    </row>
    <row r="61" spans="1:31" ht="14.4" x14ac:dyDescent="0.3">
      <c r="A61" s="70" t="s">
        <v>74</v>
      </c>
      <c r="B61" s="70">
        <f t="shared" si="17"/>
        <v>2.7760092971552727E-2</v>
      </c>
      <c r="C61" s="70">
        <f t="shared" si="18"/>
        <v>5.0528017785862262E-7</v>
      </c>
      <c r="D61" s="207">
        <f t="shared" si="19"/>
        <v>2.0211207114344905E-6</v>
      </c>
    </row>
    <row r="62" spans="1:31" ht="14.4" x14ac:dyDescent="0.3">
      <c r="A62" s="70" t="s">
        <v>75</v>
      </c>
      <c r="B62" s="70">
        <f t="shared" si="17"/>
        <v>4.7061346194258814E-2</v>
      </c>
      <c r="C62" s="70">
        <f t="shared" si="18"/>
        <v>7.9855419661244901E-7</v>
      </c>
      <c r="D62" s="207">
        <f t="shared" si="19"/>
        <v>3.1942167864497961E-6</v>
      </c>
    </row>
    <row r="63" spans="1:31" ht="14.4" x14ac:dyDescent="0.3">
      <c r="A63" s="70" t="s">
        <v>78</v>
      </c>
      <c r="B63" s="70">
        <f t="shared" si="17"/>
        <v>168.62965040194428</v>
      </c>
      <c r="C63" s="70">
        <f t="shared" si="18"/>
        <v>9.3475415965601043E-3</v>
      </c>
      <c r="D63" s="207">
        <f t="shared" si="19"/>
        <v>9.3475415965601043E-3</v>
      </c>
    </row>
    <row r="64" spans="1:31" ht="14.4" x14ac:dyDescent="0.3">
      <c r="A64" s="70" t="s">
        <v>80</v>
      </c>
      <c r="B64" s="70">
        <f t="shared" si="17"/>
        <v>0.70645135396297809</v>
      </c>
      <c r="C64" s="70">
        <f t="shared" si="18"/>
        <v>1.2650216742107225E-5</v>
      </c>
      <c r="D64" s="207">
        <f t="shared" si="19"/>
        <v>5.0600866968428902E-5</v>
      </c>
    </row>
    <row r="65" spans="1:7" ht="14.4" x14ac:dyDescent="0.3">
      <c r="A65" s="70" t="s">
        <v>114</v>
      </c>
      <c r="B65" s="70">
        <f t="shared" si="17"/>
        <v>0</v>
      </c>
      <c r="C65" s="70">
        <f t="shared" si="18"/>
        <v>0</v>
      </c>
      <c r="D65" s="207">
        <f t="shared" si="19"/>
        <v>0</v>
      </c>
    </row>
    <row r="66" spans="1:7" ht="14.4" x14ac:dyDescent="0.3">
      <c r="A66" s="70" t="s">
        <v>81</v>
      </c>
      <c r="B66" s="70">
        <f t="shared" si="17"/>
        <v>2.2003754106053497E-3</v>
      </c>
      <c r="C66" s="70">
        <f t="shared" si="18"/>
        <v>1.1731581417175035E-8</v>
      </c>
      <c r="D66" s="207">
        <f t="shared" si="19"/>
        <v>4.692632566870014E-8</v>
      </c>
    </row>
    <row r="67" spans="1:7" ht="14.4" x14ac:dyDescent="0.3">
      <c r="A67" s="71" t="s">
        <v>99</v>
      </c>
      <c r="B67" s="71" t="s">
        <v>322</v>
      </c>
      <c r="C67" s="71" t="s">
        <v>103</v>
      </c>
      <c r="D67" s="206" t="s">
        <v>321</v>
      </c>
    </row>
    <row r="68" spans="1:7" ht="14.4" x14ac:dyDescent="0.3">
      <c r="A68" s="70" t="s">
        <v>70</v>
      </c>
      <c r="B68" s="70">
        <f t="shared" ref="B68:B81" si="20">SUMIF($M$9:$M$49,A68,$S$9:$S$49)*1000</f>
        <v>1881.0544451222488</v>
      </c>
      <c r="C68" s="70">
        <f>SUMIF($M$10:$M$42,A68,$P$10:$P$49)</f>
        <v>5.3057694556800525E-2</v>
      </c>
      <c r="D68" s="207">
        <f>SUMIF($M$10:$M$49,A68,$R$10:$R$49)</f>
        <v>5.3057694556800525E-2</v>
      </c>
    </row>
    <row r="69" spans="1:7" ht="14.4" x14ac:dyDescent="0.3">
      <c r="A69" s="70" t="s">
        <v>69</v>
      </c>
      <c r="B69" s="70">
        <f t="shared" si="20"/>
        <v>195.35409810752253</v>
      </c>
      <c r="C69" s="70">
        <f t="shared" ref="C69:C81" si="21">SUMIF($M$10:$M$42,A69,$P$10:$P$49)</f>
        <v>2.133479889296676E-3</v>
      </c>
      <c r="D69" s="207">
        <f t="shared" ref="D69:D81" si="22">SUMIF($M$10:$M$49,A69,$R$10:$R$49)</f>
        <v>8.5339195571867039E-3</v>
      </c>
    </row>
    <row r="70" spans="1:7" ht="14.4" x14ac:dyDescent="0.3">
      <c r="A70" s="70" t="s">
        <v>67</v>
      </c>
      <c r="B70" s="70">
        <f t="shared" si="20"/>
        <v>0</v>
      </c>
      <c r="C70" s="70">
        <f t="shared" si="21"/>
        <v>0</v>
      </c>
      <c r="D70" s="207">
        <f t="shared" si="22"/>
        <v>0</v>
      </c>
    </row>
    <row r="71" spans="1:7" ht="14.4" x14ac:dyDescent="0.3">
      <c r="A71" s="70" t="s">
        <v>68</v>
      </c>
      <c r="B71" s="70">
        <f t="shared" si="20"/>
        <v>0</v>
      </c>
      <c r="C71" s="70">
        <f t="shared" si="21"/>
        <v>0</v>
      </c>
      <c r="D71" s="207">
        <f t="shared" si="22"/>
        <v>0</v>
      </c>
    </row>
    <row r="72" spans="1:7" ht="14.4" x14ac:dyDescent="0.3">
      <c r="A72" s="70" t="s">
        <v>79</v>
      </c>
      <c r="B72" s="70">
        <f t="shared" si="20"/>
        <v>0</v>
      </c>
      <c r="C72" s="70">
        <f t="shared" si="21"/>
        <v>0</v>
      </c>
      <c r="D72" s="207">
        <f t="shared" si="22"/>
        <v>0</v>
      </c>
    </row>
    <row r="73" spans="1:7" ht="14.4" x14ac:dyDescent="0.3">
      <c r="A73" s="70" t="s">
        <v>82</v>
      </c>
      <c r="B73" s="70">
        <f t="shared" si="20"/>
        <v>369.65178237392814</v>
      </c>
      <c r="C73" s="70">
        <f t="shared" si="21"/>
        <v>3.8923005409490169E-3</v>
      </c>
      <c r="D73" s="207">
        <f t="shared" si="22"/>
        <v>3.5030704868541158E-2</v>
      </c>
      <c r="G73" s="7"/>
    </row>
    <row r="74" spans="1:7" ht="14.4" x14ac:dyDescent="0.3">
      <c r="A74" s="70" t="s">
        <v>113</v>
      </c>
      <c r="B74" s="70">
        <f t="shared" si="20"/>
        <v>5.7069383794274625E-3</v>
      </c>
      <c r="C74" s="70">
        <f t="shared" si="21"/>
        <v>9.7040271712760799E-8</v>
      </c>
      <c r="D74" s="207">
        <f t="shared" si="22"/>
        <v>8.7336244541484721E-7</v>
      </c>
    </row>
    <row r="75" spans="1:7" ht="14.4" x14ac:dyDescent="0.3">
      <c r="A75" s="70" t="s">
        <v>112</v>
      </c>
      <c r="B75" s="70">
        <f t="shared" si="20"/>
        <v>0</v>
      </c>
      <c r="C75" s="70">
        <f t="shared" si="21"/>
        <v>0</v>
      </c>
      <c r="D75" s="207">
        <f t="shared" si="22"/>
        <v>0</v>
      </c>
    </row>
    <row r="76" spans="1:7" ht="14.4" x14ac:dyDescent="0.3">
      <c r="A76" s="70" t="s">
        <v>76</v>
      </c>
      <c r="B76" s="70">
        <f t="shared" si="20"/>
        <v>2.3799132052076878E-2</v>
      </c>
      <c r="C76" s="70">
        <f t="shared" si="21"/>
        <v>1.4879107253564788E-7</v>
      </c>
      <c r="D76" s="207">
        <f t="shared" si="22"/>
        <v>5.9516429014259153E-7</v>
      </c>
    </row>
    <row r="77" spans="1:7" ht="14.4" x14ac:dyDescent="0.3">
      <c r="A77" s="70" t="s">
        <v>79</v>
      </c>
      <c r="B77" s="70">
        <f t="shared" si="20"/>
        <v>0</v>
      </c>
      <c r="C77" s="70">
        <f t="shared" si="21"/>
        <v>0</v>
      </c>
      <c r="D77" s="207">
        <f t="shared" si="22"/>
        <v>0</v>
      </c>
    </row>
    <row r="78" spans="1:7" ht="14.4" x14ac:dyDescent="0.3">
      <c r="A78" s="70" t="s">
        <v>115</v>
      </c>
      <c r="B78" s="70">
        <f t="shared" si="20"/>
        <v>0</v>
      </c>
      <c r="C78" s="70">
        <f t="shared" si="21"/>
        <v>0</v>
      </c>
      <c r="D78" s="207">
        <f t="shared" si="22"/>
        <v>0</v>
      </c>
    </row>
    <row r="79" spans="1:7" ht="14.4" x14ac:dyDescent="0.3">
      <c r="A79" s="70" t="s">
        <v>84</v>
      </c>
      <c r="B79" s="70">
        <f t="shared" si="20"/>
        <v>40.051211591306512</v>
      </c>
      <c r="C79" s="70">
        <f t="shared" si="21"/>
        <v>1.2490632025980513E-3</v>
      </c>
      <c r="D79" s="207">
        <f t="shared" si="22"/>
        <v>4.9962528103922052E-3</v>
      </c>
    </row>
    <row r="80" spans="1:7" ht="14.4" x14ac:dyDescent="0.3">
      <c r="A80" s="70" t="s">
        <v>119</v>
      </c>
      <c r="B80" s="70">
        <f t="shared" si="20"/>
        <v>0</v>
      </c>
      <c r="C80" s="70">
        <f t="shared" si="21"/>
        <v>0</v>
      </c>
      <c r="D80" s="207">
        <f t="shared" si="22"/>
        <v>0</v>
      </c>
    </row>
    <row r="81" spans="1:4" ht="14.4" x14ac:dyDescent="0.3">
      <c r="A81" s="70" t="s">
        <v>299</v>
      </c>
      <c r="B81" s="70">
        <f t="shared" si="20"/>
        <v>0</v>
      </c>
      <c r="C81" s="70">
        <f t="shared" si="21"/>
        <v>0</v>
      </c>
      <c r="D81" s="207">
        <f t="shared" si="22"/>
        <v>0</v>
      </c>
    </row>
    <row r="82" spans="1:4" ht="14.4" x14ac:dyDescent="0.3">
      <c r="A82" s="71" t="s">
        <v>356</v>
      </c>
      <c r="B82" s="70" t="s">
        <v>322</v>
      </c>
      <c r="C82" s="70"/>
    </row>
    <row r="83" spans="1:4" ht="14.4" x14ac:dyDescent="0.3">
      <c r="A83" t="s">
        <v>116</v>
      </c>
      <c r="B83" s="70">
        <f>B78*78.96/126.96</f>
        <v>0</v>
      </c>
      <c r="C83" s="70"/>
    </row>
    <row r="84" spans="1:4" ht="14.4" x14ac:dyDescent="0.3">
      <c r="A84" t="s">
        <v>87</v>
      </c>
      <c r="B84" s="70">
        <f>B76*95.95/159.95</f>
        <v>1.4276503409795416E-2</v>
      </c>
      <c r="C84" s="70"/>
    </row>
    <row r="85" spans="1:4" ht="14.4" x14ac:dyDescent="0.3">
      <c r="A85" t="s">
        <v>88</v>
      </c>
      <c r="B85" s="70">
        <f>B74*10.911/58.81</f>
        <v>1.0588064046579331E-3</v>
      </c>
      <c r="C85" s="70"/>
    </row>
    <row r="86" spans="1:4" ht="14.4" x14ac:dyDescent="0.3">
      <c r="A86" t="s">
        <v>393</v>
      </c>
      <c r="B86" s="70">
        <f>C30*Library!C14/Library!C15*1000</f>
        <v>206.95780903034787</v>
      </c>
      <c r="C86" s="70"/>
    </row>
    <row r="87" spans="1:4" ht="14.4" x14ac:dyDescent="0.3">
      <c r="A87" t="str">
        <f>A33</f>
        <v>Yeast Extract</v>
      </c>
      <c r="B87" s="70">
        <f>VLOOKUP(A87,$A$33:$D$38,3,FALSE)*1000</f>
        <v>0</v>
      </c>
      <c r="C87" s="70"/>
    </row>
    <row r="88" spans="1:4" ht="14.4" x14ac:dyDescent="0.3">
      <c r="A88" t="str">
        <f>A34</f>
        <v>Casitone</v>
      </c>
      <c r="B88" s="70">
        <f t="shared" ref="B88:B90" si="23">VLOOKUP(A88,$A$33:$D$38,3,FALSE)*1000</f>
        <v>0</v>
      </c>
      <c r="C88" s="70"/>
    </row>
    <row r="89" spans="1:4" ht="14.4" x14ac:dyDescent="0.3">
      <c r="A89" t="str">
        <f>A38</f>
        <v>Methanol</v>
      </c>
      <c r="B89" s="70">
        <f t="shared" si="23"/>
        <v>0</v>
      </c>
      <c r="C89" s="70"/>
    </row>
    <row r="90" spans="1:4" ht="14.4" x14ac:dyDescent="0.3">
      <c r="A90" t="s">
        <v>295</v>
      </c>
      <c r="B90" s="70">
        <f t="shared" si="23"/>
        <v>0</v>
      </c>
      <c r="C90" s="70"/>
    </row>
    <row r="91" spans="1:4" ht="14.4" x14ac:dyDescent="0.3">
      <c r="A91" s="71" t="s">
        <v>315</v>
      </c>
      <c r="B91" s="71" t="s">
        <v>322</v>
      </c>
      <c r="C91" s="71" t="s">
        <v>61</v>
      </c>
    </row>
    <row r="92" spans="1:4" ht="14.4" x14ac:dyDescent="0.3">
      <c r="A92" s="70" t="s">
        <v>44</v>
      </c>
      <c r="B92" s="70">
        <f>SUM(AD10:AD49)*1000</f>
        <v>120.54454775319105</v>
      </c>
      <c r="C92" s="70">
        <f>SUM(Z10:Z49)</f>
        <v>3.8923005409490169E-3</v>
      </c>
    </row>
    <row r="93" spans="1:4" ht="14.4" x14ac:dyDescent="0.3">
      <c r="A93" s="70" t="s">
        <v>47</v>
      </c>
      <c r="B93" s="70">
        <f>SUM(AC10:AC49)*1000</f>
        <v>154.92761073977618</v>
      </c>
      <c r="C93" s="70">
        <f>SUM(Y10:Y49)</f>
        <v>1.1058359082068248E-2</v>
      </c>
    </row>
    <row r="94" spans="1:4" ht="15" customHeight="1" x14ac:dyDescent="0.3">
      <c r="A94" s="70" t="s">
        <v>196</v>
      </c>
      <c r="B94" s="70">
        <f>SUM(AE10:AE49)*1000</f>
        <v>163.28103847554888</v>
      </c>
      <c r="C94" s="70">
        <f>SUM(AA10:AA49)</f>
        <v>5.091395025742091E-3</v>
      </c>
    </row>
    <row r="95" spans="1:4" ht="15" customHeight="1" x14ac:dyDescent="0.3">
      <c r="A95" s="70" t="s">
        <v>51</v>
      </c>
      <c r="B95" s="70">
        <f>SUM(AB10:AB49)*1000</f>
        <v>61.754700542793707</v>
      </c>
      <c r="C95" s="70">
        <f>SUM(X10:X49)</f>
        <v>5.1419400951535155E-3</v>
      </c>
    </row>
    <row r="96" spans="1:4" ht="15" customHeight="1" x14ac:dyDescent="0.3">
      <c r="A96" s="209" t="s">
        <v>320</v>
      </c>
      <c r="B96" s="209" t="s">
        <v>325</v>
      </c>
      <c r="C96" s="71" t="s">
        <v>61</v>
      </c>
    </row>
    <row r="97" spans="1:3" ht="15" customHeight="1" x14ac:dyDescent="0.3">
      <c r="A97" t="s">
        <v>15</v>
      </c>
      <c r="B97" s="99">
        <f>VLOOKUP(A97,$A$40:$E$49,3,FALSE)*1000</f>
        <v>20</v>
      </c>
      <c r="C97" s="99">
        <f>VLOOKUP(A97,$A$40:$E$49,5,FALSE)</f>
        <v>8.1863206581801814E-8</v>
      </c>
    </row>
    <row r="98" spans="1:3" ht="15" customHeight="1" x14ac:dyDescent="0.3">
      <c r="A98" t="s">
        <v>19</v>
      </c>
      <c r="B98" s="99">
        <f t="shared" ref="B98:B106" si="24">VLOOKUP(A98,$A$40:$E$49,3,FALSE)*1000</f>
        <v>20</v>
      </c>
      <c r="C98" s="99">
        <f t="shared" ref="C98:C106" si="25">VLOOKUP(A98,$A$40:$E$49,5,FALSE)</f>
        <v>4.5310376076121436E-8</v>
      </c>
    </row>
    <row r="99" spans="1:3" ht="15" customHeight="1" x14ac:dyDescent="0.3">
      <c r="A99" t="s">
        <v>120</v>
      </c>
      <c r="B99" s="99">
        <f t="shared" si="24"/>
        <v>100</v>
      </c>
      <c r="C99" s="99">
        <f t="shared" si="25"/>
        <v>4.8628671464695592E-7</v>
      </c>
    </row>
    <row r="100" spans="1:3" ht="15" customHeight="1" x14ac:dyDescent="0.3">
      <c r="A100" t="s">
        <v>121</v>
      </c>
      <c r="B100" s="99">
        <f t="shared" si="24"/>
        <v>50</v>
      </c>
      <c r="C100" s="99">
        <f t="shared" si="25"/>
        <v>1.4824917721706646E-7</v>
      </c>
    </row>
    <row r="101" spans="1:3" ht="15" customHeight="1" x14ac:dyDescent="0.3">
      <c r="A101" t="s">
        <v>30</v>
      </c>
      <c r="B101" s="99">
        <f t="shared" si="24"/>
        <v>50</v>
      </c>
      <c r="C101" s="99">
        <f t="shared" si="25"/>
        <v>1.3284799532375059E-7</v>
      </c>
    </row>
    <row r="102" spans="1:3" ht="15" customHeight="1" x14ac:dyDescent="0.3">
      <c r="A102" t="s">
        <v>34</v>
      </c>
      <c r="B102" s="99">
        <f t="shared" si="24"/>
        <v>50</v>
      </c>
      <c r="C102" s="99">
        <f t="shared" si="25"/>
        <v>4.0614084964665748E-7</v>
      </c>
    </row>
    <row r="103" spans="1:3" ht="15" customHeight="1" x14ac:dyDescent="0.3">
      <c r="A103" t="s">
        <v>122</v>
      </c>
      <c r="B103" s="99">
        <f t="shared" si="24"/>
        <v>50</v>
      </c>
      <c r="C103" s="99">
        <f t="shared" si="25"/>
        <v>1.0492518834071308E-7</v>
      </c>
    </row>
    <row r="104" spans="1:3" ht="15" customHeight="1" x14ac:dyDescent="0.3">
      <c r="A104" t="s">
        <v>42</v>
      </c>
      <c r="B104" s="99">
        <f t="shared" si="24"/>
        <v>1</v>
      </c>
      <c r="C104" s="99">
        <f t="shared" si="25"/>
        <v>7.37805912776585E-10</v>
      </c>
    </row>
    <row r="105" spans="1:3" ht="15" customHeight="1" x14ac:dyDescent="0.3">
      <c r="A105" t="s">
        <v>45</v>
      </c>
      <c r="B105" s="99">
        <f t="shared" si="24"/>
        <v>50</v>
      </c>
      <c r="C105" s="99">
        <f t="shared" si="25"/>
        <v>3.6459092897768708E-7</v>
      </c>
    </row>
    <row r="106" spans="1:3" ht="15" customHeight="1" x14ac:dyDescent="0.3">
      <c r="A106" t="s">
        <v>288</v>
      </c>
      <c r="B106" s="99">
        <f t="shared" si="24"/>
        <v>50</v>
      </c>
      <c r="C106" s="99">
        <f t="shared" si="25"/>
        <v>2.4233024766151311E-7</v>
      </c>
    </row>
    <row r="107" spans="1:3" ht="15" customHeight="1" x14ac:dyDescent="0.3">
      <c r="A107" s="25" t="s">
        <v>22</v>
      </c>
      <c r="B107" s="289">
        <f>B99*169.18/205.64</f>
        <v>82.269986383971997</v>
      </c>
      <c r="C107" s="99"/>
    </row>
    <row r="108" spans="1:3" ht="15" customHeight="1" x14ac:dyDescent="0.3">
      <c r="A108" s="25" t="s">
        <v>26</v>
      </c>
      <c r="B108" s="289">
        <f>B100*265.36/337.27</f>
        <v>39.339401666320754</v>
      </c>
      <c r="C108" s="99"/>
    </row>
    <row r="109" spans="1:3" ht="15" customHeight="1" x14ac:dyDescent="0.3">
      <c r="A109" s="25" t="s">
        <v>38</v>
      </c>
      <c r="B109" s="289">
        <f>B103</f>
        <v>50</v>
      </c>
      <c r="C109" s="99"/>
    </row>
    <row r="110" spans="1:3" ht="15" customHeight="1" x14ac:dyDescent="0.3">
      <c r="A110" s="25" t="s">
        <v>49</v>
      </c>
      <c r="B110" s="289">
        <f>B106</f>
        <v>50</v>
      </c>
      <c r="C110" s="99"/>
    </row>
    <row r="111" spans="1:3" ht="15" customHeight="1" x14ac:dyDescent="0.3">
      <c r="A111" s="181" t="s">
        <v>123</v>
      </c>
      <c r="B111" s="289">
        <f>B106</f>
        <v>50</v>
      </c>
      <c r="C111" s="99"/>
    </row>
    <row r="112" spans="1:3" ht="15" customHeight="1" x14ac:dyDescent="0.3">
      <c r="A112" s="7" t="s">
        <v>279</v>
      </c>
      <c r="B112" s="269">
        <f>SUM(B54:B58,B68:B72)/1000</f>
        <v>3.5862197074678948</v>
      </c>
      <c r="C112" s="99" t="s">
        <v>97</v>
      </c>
    </row>
    <row r="113" spans="1:3" ht="15" customHeight="1" x14ac:dyDescent="0.3">
      <c r="A113" s="7" t="s">
        <v>4</v>
      </c>
      <c r="B113" s="269">
        <f>SUM(D54:D66,D68:D80)/2</f>
        <v>8.6077317321836946E-2</v>
      </c>
      <c r="C113" s="99" t="e">
        <f>VLOOKUP(A113,$A$44:$E$49,5,FALSE)</f>
        <v>#N/A</v>
      </c>
    </row>
    <row r="124" spans="1:3" ht="15" customHeight="1" x14ac:dyDescent="0.3">
      <c r="A124" s="7"/>
      <c r="B124" s="7"/>
      <c r="C124" s="7"/>
    </row>
    <row r="129" spans="1:3" ht="15" customHeight="1" x14ac:dyDescent="0.3">
      <c r="A129" s="7"/>
      <c r="B129" s="7"/>
      <c r="C129" s="7"/>
    </row>
  </sheetData>
  <pageMargins left="0.7" right="0.7" top="0.75" bottom="0.75" header="0.3" footer="0.3"/>
  <pageSetup scale="42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651AB-920A-4F68-8522-2CFA907B2029}">
  <sheetPr>
    <tabColor rgb="FFFF0000"/>
    <pageSetUpPr fitToPage="1"/>
  </sheetPr>
  <dimension ref="A1:BH122"/>
  <sheetViews>
    <sheetView topLeftCell="A84" workbookViewId="0">
      <selection activeCell="H56" sqref="H56"/>
    </sheetView>
  </sheetViews>
  <sheetFormatPr defaultColWidth="9.109375" defaultRowHeight="15" customHeight="1" x14ac:dyDescent="0.3"/>
  <cols>
    <col min="1" max="1" width="31.44140625" customWidth="1"/>
    <col min="2" max="2" width="11.77734375" customWidth="1"/>
    <col min="3" max="3" width="10.109375" customWidth="1"/>
    <col min="4" max="4" width="13.109375" customWidth="1"/>
    <col min="5" max="5" width="10.88671875" customWidth="1"/>
    <col min="6" max="7" width="9.109375" customWidth="1"/>
    <col min="8" max="8" width="9.88671875" customWidth="1"/>
    <col min="9" max="9" width="8.109375" customWidth="1"/>
    <col min="10" max="10" width="7.109375" customWidth="1"/>
    <col min="11" max="11" width="9.5546875" customWidth="1"/>
    <col min="12" max="14" width="8.5546875" customWidth="1"/>
    <col min="15" max="15" width="8.109375" customWidth="1"/>
    <col min="16" max="16" width="7.88671875" style="3" customWidth="1"/>
    <col min="17" max="17" width="9.109375" style="3" customWidth="1"/>
    <col min="18" max="20" width="11.109375" style="3" customWidth="1"/>
    <col min="21" max="29" width="9.109375" style="3" customWidth="1"/>
    <col min="30" max="30" width="17.88671875" customWidth="1"/>
    <col min="31" max="31" width="12.44140625" customWidth="1"/>
    <col min="32" max="32" width="10.6640625" customWidth="1"/>
    <col min="33" max="33" width="8.109375" customWidth="1"/>
    <col min="34" max="34" width="6.44140625" customWidth="1"/>
    <col min="35" max="42" width="12" bestFit="1" customWidth="1"/>
    <col min="43" max="45" width="17.88671875" customWidth="1"/>
    <col min="46" max="46" width="9.21875" customWidth="1"/>
    <col min="47" max="48" width="17.88671875" customWidth="1"/>
    <col min="49" max="49" width="9.44140625" customWidth="1"/>
    <col min="50" max="51" width="8.88671875" customWidth="1"/>
    <col min="52" max="52" width="14.44140625" customWidth="1"/>
    <col min="53" max="53" width="13.109375" customWidth="1"/>
    <col min="54" max="55" width="13.88671875" customWidth="1"/>
    <col min="56" max="57" width="15.109375" customWidth="1"/>
    <col min="58" max="58" width="12.109375" customWidth="1"/>
    <col min="59" max="59" width="10.109375" customWidth="1"/>
  </cols>
  <sheetData>
    <row r="1" spans="1:60" ht="48" customHeight="1" x14ac:dyDescent="0.35">
      <c r="A1" s="47" t="s">
        <v>90</v>
      </c>
      <c r="B1" s="47"/>
      <c r="BC1" s="83"/>
    </row>
    <row r="2" spans="1:60" ht="14.4" x14ac:dyDescent="0.3">
      <c r="A2" t="s">
        <v>222</v>
      </c>
      <c r="C2" s="8">
        <f>'Speece 1996'!E3</f>
        <v>6.1664953751284681</v>
      </c>
    </row>
    <row r="3" spans="1:60" ht="14.4" x14ac:dyDescent="0.3">
      <c r="A3" t="s">
        <v>223</v>
      </c>
      <c r="C3">
        <v>0.45</v>
      </c>
    </row>
    <row r="4" spans="1:60" ht="14.4" x14ac:dyDescent="0.3">
      <c r="A4" s="7" t="s">
        <v>91</v>
      </c>
      <c r="B4" s="7"/>
      <c r="C4" s="7" t="s">
        <v>92</v>
      </c>
      <c r="D4" s="7" t="s">
        <v>3</v>
      </c>
      <c r="E4" s="7" t="s">
        <v>93</v>
      </c>
    </row>
    <row r="5" spans="1:60" ht="14.4" x14ac:dyDescent="0.3">
      <c r="A5" t="s">
        <v>94</v>
      </c>
      <c r="C5">
        <v>995</v>
      </c>
      <c r="D5" s="8" t="e">
        <f>#REF!</f>
        <v>#REF!</v>
      </c>
      <c r="E5" s="9">
        <f>C5/1000</f>
        <v>0.995</v>
      </c>
    </row>
    <row r="6" spans="1:60" ht="14.4" x14ac:dyDescent="0.3">
      <c r="A6" t="s">
        <v>95</v>
      </c>
      <c r="C6">
        <v>5</v>
      </c>
      <c r="D6" s="8">
        <f>C54</f>
        <v>0</v>
      </c>
      <c r="E6" s="9">
        <f>C6/1000</f>
        <v>5.0000000000000001E-3</v>
      </c>
    </row>
    <row r="7" spans="1:60" ht="18" x14ac:dyDescent="0.35">
      <c r="A7" s="10" t="s">
        <v>96</v>
      </c>
      <c r="B7" s="10"/>
      <c r="C7" s="11" t="e">
        <f>C5/1000*D5+C6/1000*D6</f>
        <v>#REF!</v>
      </c>
      <c r="D7" s="12" t="s">
        <v>97</v>
      </c>
      <c r="I7">
        <f>$C$2*VLOOKUP(B17,$BA$15:$BD$35,3,FALSE)+VLOOKUP(B17,$BA$15:$BD$35,4,FALSE)</f>
        <v>111.66495375128468</v>
      </c>
    </row>
    <row r="8" spans="1:60" ht="14.4" x14ac:dyDescent="0.3">
      <c r="A8" t="s">
        <v>13</v>
      </c>
      <c r="C8" t="e">
        <f>E5*SUM(Q59,Q61)+E6*SUM(Q26,#REF!)</f>
        <v>#REF!</v>
      </c>
    </row>
    <row r="9" spans="1:60" ht="14.4" x14ac:dyDescent="0.3">
      <c r="A9" t="s">
        <v>18</v>
      </c>
      <c r="C9">
        <f>SUM(Q57)*E5</f>
        <v>0</v>
      </c>
    </row>
    <row r="10" spans="1:60" ht="14.4" x14ac:dyDescent="0.3">
      <c r="A10" t="s">
        <v>20</v>
      </c>
      <c r="C10">
        <f>SUM(Q60)*E5</f>
        <v>0</v>
      </c>
    </row>
    <row r="11" spans="1:60" ht="14.4" x14ac:dyDescent="0.3">
      <c r="A11" t="s">
        <v>24</v>
      </c>
      <c r="C11" t="e">
        <f>E6*SUM(Q24,#REF!,Q37,Q38)</f>
        <v>#REF!</v>
      </c>
    </row>
    <row r="12" spans="1:60" ht="14.4" x14ac:dyDescent="0.3">
      <c r="A12" t="s">
        <v>28</v>
      </c>
      <c r="C12" t="e">
        <f>E6*SUM(Q28,#REF!)</f>
        <v>#REF!</v>
      </c>
      <c r="E12">
        <f>VLOOKUP(B17,$BA$15:$BD$35,4,FALSE)</f>
        <v>50</v>
      </c>
    </row>
    <row r="13" spans="1:60" thickBot="1" x14ac:dyDescent="0.35">
      <c r="AE13" s="7" t="s">
        <v>317</v>
      </c>
    </row>
    <row r="14" spans="1:60" ht="39" customHeight="1" thickBot="1" x14ac:dyDescent="0.35">
      <c r="G14" s="136" t="s">
        <v>224</v>
      </c>
      <c r="H14" s="137"/>
      <c r="I14" s="141"/>
      <c r="J14" s="141"/>
      <c r="K14" s="141"/>
      <c r="L14" s="141"/>
      <c r="M14" s="141"/>
      <c r="N14" s="141"/>
      <c r="O14" s="137"/>
      <c r="P14" s="138"/>
      <c r="Q14" s="108"/>
      <c r="R14" s="108"/>
      <c r="S14" s="108"/>
      <c r="T14" s="108"/>
      <c r="U14" s="108"/>
      <c r="V14" s="108"/>
      <c r="W14" s="108"/>
      <c r="X14" s="108"/>
      <c r="Y14" s="108" t="s">
        <v>225</v>
      </c>
      <c r="AA14" s="363" t="s">
        <v>226</v>
      </c>
      <c r="AB14" s="363"/>
      <c r="AC14" s="108"/>
      <c r="AD14" s="108"/>
      <c r="AE14" s="52" t="s">
        <v>51</v>
      </c>
      <c r="AF14" s="221" t="s">
        <v>47</v>
      </c>
      <c r="AG14" s="221" t="s">
        <v>44</v>
      </c>
      <c r="AH14" s="222" t="s">
        <v>196</v>
      </c>
      <c r="AI14" s="52" t="s">
        <v>51</v>
      </c>
      <c r="AJ14" s="221" t="s">
        <v>47</v>
      </c>
      <c r="AK14" s="221" t="s">
        <v>44</v>
      </c>
      <c r="AL14" s="222" t="s">
        <v>196</v>
      </c>
      <c r="AM14" s="52" t="s">
        <v>51</v>
      </c>
      <c r="AN14" s="221" t="s">
        <v>47</v>
      </c>
      <c r="AO14" s="221" t="s">
        <v>44</v>
      </c>
      <c r="AP14" s="222" t="s">
        <v>196</v>
      </c>
      <c r="AQ14" s="108"/>
      <c r="AR14" s="108"/>
      <c r="AS14" s="108"/>
      <c r="AT14" s="108"/>
      <c r="AU14" s="108"/>
      <c r="AV14" s="108"/>
      <c r="AZ14" s="20" t="s">
        <v>227</v>
      </c>
      <c r="BA14" s="20" t="s">
        <v>228</v>
      </c>
      <c r="BB14" s="20" t="s">
        <v>229</v>
      </c>
      <c r="BC14" s="105" t="s">
        <v>230</v>
      </c>
      <c r="BD14" s="105" t="s">
        <v>231</v>
      </c>
      <c r="BF14" s="20" t="s">
        <v>60</v>
      </c>
      <c r="BG14" s="40" t="s">
        <v>100</v>
      </c>
      <c r="BH14" s="71" t="s">
        <v>127</v>
      </c>
    </row>
    <row r="15" spans="1:60" ht="86.4" x14ac:dyDescent="0.3">
      <c r="A15" s="13" t="s">
        <v>232</v>
      </c>
      <c r="B15" s="112" t="s">
        <v>233</v>
      </c>
      <c r="C15" s="113" t="s">
        <v>100</v>
      </c>
      <c r="D15" s="15" t="s">
        <v>234</v>
      </c>
      <c r="E15" s="134" t="s">
        <v>235</v>
      </c>
      <c r="F15" s="16" t="s">
        <v>8</v>
      </c>
      <c r="G15" s="134" t="s">
        <v>236</v>
      </c>
      <c r="H15" s="134" t="s">
        <v>237</v>
      </c>
      <c r="I15" s="17" t="s">
        <v>238</v>
      </c>
      <c r="J15" s="17" t="s">
        <v>127</v>
      </c>
      <c r="K15" s="17" t="s">
        <v>239</v>
      </c>
      <c r="L15" s="110" t="s">
        <v>104</v>
      </c>
      <c r="M15" s="140" t="s">
        <v>240</v>
      </c>
      <c r="N15" s="140" t="s">
        <v>323</v>
      </c>
      <c r="O15" s="18" t="s">
        <v>241</v>
      </c>
      <c r="P15" s="18" t="s">
        <v>127</v>
      </c>
      <c r="Q15" s="37" t="s">
        <v>107</v>
      </c>
      <c r="R15" s="111" t="s">
        <v>104</v>
      </c>
      <c r="S15" s="111" t="s">
        <v>242</v>
      </c>
      <c r="T15" s="111" t="s">
        <v>324</v>
      </c>
      <c r="U15" s="111" t="s">
        <v>243</v>
      </c>
      <c r="V15" s="111" t="s">
        <v>244</v>
      </c>
      <c r="W15" s="135" t="s">
        <v>245</v>
      </c>
      <c r="X15" s="250" t="s">
        <v>340</v>
      </c>
      <c r="Y15" s="57" t="s">
        <v>98</v>
      </c>
      <c r="Z15" s="57" t="s">
        <v>99</v>
      </c>
      <c r="AA15" s="57" t="s">
        <v>238</v>
      </c>
      <c r="AB15" s="57" t="s">
        <v>241</v>
      </c>
      <c r="AC15" s="111" t="s">
        <v>246</v>
      </c>
      <c r="AD15" s="111" t="s">
        <v>247</v>
      </c>
      <c r="AE15" s="215" t="s">
        <v>104</v>
      </c>
      <c r="AF15" s="184"/>
      <c r="AG15" s="184"/>
      <c r="AH15" s="216"/>
      <c r="AI15" s="215" t="s">
        <v>61</v>
      </c>
      <c r="AJ15" s="184"/>
      <c r="AK15" s="184"/>
      <c r="AL15" s="216"/>
      <c r="AM15" s="215" t="s">
        <v>334</v>
      </c>
      <c r="AN15" s="184"/>
      <c r="AO15" s="184"/>
      <c r="AP15" s="216"/>
      <c r="AQ15" s="135"/>
      <c r="AR15" s="135"/>
      <c r="AS15" s="135"/>
      <c r="AT15" s="186" t="s">
        <v>315</v>
      </c>
      <c r="AU15" s="187"/>
      <c r="AV15" s="188"/>
      <c r="AW15" s="189"/>
      <c r="AZ15" s="25" t="s">
        <v>248</v>
      </c>
      <c r="BA15" s="25" t="s">
        <v>47</v>
      </c>
      <c r="BB15" s="25">
        <v>14.01</v>
      </c>
      <c r="BC15" s="25">
        <v>10</v>
      </c>
      <c r="BD15" s="25">
        <v>50</v>
      </c>
      <c r="BF15" s="25" t="s">
        <v>63</v>
      </c>
      <c r="BG15" s="119">
        <v>28.989768999999999</v>
      </c>
      <c r="BH15" s="70">
        <v>1</v>
      </c>
    </row>
    <row r="16" spans="1:60" ht="14.4" x14ac:dyDescent="0.3">
      <c r="A16" s="19" t="s">
        <v>249</v>
      </c>
      <c r="B16" s="270"/>
      <c r="C16" s="253"/>
      <c r="D16" s="262"/>
      <c r="E16" s="256"/>
      <c r="F16" s="256"/>
      <c r="G16" s="271"/>
      <c r="H16" s="271"/>
      <c r="I16" s="266"/>
      <c r="J16" s="272"/>
      <c r="K16" s="272"/>
      <c r="L16" s="272"/>
      <c r="M16" s="272"/>
      <c r="N16" s="272"/>
      <c r="O16" s="272"/>
      <c r="P16" s="272"/>
      <c r="Q16" s="272"/>
      <c r="R16" s="273"/>
      <c r="S16" s="273"/>
      <c r="T16" s="273"/>
      <c r="U16" s="274"/>
      <c r="V16" s="274"/>
      <c r="W16" s="275"/>
      <c r="X16" s="276"/>
      <c r="Y16" s="277"/>
      <c r="Z16" s="275"/>
      <c r="AA16" s="275"/>
      <c r="AB16" s="275"/>
      <c r="AC16" s="274"/>
      <c r="AD16" s="274"/>
      <c r="AE16" s="259"/>
      <c r="AF16" s="260"/>
      <c r="AG16" s="260"/>
      <c r="AH16" s="261"/>
      <c r="AI16" s="259"/>
      <c r="AJ16" s="259"/>
      <c r="AK16" s="259"/>
      <c r="AL16" s="259"/>
      <c r="AM16" s="259"/>
      <c r="AN16" s="259"/>
      <c r="AO16" s="259"/>
      <c r="AP16" s="259"/>
      <c r="AQ16" s="109"/>
      <c r="AR16" s="109"/>
      <c r="AS16" s="109"/>
      <c r="AT16" s="190" t="s">
        <v>315</v>
      </c>
      <c r="AU16" s="184" t="s">
        <v>104</v>
      </c>
      <c r="AV16" s="71" t="s">
        <v>107</v>
      </c>
      <c r="AW16" s="191" t="s">
        <v>319</v>
      </c>
      <c r="AX16" s="7" t="s">
        <v>61</v>
      </c>
      <c r="AY16" s="7"/>
      <c r="AZ16" s="25" t="s">
        <v>250</v>
      </c>
      <c r="BA16" s="25" t="s">
        <v>44</v>
      </c>
      <c r="BB16" s="25">
        <v>30.97</v>
      </c>
      <c r="BC16" s="25">
        <v>1.7</v>
      </c>
      <c r="BD16" s="25">
        <v>10</v>
      </c>
      <c r="BF16" s="25" t="s">
        <v>64</v>
      </c>
      <c r="BG16" s="119">
        <v>24.305</v>
      </c>
      <c r="BH16" s="70">
        <v>2</v>
      </c>
    </row>
    <row r="17" spans="1:60" ht="14.4" x14ac:dyDescent="0.3">
      <c r="A17" s="122" t="s">
        <v>21</v>
      </c>
      <c r="B17" s="39" t="s">
        <v>47</v>
      </c>
      <c r="C17" s="25">
        <f>VLOOKUP(B17,$BA$15:$BB$35,2,FALSE)</f>
        <v>14.01</v>
      </c>
      <c r="D17" s="26">
        <f>$C$2*VLOOKUP(B17,$BA$15:$BD$35,3,FALSE)</f>
        <v>61.664953751284685</v>
      </c>
      <c r="E17" s="21">
        <f>VLOOKUP(B17,$BA$15:$BD$35,4,FALSE)</f>
        <v>50</v>
      </c>
      <c r="F17" s="21" t="s">
        <v>16</v>
      </c>
      <c r="G17" s="21">
        <f>IF(F17="g/L",D17/C17,IF(F17="mg/L",D17/(1000*C17),"error"))</f>
        <v>4.4014956282144675E-3</v>
      </c>
      <c r="H17" s="21">
        <f>IF(F17="g/L",E17/C17,IF(F17="mg/L",E17/(1000*C17),"error"))</f>
        <v>3.5688793718772305E-3</v>
      </c>
      <c r="I17" s="22" t="s">
        <v>78</v>
      </c>
      <c r="J17" s="28">
        <f>IF(I17="N/A",0,VLOOKUP(I17,Library!$K$4:$M$36,3,FALSE))</f>
        <v>1</v>
      </c>
      <c r="K17" s="28">
        <f>IF(I17="N/A",0,VLOOKUP(I17,Library!$K$4:$M$36,2,FALSE))</f>
        <v>18.04</v>
      </c>
      <c r="L17" s="23">
        <v>1</v>
      </c>
      <c r="M17" s="23">
        <f>SUM(G17:H17)*L17</f>
        <v>7.9703750000916975E-3</v>
      </c>
      <c r="N17" s="23">
        <f>M17*K17</f>
        <v>0.14378556500165421</v>
      </c>
      <c r="O17" s="23" t="s">
        <v>70</v>
      </c>
      <c r="P17" s="28">
        <f>IF(O17="N/A",0,VLOOKUP(O17,Library!$K$4:$M$36,3,FALSE))</f>
        <v>-1</v>
      </c>
      <c r="Q17" s="23">
        <f>IF(O17="N/A",0,VLOOKUP(O17,Library!$K$4:$M$36,2,FALSE))</f>
        <v>35.453000000000003</v>
      </c>
      <c r="R17" s="36">
        <v>1</v>
      </c>
      <c r="S17" s="36">
        <f>SUM(G17:H17)*R17</f>
        <v>7.9703750000916975E-3</v>
      </c>
      <c r="T17" s="36">
        <f>Q17*S17</f>
        <v>0.28257370487825095</v>
      </c>
      <c r="U17" s="4">
        <v>0</v>
      </c>
      <c r="V17" s="114">
        <f>(G17*K17*L17+G17*Q17*R17+G17*U17*18.01)*1000</f>
        <v>235.44920564007651</v>
      </c>
      <c r="W17" s="123">
        <f>(H17*K17*L17+H17*Q17*R17+H17*U17*18.01)*1000</f>
        <v>190.9100642398287</v>
      </c>
      <c r="X17" s="251">
        <f>SUM(V17:W17)</f>
        <v>426.35926987990524</v>
      </c>
      <c r="Y17" s="109">
        <f>(G17+H17)*K17*L17</f>
        <v>0.14378556500165421</v>
      </c>
      <c r="Z17" s="109">
        <f t="shared" ref="Z17:Z38" si="0">(G17+H17)*Q17*R17</f>
        <v>0.28257370487825095</v>
      </c>
      <c r="AA17" s="109">
        <f>(G17+H17)*L17*(J17^2)</f>
        <v>7.9703750000916975E-3</v>
      </c>
      <c r="AB17" s="109">
        <f t="shared" ref="AB17:AB38" si="1">(G17+H17)*R17*(P17^2)</f>
        <v>7.9703750000916975E-3</v>
      </c>
      <c r="AC17" s="114">
        <v>38.182012847965737</v>
      </c>
      <c r="AD17" s="114">
        <v>190.9100642398287</v>
      </c>
      <c r="AE17" s="217">
        <f>VLOOKUP(A17,Library!$B$4:$G$69,3,FALSE)</f>
        <v>0</v>
      </c>
      <c r="AF17" s="185">
        <f>VLOOKUP(A17,Library!$B$4:$G$69,4,FALSE)</f>
        <v>1</v>
      </c>
      <c r="AG17" s="185">
        <f>VLOOKUP(A17,Library!$B$4:$G$69,5,FALSE)</f>
        <v>0</v>
      </c>
      <c r="AH17" s="218">
        <f>VLOOKUP(A17,Library!$B$4:$G$69,6,FALSE)</f>
        <v>0</v>
      </c>
      <c r="AI17" s="217">
        <f t="shared" ref="AI17" si="2">AE17*SUM(G17:H17)</f>
        <v>0</v>
      </c>
      <c r="AJ17" s="217">
        <f t="shared" ref="AJ17" si="3">AF17*SUM(G17:H17)</f>
        <v>7.9703750000916975E-3</v>
      </c>
      <c r="AK17" s="217">
        <f t="shared" ref="AK17" si="4">AG17*SUM(G17:H17)</f>
        <v>0</v>
      </c>
      <c r="AL17" s="217">
        <f t="shared" ref="AL17" si="5">AH17*SUM(G17:H17)</f>
        <v>0</v>
      </c>
      <c r="AM17" s="217">
        <f>AI17*VLOOKUP($AM$14,Library!$T$4:$U$7,2,FALSE)</f>
        <v>0</v>
      </c>
      <c r="AN17" s="217">
        <f>AJ17*VLOOKUP($AN$14,Library!$T$4:$U$7,2,FALSE)</f>
        <v>0.11166495375128468</v>
      </c>
      <c r="AO17" s="217">
        <f>AK17*VLOOKUP($AO$14,Library!$T$4:$U$7,2,FALSE)</f>
        <v>0</v>
      </c>
      <c r="AP17" s="217">
        <f>AL17*VLOOKUP($AP$14,Library!$T$4:$U$7,2,FALSE)</f>
        <v>0</v>
      </c>
      <c r="AQ17" s="123"/>
      <c r="AR17" s="123"/>
      <c r="AS17" s="123"/>
      <c r="AT17" s="88" t="s">
        <v>47</v>
      </c>
      <c r="AU17" s="185">
        <v>1</v>
      </c>
      <c r="AV17" s="70">
        <f>IFERROR(VLOOKUP(AT17,Library!$T$4:$U$7,2,FALSE),0)</f>
        <v>14.01</v>
      </c>
      <c r="AW17" s="166">
        <f>AU17*AV17*SUM(G17:H17)</f>
        <v>0.11166495375128468</v>
      </c>
      <c r="AX17">
        <f>SUM(G17:H17)*AU17</f>
        <v>7.9703750000916975E-3</v>
      </c>
      <c r="AZ17" s="25" t="s">
        <v>251</v>
      </c>
      <c r="BA17" s="25" t="s">
        <v>196</v>
      </c>
      <c r="BB17" s="25">
        <v>32.07</v>
      </c>
      <c r="BC17" s="25">
        <v>2</v>
      </c>
      <c r="BD17" s="25">
        <v>5</v>
      </c>
      <c r="BF17" s="25" t="s">
        <v>65</v>
      </c>
      <c r="BG17" s="119">
        <v>40.078000000000003</v>
      </c>
      <c r="BH17" s="70">
        <v>2</v>
      </c>
    </row>
    <row r="18" spans="1:60" ht="14.4" x14ac:dyDescent="0.3">
      <c r="A18" s="122" t="s">
        <v>308</v>
      </c>
      <c r="B18" s="39" t="s">
        <v>44</v>
      </c>
      <c r="C18" s="25">
        <f>VLOOKUP(B18,$BA$15:$BB$35,2,FALSE)</f>
        <v>30.97</v>
      </c>
      <c r="D18" s="26">
        <f>$C$2*VLOOKUP(B18,$BA$15:$BD$35,3,FALSE)/2</f>
        <v>5.241521068859198</v>
      </c>
      <c r="E18" s="21">
        <f>VLOOKUP(B18,$BA$15:$BD$35,4,FALSE)/2</f>
        <v>5</v>
      </c>
      <c r="F18" s="21" t="s">
        <v>16</v>
      </c>
      <c r="G18" s="21">
        <f>IF(F18="g/L",D18/C18,IF(F18="mg/L",D18/(1000*C18),"error"))</f>
        <v>1.6924511039261215E-4</v>
      </c>
      <c r="H18" s="21">
        <f>IF(F18="g/L",E18/C18,IF(F18="mg/L",E18/(1000*C18),"error"))</f>
        <v>1.6144656118824668E-4</v>
      </c>
      <c r="I18" s="22" t="s">
        <v>66</v>
      </c>
      <c r="J18" s="28">
        <f>IF(I18="N/A",0,VLOOKUP(I18,Library!$K$4:$M$36,3,FALSE))</f>
        <v>1</v>
      </c>
      <c r="K18" s="28">
        <f>IF(I18="N/A",0,VLOOKUP(I18,Library!$K$4:$M$36,2,FALSE))</f>
        <v>39.093800000000002</v>
      </c>
      <c r="L18" s="23">
        <v>2</v>
      </c>
      <c r="M18" s="23">
        <f>SUM(G18:H18)*L18</f>
        <v>6.6138334316171766E-4</v>
      </c>
      <c r="N18" s="23">
        <f>M18*K18</f>
        <v>2.5855988140895559E-2</v>
      </c>
      <c r="O18" s="23" t="s">
        <v>82</v>
      </c>
      <c r="P18" s="28">
        <f>IF(O18="N/A",0,VLOOKUP(O18,Library!$K$4:$M$36,3,FALSE))</f>
        <v>-3</v>
      </c>
      <c r="Q18" s="23">
        <f>IF(O18="N/A",0,VLOOKUP(O18,Library!$K$4:$M$36,2,FALSE))</f>
        <v>94.97</v>
      </c>
      <c r="R18" s="36">
        <v>1</v>
      </c>
      <c r="S18" s="36">
        <f>SUM(G18:H18)*R18</f>
        <v>3.3069167158085883E-4</v>
      </c>
      <c r="T18" s="36">
        <f>Q18*S18</f>
        <v>3.1405788050034161E-2</v>
      </c>
      <c r="U18" s="4">
        <v>0</v>
      </c>
      <c r="V18" s="114">
        <f t="shared" ref="V18:V38" si="6">(G18*K18*L18+G18*Q18*R18+G18*U18*18.01)*1000</f>
        <v>29.306077127319778</v>
      </c>
      <c r="W18" s="123">
        <f t="shared" ref="W18:W38" si="7">(H18*K18*L18+H18*Q18*R18+H18*U18*18.01)*1000</f>
        <v>27.955699063609945</v>
      </c>
      <c r="X18" s="251">
        <f t="shared" ref="X18:X38" si="8">SUM(V18:W18)</f>
        <v>57.261776190929723</v>
      </c>
      <c r="Y18" s="109">
        <f>(G18+H18)*K18*L18</f>
        <v>2.5855988140895559E-2</v>
      </c>
      <c r="Z18" s="109">
        <f t="shared" ref="Z18" si="9">(G18+H18)*Q18*R18</f>
        <v>3.1405788050034161E-2</v>
      </c>
      <c r="AA18" s="109">
        <f>(G18+H18)*L18*(J18^2)</f>
        <v>6.6138334316171766E-4</v>
      </c>
      <c r="AB18" s="109">
        <f t="shared" ref="AB18" si="10">(G18+H18)*R18*(P18^2)</f>
        <v>2.9762250442277294E-3</v>
      </c>
      <c r="AC18" s="114">
        <v>4.7524688408136901</v>
      </c>
      <c r="AD18" s="114">
        <v>27.955699063609945</v>
      </c>
      <c r="AE18" s="217">
        <f>VLOOKUP(A18,Library!$B$4:$G$69,3,FALSE)</f>
        <v>0</v>
      </c>
      <c r="AF18" s="185">
        <f>VLOOKUP(A18,Library!$B$4:$G$69,4,FALSE)</f>
        <v>0</v>
      </c>
      <c r="AG18" s="185">
        <f>VLOOKUP(A18,Library!$B$4:$G$69,5,FALSE)</f>
        <v>1</v>
      </c>
      <c r="AH18" s="218">
        <f>VLOOKUP(A18,Library!$B$4:$G$69,6,FALSE)</f>
        <v>0</v>
      </c>
      <c r="AI18" s="217">
        <f t="shared" ref="AI18:AI48" si="11">AE18*SUM(G18:H18)</f>
        <v>0</v>
      </c>
      <c r="AJ18" s="217">
        <f t="shared" ref="AJ18:AJ48" si="12">AF18*SUM(G18:H18)</f>
        <v>0</v>
      </c>
      <c r="AK18" s="217">
        <f t="shared" ref="AK18:AK48" si="13">AG18*SUM(G18:H18)</f>
        <v>3.3069167158085883E-4</v>
      </c>
      <c r="AL18" s="217">
        <f t="shared" ref="AL18:AL48" si="14">AH18*SUM(G18:H18)</f>
        <v>0</v>
      </c>
      <c r="AM18" s="217">
        <f>AI18*VLOOKUP($AM$14,Library!$T$4:$U$7,2,FALSE)</f>
        <v>0</v>
      </c>
      <c r="AN18" s="217">
        <f>AJ18*VLOOKUP($AN$14,Library!$T$4:$U$7,2,FALSE)</f>
        <v>0</v>
      </c>
      <c r="AO18" s="217">
        <f>AK18*VLOOKUP($AO$14,Library!$T$4:$U$7,2,FALSE)</f>
        <v>1.0241521068859198E-2</v>
      </c>
      <c r="AP18" s="217">
        <f>AL18*VLOOKUP($AP$14,Library!$T$4:$U$7,2,FALSE)</f>
        <v>0</v>
      </c>
      <c r="AQ18" s="123"/>
      <c r="AR18" s="123"/>
      <c r="AS18" s="123"/>
      <c r="AT18" s="88" t="s">
        <v>44</v>
      </c>
      <c r="AU18" s="185">
        <v>1</v>
      </c>
      <c r="AV18" s="70">
        <f>IFERROR(VLOOKUP(AT18,Library!$T$4:$U$7,2,FALSE),0)</f>
        <v>30.97</v>
      </c>
      <c r="AW18" s="166">
        <f t="shared" ref="AW18:AW37" si="15">AU18*AV18*SUM(G19:H19)</f>
        <v>1.0241521068859198E-2</v>
      </c>
      <c r="AX18">
        <f t="shared" ref="AX18:AX37" si="16">SUM(G19:H19)*AU18</f>
        <v>3.3069167158085883E-4</v>
      </c>
      <c r="AZ18" s="20" t="s">
        <v>252</v>
      </c>
      <c r="BA18" s="20"/>
      <c r="BB18" s="20"/>
      <c r="BC18" s="25"/>
      <c r="BD18" s="25"/>
      <c r="BF18" s="25" t="s">
        <v>66</v>
      </c>
      <c r="BG18" s="119">
        <v>39.093800000000002</v>
      </c>
      <c r="BH18" s="70">
        <v>1</v>
      </c>
    </row>
    <row r="19" spans="1:60" ht="14.4" x14ac:dyDescent="0.3">
      <c r="A19" s="24" t="s">
        <v>307</v>
      </c>
      <c r="B19" s="38" t="s">
        <v>44</v>
      </c>
      <c r="C19" s="25">
        <f>VLOOKUP(B19,$BA$15:$BB$35,2,FALSE)</f>
        <v>30.97</v>
      </c>
      <c r="D19" s="26">
        <f>$C$2*VLOOKUP(B19,$BA$15:$BD$35,3,FALSE)/2</f>
        <v>5.241521068859198</v>
      </c>
      <c r="E19" s="21">
        <f>VLOOKUP(B19,$BA$15:$BD$35,4,FALSE)/2</f>
        <v>5</v>
      </c>
      <c r="F19" s="21" t="s">
        <v>16</v>
      </c>
      <c r="G19" s="21">
        <f>IF(F19="g/L",D19/C19,IF(F19="mg/L",D19/(1000*C19),"error"))</f>
        <v>1.6924511039261215E-4</v>
      </c>
      <c r="H19" s="21">
        <f t="shared" ref="H19:H33" si="17">IF(F19="g/L",E19/C19,IF(F19="mg/L",E19/(1000*C19),"error"))</f>
        <v>1.6144656118824668E-4</v>
      </c>
      <c r="I19" s="22" t="s">
        <v>66</v>
      </c>
      <c r="J19" s="28">
        <f>IF(I19="N/A",0,VLOOKUP(I19,Library!$K$4:$M$36,3,FALSE))</f>
        <v>1</v>
      </c>
      <c r="K19" s="28">
        <f>IF(I19="N/A",0,VLOOKUP(I19,Library!$K$4:$M$36,2,FALSE))</f>
        <v>39.093800000000002</v>
      </c>
      <c r="L19" s="23">
        <v>1</v>
      </c>
      <c r="M19" s="23">
        <f t="shared" ref="M19:M33" si="18">SUM(G19:H19)*L19</f>
        <v>3.3069167158085883E-4</v>
      </c>
      <c r="N19" s="23">
        <f t="shared" ref="N19:N33" si="19">M19*K19</f>
        <v>1.2927994070447779E-2</v>
      </c>
      <c r="O19" s="23" t="s">
        <v>82</v>
      </c>
      <c r="P19" s="28">
        <f>IF(O19="N/A",0,VLOOKUP(O19,Library!$K$4:$M$36,3,FALSE))</f>
        <v>-3</v>
      </c>
      <c r="Q19" s="23">
        <f>IF(O19="N/A",0,VLOOKUP(O19,Library!$K$4:$M$36,2,FALSE))</f>
        <v>94.97</v>
      </c>
      <c r="R19" s="36">
        <v>1</v>
      </c>
      <c r="S19" s="36">
        <f t="shared" ref="S19:S33" si="20">SUM(G19:H19)*R19</f>
        <v>3.3069167158085883E-4</v>
      </c>
      <c r="T19" s="36">
        <f t="shared" ref="T19:T33" si="21">Q19*S19</f>
        <v>3.1405788050034161E-2</v>
      </c>
      <c r="U19" s="4">
        <v>0</v>
      </c>
      <c r="V19" s="114">
        <f t="shared" si="6"/>
        <v>22.689642630653079</v>
      </c>
      <c r="W19" s="123">
        <f t="shared" si="7"/>
        <v>21.644139489828866</v>
      </c>
      <c r="X19" s="251">
        <f t="shared" si="8"/>
        <v>44.333782120481942</v>
      </c>
      <c r="Y19" s="109">
        <f t="shared" ref="Y19:Y38" si="22">(G19+H19)*K19*L19</f>
        <v>1.2927994070447779E-2</v>
      </c>
      <c r="Z19" s="109">
        <f t="shared" si="0"/>
        <v>3.1405788050034161E-2</v>
      </c>
      <c r="AA19" s="109">
        <f t="shared" ref="AA19:AA38" si="23">(G19+H19)*L19*(J19^2)</f>
        <v>3.3069167158085883E-4</v>
      </c>
      <c r="AB19" s="109">
        <f t="shared" si="1"/>
        <v>2.9762250442277294E-3</v>
      </c>
      <c r="AC19" s="114">
        <v>3.6795037132709072</v>
      </c>
      <c r="AD19" s="114">
        <v>21.644139489828866</v>
      </c>
      <c r="AE19" s="217">
        <f>VLOOKUP(A19,Library!$B$4:$G$69,3,FALSE)</f>
        <v>0</v>
      </c>
      <c r="AF19" s="185">
        <f>VLOOKUP(A19,Library!$B$4:$G$69,4,FALSE)</f>
        <v>0</v>
      </c>
      <c r="AG19" s="185">
        <f>VLOOKUP(A19,Library!$B$4:$G$69,5,FALSE)</f>
        <v>1</v>
      </c>
      <c r="AH19" s="218">
        <f>VLOOKUP(A19,Library!$B$4:$G$69,6,FALSE)</f>
        <v>0</v>
      </c>
      <c r="AI19" s="217">
        <f t="shared" si="11"/>
        <v>0</v>
      </c>
      <c r="AJ19" s="217">
        <f t="shared" si="12"/>
        <v>0</v>
      </c>
      <c r="AK19" s="217">
        <f t="shared" si="13"/>
        <v>3.3069167158085883E-4</v>
      </c>
      <c r="AL19" s="217">
        <f t="shared" si="14"/>
        <v>0</v>
      </c>
      <c r="AM19" s="217">
        <f>AI19*VLOOKUP($AM$14,Library!$T$4:$U$7,2,FALSE)</f>
        <v>0</v>
      </c>
      <c r="AN19" s="217">
        <f>AJ19*VLOOKUP($AN$14,Library!$T$4:$U$7,2,FALSE)</f>
        <v>0</v>
      </c>
      <c r="AO19" s="217">
        <f>AK19*VLOOKUP($AO$14,Library!$T$4:$U$7,2,FALSE)</f>
        <v>1.0241521068859198E-2</v>
      </c>
      <c r="AP19" s="217">
        <f>AL19*VLOOKUP($AP$14,Library!$T$4:$U$7,2,FALSE)</f>
        <v>0</v>
      </c>
      <c r="AQ19" s="123"/>
      <c r="AR19" s="123"/>
      <c r="AS19" s="123"/>
      <c r="AT19" s="88" t="s">
        <v>196</v>
      </c>
      <c r="AU19" s="185">
        <v>1</v>
      </c>
      <c r="AV19" s="70">
        <f>IFERROR(VLOOKUP(AT19,Library!$T$4:$U$7,2,FALSE),0)</f>
        <v>32.07</v>
      </c>
      <c r="AW19" s="166">
        <f t="shared" si="15"/>
        <v>1.7332990750256936E-2</v>
      </c>
      <c r="AX19">
        <f t="shared" si="16"/>
        <v>5.4047367478194373E-4</v>
      </c>
      <c r="AZ19" s="25" t="s">
        <v>253</v>
      </c>
      <c r="BA19" s="25" t="s">
        <v>254</v>
      </c>
      <c r="BB19" s="25">
        <v>55.85</v>
      </c>
      <c r="BC19" s="25">
        <v>0.03</v>
      </c>
      <c r="BD19" s="25">
        <v>10</v>
      </c>
      <c r="BF19" s="25" t="s">
        <v>67</v>
      </c>
      <c r="BG19" s="119">
        <v>61.016800000000003</v>
      </c>
      <c r="BH19" s="70">
        <v>-1</v>
      </c>
    </row>
    <row r="20" spans="1:60" ht="14.4" x14ac:dyDescent="0.3">
      <c r="A20" s="24" t="s">
        <v>290</v>
      </c>
      <c r="B20" s="38" t="s">
        <v>196</v>
      </c>
      <c r="C20" s="25">
        <f>VLOOKUP(B20,$BA$15:$BB$35,2,FALSE)</f>
        <v>32.07</v>
      </c>
      <c r="D20" s="26">
        <f>$C$2*VLOOKUP(B20,$BA$15:$BD$35,3,FALSE)</f>
        <v>12.332990750256936</v>
      </c>
      <c r="E20" s="21">
        <f>VLOOKUP(B20,$BA$15:$BD$35,4,FALSE)</f>
        <v>5</v>
      </c>
      <c r="F20" s="21" t="s">
        <v>16</v>
      </c>
      <c r="G20" s="21">
        <f>IF(F20="g/L",D20/C20,IF(F20="mg/L",D20/(1000*C20),"error"))</f>
        <v>3.8456472560826119E-4</v>
      </c>
      <c r="H20" s="21">
        <f t="shared" si="17"/>
        <v>1.5590894917368256E-4</v>
      </c>
      <c r="I20" s="22" t="s">
        <v>64</v>
      </c>
      <c r="J20" s="28">
        <f>IF(I20="N/A",0,VLOOKUP(I20,Library!$K$4:$M$36,3,FALSE))</f>
        <v>2</v>
      </c>
      <c r="K20" s="28">
        <f>IF(I20="N/A",0,VLOOKUP(I20,Library!$K$4:$M$36,2,FALSE))</f>
        <v>24.305</v>
      </c>
      <c r="L20" s="23">
        <v>1</v>
      </c>
      <c r="M20" s="23">
        <f t="shared" si="18"/>
        <v>5.4047367478194373E-4</v>
      </c>
      <c r="N20" s="23">
        <f t="shared" si="19"/>
        <v>1.3136212665575141E-2</v>
      </c>
      <c r="O20" s="23" t="s">
        <v>69</v>
      </c>
      <c r="P20" s="28">
        <f>IF(O20="N/A",0,VLOOKUP(O20,Library!$K$4:$M$36,3,FALSE))</f>
        <v>-2</v>
      </c>
      <c r="Q20" s="23">
        <f>IF(O20="N/A",0,VLOOKUP(O20,Library!$K$4:$M$36,2,FALSE))</f>
        <v>96.06</v>
      </c>
      <c r="R20" s="36">
        <v>1</v>
      </c>
      <c r="S20" s="36">
        <f t="shared" si="20"/>
        <v>5.4047367478194373E-4</v>
      </c>
      <c r="T20" s="36">
        <f t="shared" si="21"/>
        <v>5.1917901199553515E-2</v>
      </c>
      <c r="U20" s="4">
        <v>7</v>
      </c>
      <c r="V20" s="114">
        <f t="shared" si="6"/>
        <v>94.770208155271845</v>
      </c>
      <c r="W20" s="123">
        <f t="shared" si="7"/>
        <v>38.421421889616461</v>
      </c>
      <c r="X20" s="251">
        <f t="shared" si="8"/>
        <v>133.19163004488831</v>
      </c>
      <c r="Y20" s="109">
        <f t="shared" si="22"/>
        <v>1.3136212665575141E-2</v>
      </c>
      <c r="Z20" s="109">
        <f t="shared" si="0"/>
        <v>5.1917901199553515E-2</v>
      </c>
      <c r="AA20" s="109">
        <f t="shared" si="23"/>
        <v>2.1618946991277749E-3</v>
      </c>
      <c r="AB20" s="109">
        <f t="shared" si="1"/>
        <v>2.1618946991277749E-3</v>
      </c>
      <c r="AC20" s="114">
        <v>15.368568755846585</v>
      </c>
      <c r="AD20" s="114">
        <v>38.421421889616461</v>
      </c>
      <c r="AE20" s="217">
        <f>VLOOKUP(A20,Library!$B$4:$G$69,3,FALSE)</f>
        <v>0</v>
      </c>
      <c r="AF20" s="185">
        <f>VLOOKUP(A20,Library!$B$4:$G$69,4,FALSE)</f>
        <v>0</v>
      </c>
      <c r="AG20" s="185">
        <f>VLOOKUP(A20,Library!$B$4:$G$69,5,FALSE)</f>
        <v>0</v>
      </c>
      <c r="AH20" s="218">
        <f>VLOOKUP(A20,Library!$B$4:$G$69,6,FALSE)</f>
        <v>1</v>
      </c>
      <c r="AI20" s="217">
        <f t="shared" si="11"/>
        <v>0</v>
      </c>
      <c r="AJ20" s="217">
        <f t="shared" si="12"/>
        <v>0</v>
      </c>
      <c r="AK20" s="217">
        <f t="shared" si="13"/>
        <v>0</v>
      </c>
      <c r="AL20" s="217">
        <f t="shared" si="14"/>
        <v>5.4047367478194373E-4</v>
      </c>
      <c r="AM20" s="217">
        <f>AI20*VLOOKUP($AM$14,Library!$T$4:$U$7,2,FALSE)</f>
        <v>0</v>
      </c>
      <c r="AN20" s="217">
        <f>AJ20*VLOOKUP($AN$14,Library!$T$4:$U$7,2,FALSE)</f>
        <v>0</v>
      </c>
      <c r="AO20" s="217">
        <f>AK20*VLOOKUP($AO$14,Library!$T$4:$U$7,2,FALSE)</f>
        <v>0</v>
      </c>
      <c r="AP20" s="217">
        <f>AL20*VLOOKUP($AP$14,Library!$T$4:$U$7,2,FALSE)</f>
        <v>1.7332990750256936E-2</v>
      </c>
      <c r="AQ20" s="123"/>
      <c r="AR20" s="123"/>
      <c r="AS20" s="123"/>
      <c r="AT20" s="88"/>
      <c r="AU20" s="185"/>
      <c r="AV20" s="70">
        <f>IFERROR(VLOOKUP(AT20,Library!$T$4:$U$7,2,FALSE),0)</f>
        <v>0</v>
      </c>
      <c r="AW20" s="166">
        <f t="shared" si="15"/>
        <v>0</v>
      </c>
      <c r="AX20">
        <f t="shared" si="16"/>
        <v>0</v>
      </c>
      <c r="AZ20" s="25" t="s">
        <v>255</v>
      </c>
      <c r="BA20" s="25" t="s">
        <v>256</v>
      </c>
      <c r="BB20" s="25">
        <v>58.93</v>
      </c>
      <c r="BC20" s="25">
        <v>3.0000000000000001E-3</v>
      </c>
      <c r="BD20" s="25">
        <v>0.02</v>
      </c>
      <c r="BF20" s="25" t="s">
        <v>68</v>
      </c>
      <c r="BG20" s="119">
        <v>79.903999999999996</v>
      </c>
      <c r="BH20" s="70">
        <v>-1</v>
      </c>
    </row>
    <row r="21" spans="1:60" ht="14.4" x14ac:dyDescent="0.3">
      <c r="A21" s="19" t="s">
        <v>252</v>
      </c>
      <c r="B21" s="258"/>
      <c r="C21" s="253"/>
      <c r="D21" s="262"/>
      <c r="E21" s="256"/>
      <c r="F21" s="256"/>
      <c r="G21" s="256"/>
      <c r="H21" s="256"/>
      <c r="I21" s="266"/>
      <c r="J21" s="257"/>
      <c r="K21" s="257"/>
      <c r="L21" s="272"/>
      <c r="M21" s="272"/>
      <c r="N21" s="272"/>
      <c r="O21" s="272"/>
      <c r="P21" s="257"/>
      <c r="Q21" s="272"/>
      <c r="R21" s="273"/>
      <c r="S21" s="273"/>
      <c r="T21" s="273"/>
      <c r="U21" s="274"/>
      <c r="V21" s="278"/>
      <c r="W21" s="277"/>
      <c r="X21" s="279"/>
      <c r="Y21" s="275"/>
      <c r="Z21" s="275"/>
      <c r="AA21" s="275"/>
      <c r="AB21" s="275"/>
      <c r="AC21" s="278"/>
      <c r="AD21" s="278"/>
      <c r="AE21" s="259"/>
      <c r="AF21" s="260"/>
      <c r="AG21" s="260"/>
      <c r="AH21" s="261"/>
      <c r="AI21" s="259"/>
      <c r="AJ21" s="259"/>
      <c r="AK21" s="259"/>
      <c r="AL21" s="259"/>
      <c r="AM21" s="259"/>
      <c r="AN21" s="259"/>
      <c r="AO21" s="259"/>
      <c r="AP21" s="259"/>
      <c r="AQ21" s="123"/>
      <c r="AR21" s="123"/>
      <c r="AS21" s="123"/>
      <c r="AT21" s="88"/>
      <c r="AU21" s="185"/>
      <c r="AV21" s="70">
        <f>IFERROR(VLOOKUP(AT21,Library!$T$4:$U$7,2,FALSE),0)</f>
        <v>0</v>
      </c>
      <c r="AW21" s="166">
        <f t="shared" si="15"/>
        <v>0</v>
      </c>
      <c r="AX21">
        <f t="shared" si="16"/>
        <v>0</v>
      </c>
      <c r="AZ21" s="25" t="s">
        <v>257</v>
      </c>
      <c r="BA21" s="25" t="s">
        <v>258</v>
      </c>
      <c r="BB21" s="25">
        <v>58.69</v>
      </c>
      <c r="BC21" s="25">
        <v>4.0000000000000001E-3</v>
      </c>
      <c r="BD21" s="25">
        <v>0.02</v>
      </c>
      <c r="BF21" s="25" t="s">
        <v>113</v>
      </c>
      <c r="BG21" s="119">
        <v>58.81</v>
      </c>
      <c r="BH21" s="70">
        <v>-3</v>
      </c>
    </row>
    <row r="22" spans="1:60" ht="14.4" x14ac:dyDescent="0.3">
      <c r="A22" s="24" t="s">
        <v>164</v>
      </c>
      <c r="B22" s="38" t="s">
        <v>254</v>
      </c>
      <c r="C22" s="25">
        <f t="shared" ref="C22:C31" si="24">VLOOKUP(B22,$BA$15:$BB$35,2,FALSE)</f>
        <v>55.85</v>
      </c>
      <c r="D22" s="26">
        <f t="shared" ref="D22:D31" si="25">$C$2*VLOOKUP(B22,$BA$15:$BD$35,3,FALSE)</f>
        <v>0.18499486125385403</v>
      </c>
      <c r="E22" s="21">
        <f t="shared" ref="E22:E31" si="26">VLOOKUP(B22,$BA$15:$BD$35,4,FALSE)</f>
        <v>10</v>
      </c>
      <c r="F22" s="21" t="s">
        <v>16</v>
      </c>
      <c r="G22" s="21">
        <f t="shared" ref="G22:G33" si="27">IF(F22="g/L",D22/C22,IF(F22="mg/L",D22/(1000*C22),"error"))</f>
        <v>3.312352036774468E-6</v>
      </c>
      <c r="H22" s="21">
        <f t="shared" si="17"/>
        <v>1.7905102954341988E-4</v>
      </c>
      <c r="I22" s="22" t="s">
        <v>80</v>
      </c>
      <c r="J22" s="28">
        <f>IF(I22="N/A",0,VLOOKUP(I22,Library!$K$4:$M$36,3,FALSE))</f>
        <v>2</v>
      </c>
      <c r="K22" s="28">
        <f>IF(I22="N/A",0,VLOOKUP(I22,Library!$K$4:$M$36,2,FALSE))</f>
        <v>55.844999999999999</v>
      </c>
      <c r="L22" s="23">
        <v>1</v>
      </c>
      <c r="M22" s="23">
        <f t="shared" si="18"/>
        <v>1.8236338158019434E-4</v>
      </c>
      <c r="N22" s="23">
        <f t="shared" si="19"/>
        <v>1.0184083044345952E-2</v>
      </c>
      <c r="O22" s="23" t="s">
        <v>70</v>
      </c>
      <c r="P22" s="28">
        <f>IF(O22="N/A",0,VLOOKUP(O22,Library!$K$4:$M$36,3,FALSE))</f>
        <v>-1</v>
      </c>
      <c r="Q22" s="23">
        <f>IF(O22="N/A",0,VLOOKUP(O22,Library!$K$4:$M$36,2,FALSE))</f>
        <v>35.453000000000003</v>
      </c>
      <c r="R22" s="36">
        <v>2</v>
      </c>
      <c r="S22" s="36">
        <f t="shared" si="20"/>
        <v>3.6472676316038867E-4</v>
      </c>
      <c r="T22" s="36">
        <f t="shared" si="21"/>
        <v>1.2930657934325261E-2</v>
      </c>
      <c r="U22" s="4">
        <v>4</v>
      </c>
      <c r="V22" s="114">
        <f t="shared" si="6"/>
        <v>0.65846577374243331</v>
      </c>
      <c r="W22" s="123">
        <f t="shared" si="7"/>
        <v>35.593733213965976</v>
      </c>
      <c r="X22" s="251">
        <f t="shared" si="8"/>
        <v>36.252198987708411</v>
      </c>
      <c r="Y22" s="109">
        <f t="shared" si="22"/>
        <v>1.0184083044345952E-2</v>
      </c>
      <c r="Z22" s="109">
        <f t="shared" si="0"/>
        <v>1.2930657934325261E-2</v>
      </c>
      <c r="AA22" s="109">
        <f t="shared" si="23"/>
        <v>7.2945352632077735E-4</v>
      </c>
      <c r="AB22" s="109">
        <f t="shared" si="1"/>
        <v>3.6472676316038867E-4</v>
      </c>
      <c r="AC22" s="114">
        <v>0.10678119964189794</v>
      </c>
      <c r="AD22" s="114">
        <v>35.593733213965976</v>
      </c>
      <c r="AE22" s="217">
        <f>VLOOKUP(A22,Library!$B$4:$G$69,3,FALSE)</f>
        <v>0</v>
      </c>
      <c r="AF22" s="185">
        <f>VLOOKUP(A22,Library!$B$4:$G$69,4,FALSE)</f>
        <v>0</v>
      </c>
      <c r="AG22" s="185">
        <f>VLOOKUP(A22,Library!$B$4:$G$69,5,FALSE)</f>
        <v>0</v>
      </c>
      <c r="AH22" s="218">
        <f>VLOOKUP(A22,Library!$B$4:$G$69,6,FALSE)</f>
        <v>0</v>
      </c>
      <c r="AI22" s="217">
        <f t="shared" si="11"/>
        <v>0</v>
      </c>
      <c r="AJ22" s="217">
        <f t="shared" si="12"/>
        <v>0</v>
      </c>
      <c r="AK22" s="217">
        <f t="shared" si="13"/>
        <v>0</v>
      </c>
      <c r="AL22" s="217">
        <f t="shared" si="14"/>
        <v>0</v>
      </c>
      <c r="AM22" s="217">
        <f>AI22*VLOOKUP($AM$14,Library!$T$4:$U$7,2,FALSE)</f>
        <v>0</v>
      </c>
      <c r="AN22" s="217">
        <f>AJ22*VLOOKUP($AN$14,Library!$T$4:$U$7,2,FALSE)</f>
        <v>0</v>
      </c>
      <c r="AO22" s="217">
        <f>AK22*VLOOKUP($AO$14,Library!$T$4:$U$7,2,FALSE)</f>
        <v>0</v>
      </c>
      <c r="AP22" s="217">
        <f>AL22*VLOOKUP($AP$14,Library!$T$4:$U$7,2,FALSE)</f>
        <v>0</v>
      </c>
      <c r="AQ22" s="123"/>
      <c r="AR22" s="123"/>
      <c r="AS22" s="123"/>
      <c r="AT22" s="88"/>
      <c r="AU22" s="185"/>
      <c r="AV22" s="70">
        <f>IFERROR(VLOOKUP(AT22,Library!$T$4:$U$7,2,FALSE),0)</f>
        <v>0</v>
      </c>
      <c r="AW22" s="166">
        <f t="shared" si="15"/>
        <v>0</v>
      </c>
      <c r="AX22">
        <f t="shared" si="16"/>
        <v>0</v>
      </c>
      <c r="AZ22" s="25" t="s">
        <v>259</v>
      </c>
      <c r="BA22" s="25" t="s">
        <v>260</v>
      </c>
      <c r="BB22" s="25">
        <v>65.38</v>
      </c>
      <c r="BC22" s="25">
        <v>0.02</v>
      </c>
      <c r="BD22" s="25">
        <v>0.02</v>
      </c>
      <c r="BF22" s="25" t="s">
        <v>69</v>
      </c>
      <c r="BG22" s="119">
        <v>96.06</v>
      </c>
      <c r="BH22" s="70">
        <v>-2</v>
      </c>
    </row>
    <row r="23" spans="1:60" ht="14.4" x14ac:dyDescent="0.3">
      <c r="A23" s="24" t="s">
        <v>335</v>
      </c>
      <c r="B23" s="38" t="s">
        <v>256</v>
      </c>
      <c r="C23" s="25">
        <f t="shared" si="24"/>
        <v>58.93</v>
      </c>
      <c r="D23" s="26">
        <f t="shared" si="25"/>
        <v>1.8499486125385406E-2</v>
      </c>
      <c r="E23" s="21">
        <f t="shared" si="26"/>
        <v>0.02</v>
      </c>
      <c r="F23" s="21" t="s">
        <v>16</v>
      </c>
      <c r="G23" s="21">
        <f t="shared" si="27"/>
        <v>3.1392306338682178E-7</v>
      </c>
      <c r="H23" s="21">
        <f t="shared" si="17"/>
        <v>3.3938571186153063E-7</v>
      </c>
      <c r="I23" s="22" t="s">
        <v>75</v>
      </c>
      <c r="J23" s="28">
        <f>IF(I23="N/A",0,VLOOKUP(I23,Library!$K$4:$M$36,3,FALSE))</f>
        <v>2</v>
      </c>
      <c r="K23" s="28">
        <f>IF(I23="N/A",0,VLOOKUP(I23,Library!$K$4:$M$36,2,FALSE))</f>
        <v>58.933190000000003</v>
      </c>
      <c r="L23" s="23">
        <v>1</v>
      </c>
      <c r="M23" s="23">
        <f t="shared" si="18"/>
        <v>6.5330877524835241E-7</v>
      </c>
      <c r="N23" s="23">
        <f t="shared" si="19"/>
        <v>3.8501570180378453E-5</v>
      </c>
      <c r="O23" s="23" t="s">
        <v>70</v>
      </c>
      <c r="P23" s="28">
        <f>IF(O23="N/A",0,VLOOKUP(O23,Library!$K$4:$M$36,3,FALSE))</f>
        <v>-1</v>
      </c>
      <c r="Q23" s="23">
        <f>IF(O23="N/A",0,VLOOKUP(O23,Library!$K$4:$M$36,2,FALSE))</f>
        <v>35.453000000000003</v>
      </c>
      <c r="R23" s="36">
        <v>2</v>
      </c>
      <c r="S23" s="36">
        <f t="shared" si="20"/>
        <v>1.3066175504967048E-6</v>
      </c>
      <c r="T23" s="36">
        <f t="shared" si="21"/>
        <v>4.6323512017759683E-5</v>
      </c>
      <c r="U23" s="4">
        <v>2</v>
      </c>
      <c r="V23" s="114">
        <f t="shared" si="6"/>
        <v>5.2067025015656923E-2</v>
      </c>
      <c r="W23" s="123">
        <f t="shared" si="7"/>
        <v>5.6290239266926868E-2</v>
      </c>
      <c r="X23" s="251">
        <f t="shared" si="8"/>
        <v>0.1083572642825838</v>
      </c>
      <c r="Y23" s="109">
        <f t="shared" si="22"/>
        <v>3.8501570180378453E-5</v>
      </c>
      <c r="Z23" s="109">
        <f t="shared" si="0"/>
        <v>4.6323512017759683E-5</v>
      </c>
      <c r="AA23" s="109">
        <f t="shared" si="23"/>
        <v>2.6132351009934096E-6</v>
      </c>
      <c r="AB23" s="109">
        <f t="shared" si="1"/>
        <v>1.3066175504967048E-6</v>
      </c>
      <c r="AC23" s="114">
        <v>8.4435358900390289E-3</v>
      </c>
      <c r="AD23" s="114">
        <v>5.6290239266926868E-2</v>
      </c>
      <c r="AE23" s="217">
        <f>VLOOKUP(A23,Library!$B$4:$G$69,3,FALSE)</f>
        <v>0</v>
      </c>
      <c r="AF23" s="185">
        <f>VLOOKUP(A23,Library!$B$4:$G$69,4,FALSE)</f>
        <v>0</v>
      </c>
      <c r="AG23" s="185">
        <f>VLOOKUP(A23,Library!$B$4:$G$69,5,FALSE)</f>
        <v>0</v>
      </c>
      <c r="AH23" s="218">
        <f>VLOOKUP(A23,Library!$B$4:$G$69,6,FALSE)</f>
        <v>0</v>
      </c>
      <c r="AI23" s="217">
        <f t="shared" si="11"/>
        <v>0</v>
      </c>
      <c r="AJ23" s="217">
        <f t="shared" si="12"/>
        <v>0</v>
      </c>
      <c r="AK23" s="217">
        <f t="shared" si="13"/>
        <v>0</v>
      </c>
      <c r="AL23" s="217">
        <f t="shared" si="14"/>
        <v>0</v>
      </c>
      <c r="AM23" s="217">
        <f>AI23*VLOOKUP($AM$14,Library!$T$4:$U$7,2,FALSE)</f>
        <v>0</v>
      </c>
      <c r="AN23" s="217">
        <f>AJ23*VLOOKUP($AN$14,Library!$T$4:$U$7,2,FALSE)</f>
        <v>0</v>
      </c>
      <c r="AO23" s="217">
        <f>AK23*VLOOKUP($AO$14,Library!$T$4:$U$7,2,FALSE)</f>
        <v>0</v>
      </c>
      <c r="AP23" s="217">
        <f>AL23*VLOOKUP($AP$14,Library!$T$4:$U$7,2,FALSE)</f>
        <v>0</v>
      </c>
      <c r="AQ23" s="123"/>
      <c r="AR23" s="123"/>
      <c r="AS23" s="123"/>
      <c r="AT23" s="88"/>
      <c r="AU23" s="185"/>
      <c r="AV23" s="70">
        <f>IFERROR(VLOOKUP(AT23,Library!$T$4:$U$7,2,FALSE),0)</f>
        <v>0</v>
      </c>
      <c r="AW23" s="166">
        <f t="shared" si="15"/>
        <v>0</v>
      </c>
      <c r="AX23">
        <f t="shared" si="16"/>
        <v>0</v>
      </c>
      <c r="AZ23" s="25" t="s">
        <v>261</v>
      </c>
      <c r="BA23" s="25" t="s">
        <v>117</v>
      </c>
      <c r="BB23" s="25">
        <v>63.55</v>
      </c>
      <c r="BC23" s="25">
        <v>4.0000000000000001E-3</v>
      </c>
      <c r="BD23" s="25">
        <v>0.02</v>
      </c>
      <c r="BF23" s="25" t="s">
        <v>70</v>
      </c>
      <c r="BG23" s="119">
        <v>35.453000000000003</v>
      </c>
      <c r="BH23" s="70">
        <v>-1</v>
      </c>
    </row>
    <row r="24" spans="1:60" ht="14.4" x14ac:dyDescent="0.3">
      <c r="A24" s="24" t="s">
        <v>43</v>
      </c>
      <c r="B24" s="38" t="s">
        <v>258</v>
      </c>
      <c r="C24" s="25">
        <f t="shared" si="24"/>
        <v>58.69</v>
      </c>
      <c r="D24" s="26">
        <f t="shared" si="25"/>
        <v>2.4665981500513873E-2</v>
      </c>
      <c r="E24" s="21">
        <f t="shared" si="26"/>
        <v>0.02</v>
      </c>
      <c r="F24" s="21" t="s">
        <v>16</v>
      </c>
      <c r="G24" s="21">
        <f t="shared" si="27"/>
        <v>4.2027571137355382E-7</v>
      </c>
      <c r="H24" s="21">
        <f t="shared" si="17"/>
        <v>3.4077355597205658E-7</v>
      </c>
      <c r="I24" s="27" t="s">
        <v>72</v>
      </c>
      <c r="J24" s="28">
        <f>IF(I24="N/A",0,VLOOKUP(I24,Library!$K$4:$M$36,3,FALSE))</f>
        <v>2</v>
      </c>
      <c r="K24" s="28">
        <f>IF(I24="N/A",0,VLOOKUP(I24,Library!$K$4:$M$36,2,FALSE))</f>
        <v>58.692999999999998</v>
      </c>
      <c r="L24" s="28">
        <v>1</v>
      </c>
      <c r="M24" s="23">
        <f t="shared" si="18"/>
        <v>7.610492673456104E-7</v>
      </c>
      <c r="N24" s="23">
        <f t="shared" si="19"/>
        <v>4.466826464831591E-5</v>
      </c>
      <c r="O24" s="28" t="s">
        <v>70</v>
      </c>
      <c r="P24" s="28">
        <f>IF(O24="N/A",0,VLOOKUP(O24,Library!$K$4:$M$36,3,FALSE))</f>
        <v>-1</v>
      </c>
      <c r="Q24" s="23">
        <f>IF(O24="N/A",0,VLOOKUP(O24,Library!$K$4:$M$36,2,FALSE))</f>
        <v>35.453000000000003</v>
      </c>
      <c r="R24" s="36">
        <v>2</v>
      </c>
      <c r="S24" s="36">
        <f t="shared" si="20"/>
        <v>1.5220985346912208E-6</v>
      </c>
      <c r="T24" s="36">
        <f t="shared" si="21"/>
        <v>5.3962959350407853E-5</v>
      </c>
      <c r="U24" s="4">
        <v>6</v>
      </c>
      <c r="V24" s="114">
        <f t="shared" si="6"/>
        <v>9.9882305289327428E-2</v>
      </c>
      <c r="W24" s="123">
        <f t="shared" si="7"/>
        <v>8.0987902538762993E-2</v>
      </c>
      <c r="X24" s="251">
        <f t="shared" si="8"/>
        <v>0.18087020782809043</v>
      </c>
      <c r="Y24" s="109">
        <f t="shared" si="22"/>
        <v>4.466826464831591E-5</v>
      </c>
      <c r="Z24" s="109">
        <f t="shared" si="0"/>
        <v>5.3962959350407853E-5</v>
      </c>
      <c r="AA24" s="109">
        <f t="shared" si="23"/>
        <v>3.0441970693824416E-6</v>
      </c>
      <c r="AB24" s="109">
        <f t="shared" si="1"/>
        <v>1.5220985346912208E-6</v>
      </c>
      <c r="AC24" s="114">
        <v>1.61975805077526E-2</v>
      </c>
      <c r="AD24" s="114">
        <v>8.0987902538762993E-2</v>
      </c>
      <c r="AE24" s="217">
        <f>VLOOKUP(A24,Library!$B$4:$G$69,3,FALSE)</f>
        <v>0</v>
      </c>
      <c r="AF24" s="185">
        <f>VLOOKUP(A24,Library!$B$4:$G$69,4,FALSE)</f>
        <v>0</v>
      </c>
      <c r="AG24" s="185">
        <f>VLOOKUP(A24,Library!$B$4:$G$69,5,FALSE)</f>
        <v>0</v>
      </c>
      <c r="AH24" s="218">
        <f>VLOOKUP(A24,Library!$B$4:$G$69,6,FALSE)</f>
        <v>0</v>
      </c>
      <c r="AI24" s="217">
        <f t="shared" si="11"/>
        <v>0</v>
      </c>
      <c r="AJ24" s="217">
        <f t="shared" si="12"/>
        <v>0</v>
      </c>
      <c r="AK24" s="217">
        <f t="shared" si="13"/>
        <v>0</v>
      </c>
      <c r="AL24" s="217">
        <f t="shared" si="14"/>
        <v>0</v>
      </c>
      <c r="AM24" s="217">
        <f>AI24*VLOOKUP($AM$14,Library!$T$4:$U$7,2,FALSE)</f>
        <v>0</v>
      </c>
      <c r="AN24" s="217">
        <f>AJ24*VLOOKUP($AN$14,Library!$T$4:$U$7,2,FALSE)</f>
        <v>0</v>
      </c>
      <c r="AO24" s="217">
        <f>AK24*VLOOKUP($AO$14,Library!$T$4:$U$7,2,FALSE)</f>
        <v>0</v>
      </c>
      <c r="AP24" s="217">
        <f>AL24*VLOOKUP($AP$14,Library!$T$4:$U$7,2,FALSE)</f>
        <v>0</v>
      </c>
      <c r="AQ24" s="123"/>
      <c r="AR24" s="123"/>
      <c r="AS24" s="123"/>
      <c r="AT24" s="88"/>
      <c r="AU24" s="185"/>
      <c r="AV24" s="70">
        <f>IFERROR(VLOOKUP(AT24,Library!$T$4:$U$7,2,FALSE),0)</f>
        <v>0</v>
      </c>
      <c r="AW24" s="166">
        <f t="shared" si="15"/>
        <v>0</v>
      </c>
      <c r="AX24">
        <f t="shared" si="16"/>
        <v>0</v>
      </c>
      <c r="AZ24" s="25" t="s">
        <v>262</v>
      </c>
      <c r="BA24" s="25" t="s">
        <v>263</v>
      </c>
      <c r="BB24" s="25">
        <v>54.94</v>
      </c>
      <c r="BC24" s="25">
        <v>4.0000000000000001E-3</v>
      </c>
      <c r="BD24" s="25">
        <v>0.02</v>
      </c>
      <c r="BF24" s="25" t="s">
        <v>71</v>
      </c>
      <c r="BG24" s="119">
        <v>87.62</v>
      </c>
      <c r="BH24" s="70">
        <v>2</v>
      </c>
    </row>
    <row r="25" spans="1:60" ht="14.4" x14ac:dyDescent="0.3">
      <c r="A25" s="24" t="s">
        <v>168</v>
      </c>
      <c r="B25" s="38" t="s">
        <v>260</v>
      </c>
      <c r="C25" s="25">
        <f t="shared" si="24"/>
        <v>65.38</v>
      </c>
      <c r="D25" s="26">
        <f t="shared" si="25"/>
        <v>0.12332990750256936</v>
      </c>
      <c r="E25" s="21">
        <f t="shared" si="26"/>
        <v>0.02</v>
      </c>
      <c r="F25" s="21" t="s">
        <v>16</v>
      </c>
      <c r="G25" s="21">
        <f t="shared" si="27"/>
        <v>1.8863552692347718E-6</v>
      </c>
      <c r="H25" s="21">
        <f t="shared" si="17"/>
        <v>3.0590394616090553E-7</v>
      </c>
      <c r="I25" s="27" t="s">
        <v>73</v>
      </c>
      <c r="J25" s="28">
        <f>IF(I25="N/A",0,VLOOKUP(I25,Library!$K$4:$M$36,3,FALSE))</f>
        <v>2</v>
      </c>
      <c r="K25" s="28">
        <f>IF(I25="N/A",0,VLOOKUP(I25,Library!$K$4:$M$36,2,FALSE))</f>
        <v>65.926034000000001</v>
      </c>
      <c r="L25" s="28">
        <v>1</v>
      </c>
      <c r="M25" s="23">
        <f t="shared" si="18"/>
        <v>2.1922592153956772E-6</v>
      </c>
      <c r="N25" s="23">
        <f t="shared" si="19"/>
        <v>1.4452695557098873E-4</v>
      </c>
      <c r="O25" s="28" t="s">
        <v>70</v>
      </c>
      <c r="P25" s="28">
        <f>IF(O25="N/A",0,VLOOKUP(O25,Library!$K$4:$M$36,3,FALSE))</f>
        <v>-1</v>
      </c>
      <c r="Q25" s="23">
        <f>IF(O25="N/A",0,VLOOKUP(O25,Library!$K$4:$M$36,2,FALSE))</f>
        <v>35.453000000000003</v>
      </c>
      <c r="R25" s="36">
        <v>2</v>
      </c>
      <c r="S25" s="36">
        <f t="shared" si="20"/>
        <v>4.3845184307913544E-6</v>
      </c>
      <c r="T25" s="36">
        <f t="shared" si="21"/>
        <v>1.554443319268459E-4</v>
      </c>
      <c r="U25" s="4">
        <v>0</v>
      </c>
      <c r="V25" s="114">
        <f t="shared" si="6"/>
        <v>0.25811382833601149</v>
      </c>
      <c r="W25" s="123">
        <f t="shared" si="7"/>
        <v>4.1857459161823193E-2</v>
      </c>
      <c r="X25" s="251">
        <f t="shared" si="8"/>
        <v>0.29997128749783469</v>
      </c>
      <c r="Y25" s="109">
        <f t="shared" si="22"/>
        <v>1.4452695557098873E-4</v>
      </c>
      <c r="Z25" s="109">
        <f t="shared" si="0"/>
        <v>1.554443319268459E-4</v>
      </c>
      <c r="AA25" s="109">
        <f t="shared" si="23"/>
        <v>8.7690368615827087E-6</v>
      </c>
      <c r="AB25" s="109">
        <f t="shared" si="1"/>
        <v>4.3845184307913544E-6</v>
      </c>
      <c r="AC25" s="114">
        <v>4.1857459161823193E-2</v>
      </c>
      <c r="AD25" s="114">
        <v>4.1857459161823193E-2</v>
      </c>
      <c r="AE25" s="217">
        <f>VLOOKUP(A25,Library!$B$4:$G$69,3,FALSE)</f>
        <v>0</v>
      </c>
      <c r="AF25" s="185">
        <f>VLOOKUP(A25,Library!$B$4:$G$69,4,FALSE)</f>
        <v>0</v>
      </c>
      <c r="AG25" s="185">
        <f>VLOOKUP(A25,Library!$B$4:$G$69,5,FALSE)</f>
        <v>0</v>
      </c>
      <c r="AH25" s="218">
        <f>VLOOKUP(A25,Library!$B$4:$G$69,6,FALSE)</f>
        <v>0</v>
      </c>
      <c r="AI25" s="217">
        <f t="shared" si="11"/>
        <v>0</v>
      </c>
      <c r="AJ25" s="217">
        <f t="shared" si="12"/>
        <v>0</v>
      </c>
      <c r="AK25" s="217">
        <f t="shared" si="13"/>
        <v>0</v>
      </c>
      <c r="AL25" s="217">
        <f t="shared" si="14"/>
        <v>0</v>
      </c>
      <c r="AM25" s="217">
        <f>AI25*VLOOKUP($AM$14,Library!$T$4:$U$7,2,FALSE)</f>
        <v>0</v>
      </c>
      <c r="AN25" s="217">
        <f>AJ25*VLOOKUP($AN$14,Library!$T$4:$U$7,2,FALSE)</f>
        <v>0</v>
      </c>
      <c r="AO25" s="217">
        <f>AK25*VLOOKUP($AO$14,Library!$T$4:$U$7,2,FALSE)</f>
        <v>0</v>
      </c>
      <c r="AP25" s="217">
        <f>AL25*VLOOKUP($AP$14,Library!$T$4:$U$7,2,FALSE)</f>
        <v>0</v>
      </c>
      <c r="AQ25" s="123"/>
      <c r="AR25" s="123"/>
      <c r="AS25" s="123"/>
      <c r="AT25" s="88"/>
      <c r="AU25" s="185"/>
      <c r="AV25" s="70">
        <f>IFERROR(VLOOKUP(AT25,Library!$T$4:$U$7,2,FALSE),0)</f>
        <v>0</v>
      </c>
      <c r="AW25" s="166">
        <f t="shared" si="15"/>
        <v>0</v>
      </c>
      <c r="AX25">
        <f t="shared" si="16"/>
        <v>0</v>
      </c>
      <c r="AZ25" s="25" t="s">
        <v>264</v>
      </c>
      <c r="BA25" s="25" t="s">
        <v>118</v>
      </c>
      <c r="BB25" s="25">
        <v>95.96</v>
      </c>
      <c r="BC25" s="25">
        <v>4.0000000000000001E-3</v>
      </c>
      <c r="BD25" s="25">
        <v>0.05</v>
      </c>
      <c r="BF25" s="25" t="s">
        <v>112</v>
      </c>
      <c r="BG25" s="119">
        <v>247.84</v>
      </c>
      <c r="BH25" s="70">
        <v>-1</v>
      </c>
    </row>
    <row r="26" spans="1:60" ht="14.4" x14ac:dyDescent="0.3">
      <c r="A26" s="24" t="s">
        <v>179</v>
      </c>
      <c r="B26" s="38" t="s">
        <v>117</v>
      </c>
      <c r="C26" s="25">
        <f t="shared" si="24"/>
        <v>63.55</v>
      </c>
      <c r="D26" s="26">
        <f t="shared" si="25"/>
        <v>2.4665981500513873E-2</v>
      </c>
      <c r="E26" s="21">
        <f t="shared" si="26"/>
        <v>0.02</v>
      </c>
      <c r="F26" s="21" t="s">
        <v>16</v>
      </c>
      <c r="G26" s="21">
        <f t="shared" si="27"/>
        <v>3.8813503541327888E-7</v>
      </c>
      <c r="H26" s="21">
        <f t="shared" si="17"/>
        <v>3.1471282454760031E-7</v>
      </c>
      <c r="I26" s="27" t="s">
        <v>81</v>
      </c>
      <c r="J26" s="28">
        <f>IF(I26="N/A",0,VLOOKUP(I26,Library!$K$4:$M$36,3,FALSE))</f>
        <v>2</v>
      </c>
      <c r="K26" s="28">
        <f>IF(I26="N/A",0,VLOOKUP(I26,Library!$K$4:$M$36,2,FALSE))</f>
        <v>187.56</v>
      </c>
      <c r="L26" s="28">
        <v>2</v>
      </c>
      <c r="M26" s="23">
        <f t="shared" si="18"/>
        <v>1.4056957199217584E-6</v>
      </c>
      <c r="N26" s="23">
        <f t="shared" si="19"/>
        <v>2.6365228922852499E-4</v>
      </c>
      <c r="O26" s="28" t="s">
        <v>70</v>
      </c>
      <c r="P26" s="28">
        <f>IF(O26="N/A",0,VLOOKUP(O26,Library!$K$4:$M$36,3,FALSE))</f>
        <v>-1</v>
      </c>
      <c r="Q26" s="23">
        <f>IF(O26="N/A",0,VLOOKUP(O26,Library!$K$4:$M$36,2,FALSE))</f>
        <v>35.453000000000003</v>
      </c>
      <c r="R26" s="36">
        <v>2</v>
      </c>
      <c r="S26" s="36">
        <f t="shared" si="20"/>
        <v>1.4056957199217584E-6</v>
      </c>
      <c r="T26" s="36">
        <f t="shared" si="21"/>
        <v>4.9836130358386102E-5</v>
      </c>
      <c r="U26" s="4">
        <v>2</v>
      </c>
      <c r="V26" s="114">
        <f t="shared" si="6"/>
        <v>0.18709894128082943</v>
      </c>
      <c r="W26" s="123">
        <f t="shared" si="7"/>
        <v>0.15170605822187255</v>
      </c>
      <c r="X26" s="251">
        <f t="shared" si="8"/>
        <v>0.33880499950270199</v>
      </c>
      <c r="Y26" s="109">
        <f t="shared" si="22"/>
        <v>2.6365228922852499E-4</v>
      </c>
      <c r="Z26" s="109">
        <f t="shared" si="0"/>
        <v>4.9836130358386102E-5</v>
      </c>
      <c r="AA26" s="109">
        <f t="shared" si="23"/>
        <v>5.6227828796870335E-6</v>
      </c>
      <c r="AB26" s="109">
        <f t="shared" si="1"/>
        <v>1.4056957199217584E-6</v>
      </c>
      <c r="AC26" s="114">
        <v>3.0341211644374512E-2</v>
      </c>
      <c r="AD26" s="114">
        <v>0.15170605822187255</v>
      </c>
      <c r="AE26" s="217">
        <f>VLOOKUP(A26,Library!$B$4:$G$69,3,FALSE)</f>
        <v>0</v>
      </c>
      <c r="AF26" s="185">
        <f>VLOOKUP(A26,Library!$B$4:$G$69,4,FALSE)</f>
        <v>0</v>
      </c>
      <c r="AG26" s="185">
        <f>VLOOKUP(A26,Library!$B$4:$G$69,5,FALSE)</f>
        <v>0</v>
      </c>
      <c r="AH26" s="218">
        <f>VLOOKUP(A26,Library!$B$4:$G$69,6,FALSE)</f>
        <v>0</v>
      </c>
      <c r="AI26" s="217">
        <f t="shared" si="11"/>
        <v>0</v>
      </c>
      <c r="AJ26" s="217">
        <f t="shared" si="12"/>
        <v>0</v>
      </c>
      <c r="AK26" s="217">
        <f t="shared" si="13"/>
        <v>0</v>
      </c>
      <c r="AL26" s="217">
        <f t="shared" si="14"/>
        <v>0</v>
      </c>
      <c r="AM26" s="217">
        <f>AI26*VLOOKUP($AM$14,Library!$T$4:$U$7,2,FALSE)</f>
        <v>0</v>
      </c>
      <c r="AN26" s="217">
        <f>AJ26*VLOOKUP($AN$14,Library!$T$4:$U$7,2,FALSE)</f>
        <v>0</v>
      </c>
      <c r="AO26" s="217">
        <f>AK26*VLOOKUP($AO$14,Library!$T$4:$U$7,2,FALSE)</f>
        <v>0</v>
      </c>
      <c r="AP26" s="217">
        <f>AL26*VLOOKUP($AP$14,Library!$T$4:$U$7,2,FALSE)</f>
        <v>0</v>
      </c>
      <c r="AQ26" s="123"/>
      <c r="AR26" s="123"/>
      <c r="AS26" s="123"/>
      <c r="AT26" s="88"/>
      <c r="AU26" s="185"/>
      <c r="AV26" s="70">
        <f>IFERROR(VLOOKUP(AT26,Library!$T$4:$U$7,2,FALSE),0)</f>
        <v>0</v>
      </c>
      <c r="AW26" s="166">
        <f t="shared" si="15"/>
        <v>0</v>
      </c>
      <c r="AX26">
        <f t="shared" si="16"/>
        <v>0</v>
      </c>
      <c r="AZ26" s="25" t="s">
        <v>265</v>
      </c>
      <c r="BA26" s="25" t="s">
        <v>86</v>
      </c>
      <c r="BB26" s="25">
        <v>78.959999999999994</v>
      </c>
      <c r="BC26" s="25">
        <v>4.0000000000000001E-3</v>
      </c>
      <c r="BD26" s="25">
        <v>0.08</v>
      </c>
      <c r="BF26" s="25" t="s">
        <v>72</v>
      </c>
      <c r="BG26" s="119">
        <v>58.692999999999998</v>
      </c>
      <c r="BH26" s="70">
        <v>2</v>
      </c>
    </row>
    <row r="27" spans="1:60" ht="14.4" x14ac:dyDescent="0.3">
      <c r="A27" s="24" t="s">
        <v>163</v>
      </c>
      <c r="B27" s="38" t="s">
        <v>263</v>
      </c>
      <c r="C27" s="25">
        <f t="shared" si="24"/>
        <v>54.94</v>
      </c>
      <c r="D27" s="26">
        <f t="shared" si="25"/>
        <v>2.4665981500513873E-2</v>
      </c>
      <c r="E27" s="21">
        <f t="shared" si="26"/>
        <v>0.02</v>
      </c>
      <c r="F27" s="21" t="s">
        <v>16</v>
      </c>
      <c r="G27" s="21">
        <f t="shared" si="27"/>
        <v>4.4896216782879272E-7</v>
      </c>
      <c r="H27" s="21">
        <f t="shared" si="17"/>
        <v>3.640334910811795E-7</v>
      </c>
      <c r="I27" s="27" t="s">
        <v>74</v>
      </c>
      <c r="J27" s="28">
        <f>IF(I27="N/A",0,VLOOKUP(I27,Library!$K$4:$M$36,3,FALSE))</f>
        <v>2</v>
      </c>
      <c r="K27" s="28">
        <f>IF(I27="N/A",0,VLOOKUP(I27,Library!$K$4:$M$36,2,FALSE))</f>
        <v>54.94</v>
      </c>
      <c r="L27" s="28">
        <v>1</v>
      </c>
      <c r="M27" s="23">
        <f t="shared" si="18"/>
        <v>8.1299565890997217E-7</v>
      </c>
      <c r="N27" s="23">
        <f t="shared" si="19"/>
        <v>4.4665981500513866E-5</v>
      </c>
      <c r="O27" s="28" t="s">
        <v>70</v>
      </c>
      <c r="P27" s="28">
        <f>IF(O27="N/A",0,VLOOKUP(O27,Library!$K$4:$M$36,3,FALSE))</f>
        <v>-1</v>
      </c>
      <c r="Q27" s="23">
        <f>IF(O27="N/A",0,VLOOKUP(O27,Library!$K$4:$M$36,2,FALSE))</f>
        <v>35.453000000000003</v>
      </c>
      <c r="R27" s="36">
        <v>2</v>
      </c>
      <c r="S27" s="36">
        <f t="shared" si="20"/>
        <v>1.6259913178199443E-6</v>
      </c>
      <c r="T27" s="36">
        <f t="shared" si="21"/>
        <v>5.7646270190670493E-5</v>
      </c>
      <c r="U27" s="4">
        <v>4</v>
      </c>
      <c r="V27" s="114">
        <f t="shared" si="6"/>
        <v>8.8843327542968489E-2</v>
      </c>
      <c r="W27" s="123">
        <f t="shared" si="7"/>
        <v>7.2037131416090291E-2</v>
      </c>
      <c r="X27" s="251">
        <f t="shared" si="8"/>
        <v>0.16088045895905878</v>
      </c>
      <c r="Y27" s="109">
        <f t="shared" si="22"/>
        <v>4.4665981500513866E-5</v>
      </c>
      <c r="Z27" s="109">
        <f t="shared" si="0"/>
        <v>5.7646270190670493E-5</v>
      </c>
      <c r="AA27" s="109">
        <f t="shared" si="23"/>
        <v>3.2519826356398887E-6</v>
      </c>
      <c r="AB27" s="109">
        <f t="shared" si="1"/>
        <v>1.6259913178199443E-6</v>
      </c>
      <c r="AC27" s="114">
        <v>1.4407426283218056E-2</v>
      </c>
      <c r="AD27" s="114">
        <v>7.2037131416090291E-2</v>
      </c>
      <c r="AE27" s="217">
        <f>VLOOKUP(A27,Library!$B$4:$G$69,3,FALSE)</f>
        <v>0</v>
      </c>
      <c r="AF27" s="185">
        <f>VLOOKUP(A27,Library!$B$4:$G$69,4,FALSE)</f>
        <v>0</v>
      </c>
      <c r="AG27" s="185">
        <f>VLOOKUP(A27,Library!$B$4:$G$69,5,FALSE)</f>
        <v>0</v>
      </c>
      <c r="AH27" s="218">
        <f>VLOOKUP(A27,Library!$B$4:$G$69,6,FALSE)</f>
        <v>0</v>
      </c>
      <c r="AI27" s="217">
        <f t="shared" si="11"/>
        <v>0</v>
      </c>
      <c r="AJ27" s="217">
        <f t="shared" si="12"/>
        <v>0</v>
      </c>
      <c r="AK27" s="217">
        <f t="shared" si="13"/>
        <v>0</v>
      </c>
      <c r="AL27" s="217">
        <f t="shared" si="14"/>
        <v>0</v>
      </c>
      <c r="AM27" s="217">
        <f>AI27*VLOOKUP($AM$14,Library!$T$4:$U$7,2,FALSE)</f>
        <v>0</v>
      </c>
      <c r="AN27" s="217">
        <f>AJ27*VLOOKUP($AN$14,Library!$T$4:$U$7,2,FALSE)</f>
        <v>0</v>
      </c>
      <c r="AO27" s="217">
        <f>AK27*VLOOKUP($AO$14,Library!$T$4:$U$7,2,FALSE)</f>
        <v>0</v>
      </c>
      <c r="AP27" s="217">
        <f>AL27*VLOOKUP($AP$14,Library!$T$4:$U$7,2,FALSE)</f>
        <v>0</v>
      </c>
      <c r="AQ27" s="123"/>
      <c r="AR27" s="123"/>
      <c r="AS27" s="123"/>
      <c r="AT27" s="88"/>
      <c r="AU27" s="185"/>
      <c r="AV27" s="70">
        <f>IFERROR(VLOOKUP(AT27,Library!$T$4:$U$7,2,FALSE),0)</f>
        <v>0</v>
      </c>
      <c r="AW27" s="166">
        <f t="shared" si="15"/>
        <v>0</v>
      </c>
      <c r="AX27">
        <f t="shared" si="16"/>
        <v>0</v>
      </c>
      <c r="AZ27" s="25" t="s">
        <v>266</v>
      </c>
      <c r="BA27" s="25" t="s">
        <v>267</v>
      </c>
      <c r="BB27" s="25">
        <v>183.8</v>
      </c>
      <c r="BC27" s="25">
        <v>4.0000000000000001E-3</v>
      </c>
      <c r="BD27" s="25">
        <v>0.02</v>
      </c>
      <c r="BF27" s="25" t="s">
        <v>73</v>
      </c>
      <c r="BG27" s="119">
        <v>65.926034000000001</v>
      </c>
      <c r="BH27" s="70">
        <v>2</v>
      </c>
    </row>
    <row r="28" spans="1:60" ht="14.4" x14ac:dyDescent="0.3">
      <c r="A28" s="24" t="s">
        <v>50</v>
      </c>
      <c r="B28" s="38" t="s">
        <v>118</v>
      </c>
      <c r="C28" s="25">
        <f t="shared" si="24"/>
        <v>95.96</v>
      </c>
      <c r="D28" s="26">
        <f t="shared" si="25"/>
        <v>2.4665981500513873E-2</v>
      </c>
      <c r="E28" s="21">
        <f t="shared" si="26"/>
        <v>0.05</v>
      </c>
      <c r="F28" s="21" t="s">
        <v>16</v>
      </c>
      <c r="G28" s="21">
        <f t="shared" si="27"/>
        <v>2.5704440913415873E-7</v>
      </c>
      <c r="H28" s="21">
        <f t="shared" si="17"/>
        <v>5.210504376823677E-7</v>
      </c>
      <c r="I28" s="27" t="s">
        <v>63</v>
      </c>
      <c r="J28" s="28">
        <f>IF(I28="N/A",0,VLOOKUP(I28,Library!$K$4:$M$36,3,FALSE))</f>
        <v>1</v>
      </c>
      <c r="K28" s="28">
        <f>IF(I28="N/A",0,VLOOKUP(I28,Library!$K$4:$M$36,2,FALSE))</f>
        <v>28.989768999999999</v>
      </c>
      <c r="L28" s="28">
        <v>2</v>
      </c>
      <c r="M28" s="23">
        <f t="shared" si="18"/>
        <v>1.5561896936330527E-6</v>
      </c>
      <c r="N28" s="23">
        <f t="shared" si="19"/>
        <v>4.5113579738602969E-5</v>
      </c>
      <c r="O28" s="28" t="s">
        <v>76</v>
      </c>
      <c r="P28" s="28">
        <f>IF(O28="N/A",0,VLOOKUP(O28,Library!$K$4:$M$36,3,FALSE))</f>
        <v>-2</v>
      </c>
      <c r="Q28" s="23">
        <f>IF(O28="N/A",0,VLOOKUP(O28,Library!$K$4:$M$36,2,FALSE))</f>
        <v>159.94999999999999</v>
      </c>
      <c r="R28" s="36">
        <v>1</v>
      </c>
      <c r="S28" s="36">
        <f t="shared" si="20"/>
        <v>7.7809484681652637E-7</v>
      </c>
      <c r="T28" s="36">
        <f t="shared" si="21"/>
        <v>1.2445627074830339E-4</v>
      </c>
      <c r="U28" s="4">
        <v>2</v>
      </c>
      <c r="V28" s="114">
        <f t="shared" si="6"/>
        <v>6.5276308945102585E-2</v>
      </c>
      <c r="W28" s="123">
        <f t="shared" si="7"/>
        <v>0.13232051792413507</v>
      </c>
      <c r="X28" s="251">
        <f t="shared" si="8"/>
        <v>0.19759682686923766</v>
      </c>
      <c r="Y28" s="109">
        <f t="shared" si="22"/>
        <v>4.5113579738602969E-5</v>
      </c>
      <c r="Z28" s="109">
        <f t="shared" si="0"/>
        <v>1.2445627074830339E-4</v>
      </c>
      <c r="AA28" s="109">
        <f t="shared" si="23"/>
        <v>1.5561896936330527E-6</v>
      </c>
      <c r="AB28" s="109">
        <f t="shared" si="1"/>
        <v>3.1123793872661055E-6</v>
      </c>
      <c r="AC28" s="114">
        <v>1.0585641433930804E-2</v>
      </c>
      <c r="AD28" s="114">
        <v>0.13232051792413507</v>
      </c>
      <c r="AE28" s="217">
        <f>VLOOKUP(A28,Library!$B$4:$G$69,3,FALSE)</f>
        <v>0</v>
      </c>
      <c r="AF28" s="185">
        <f>VLOOKUP(A28,Library!$B$4:$G$69,4,FALSE)</f>
        <v>0</v>
      </c>
      <c r="AG28" s="185">
        <f>VLOOKUP(A28,Library!$B$4:$G$69,5,FALSE)</f>
        <v>0</v>
      </c>
      <c r="AH28" s="218">
        <f>VLOOKUP(A28,Library!$B$4:$G$69,6,FALSE)</f>
        <v>0</v>
      </c>
      <c r="AI28" s="217">
        <f t="shared" si="11"/>
        <v>0</v>
      </c>
      <c r="AJ28" s="217">
        <f t="shared" si="12"/>
        <v>0</v>
      </c>
      <c r="AK28" s="217">
        <f t="shared" si="13"/>
        <v>0</v>
      </c>
      <c r="AL28" s="217">
        <f t="shared" si="14"/>
        <v>0</v>
      </c>
      <c r="AM28" s="217">
        <f>AI28*VLOOKUP($AM$14,Library!$T$4:$U$7,2,FALSE)</f>
        <v>0</v>
      </c>
      <c r="AN28" s="217">
        <f>AJ28*VLOOKUP($AN$14,Library!$T$4:$U$7,2,FALSE)</f>
        <v>0</v>
      </c>
      <c r="AO28" s="217">
        <f>AK28*VLOOKUP($AO$14,Library!$T$4:$U$7,2,FALSE)</f>
        <v>0</v>
      </c>
      <c r="AP28" s="217">
        <f>AL28*VLOOKUP($AP$14,Library!$T$4:$U$7,2,FALSE)</f>
        <v>0</v>
      </c>
      <c r="AQ28" s="123"/>
      <c r="AR28" s="123"/>
      <c r="AS28" s="123"/>
      <c r="AT28" s="88"/>
      <c r="AU28" s="185"/>
      <c r="AV28" s="70">
        <f>IFERROR(VLOOKUP(AT28,Library!$T$4:$U$7,2,FALSE),0)</f>
        <v>0</v>
      </c>
      <c r="AW28" s="166">
        <f t="shared" si="15"/>
        <v>0</v>
      </c>
      <c r="AX28">
        <f t="shared" si="16"/>
        <v>0</v>
      </c>
      <c r="AZ28" s="25" t="s">
        <v>268</v>
      </c>
      <c r="BA28" s="25" t="s">
        <v>88</v>
      </c>
      <c r="BB28" s="25">
        <v>10.81</v>
      </c>
      <c r="BC28" s="25">
        <v>4.0000000000000001E-3</v>
      </c>
      <c r="BD28" s="25">
        <v>0.02</v>
      </c>
      <c r="BF28" s="25" t="s">
        <v>74</v>
      </c>
      <c r="BG28" s="119">
        <v>54.94</v>
      </c>
      <c r="BH28" s="70">
        <v>2</v>
      </c>
    </row>
    <row r="29" spans="1:60" ht="14.4" x14ac:dyDescent="0.3">
      <c r="A29" s="24" t="s">
        <v>336</v>
      </c>
      <c r="B29" s="38" t="s">
        <v>86</v>
      </c>
      <c r="C29" s="25">
        <f t="shared" si="24"/>
        <v>78.959999999999994</v>
      </c>
      <c r="D29" s="26">
        <f t="shared" si="25"/>
        <v>2.4665981500513873E-2</v>
      </c>
      <c r="E29" s="21">
        <f t="shared" si="26"/>
        <v>0.08</v>
      </c>
      <c r="F29" s="21" t="s">
        <v>16</v>
      </c>
      <c r="G29" s="21">
        <f t="shared" si="27"/>
        <v>3.1238578394774411E-7</v>
      </c>
      <c r="H29" s="21">
        <f t="shared" si="17"/>
        <v>1.0131712259371833E-6</v>
      </c>
      <c r="I29" s="27" t="s">
        <v>63</v>
      </c>
      <c r="J29" s="28">
        <f>IF(I29="N/A",0,VLOOKUP(I29,Library!$K$4:$M$36,3,FALSE))</f>
        <v>1</v>
      </c>
      <c r="K29" s="28">
        <f>IF(I29="N/A",0,VLOOKUP(I29,Library!$K$4:$M$36,2,FALSE))</f>
        <v>28.989768999999999</v>
      </c>
      <c r="L29" s="28">
        <v>2</v>
      </c>
      <c r="M29" s="23">
        <f t="shared" si="18"/>
        <v>2.6511140197698547E-6</v>
      </c>
      <c r="N29" s="23">
        <f t="shared" si="19"/>
        <v>7.685518302578952E-5</v>
      </c>
      <c r="O29" s="28" t="s">
        <v>115</v>
      </c>
      <c r="P29" s="28">
        <f>IF(O29="N/A",0,VLOOKUP(O29,Library!$K$4:$M$36,3,FALSE))</f>
        <v>-2</v>
      </c>
      <c r="Q29" s="23">
        <f>IF(O29="N/A",0,VLOOKUP(O29,Library!$K$4:$M$36,2,FALSE))</f>
        <v>126.968</v>
      </c>
      <c r="R29" s="36">
        <v>1</v>
      </c>
      <c r="S29" s="36">
        <f t="shared" si="20"/>
        <v>1.3255570098849274E-6</v>
      </c>
      <c r="T29" s="36">
        <f t="shared" si="21"/>
        <v>1.6830332243106947E-4</v>
      </c>
      <c r="U29" s="4">
        <v>0</v>
      </c>
      <c r="V29" s="114">
        <f t="shared" si="6"/>
        <v>5.7774981647335195E-2</v>
      </c>
      <c r="W29" s="123">
        <f t="shared" si="7"/>
        <v>0.18738352380952381</v>
      </c>
      <c r="X29" s="251">
        <f t="shared" si="8"/>
        <v>0.24515850545685899</v>
      </c>
      <c r="Y29" s="109">
        <f t="shared" si="22"/>
        <v>7.685518302578952E-5</v>
      </c>
      <c r="Z29" s="109">
        <f t="shared" si="0"/>
        <v>1.6830332243106947E-4</v>
      </c>
      <c r="AA29" s="109">
        <f t="shared" si="23"/>
        <v>2.6511140197698547E-6</v>
      </c>
      <c r="AB29" s="109">
        <f t="shared" si="1"/>
        <v>5.3022280395397095E-6</v>
      </c>
      <c r="AC29" s="114">
        <v>9.369176190476192E-3</v>
      </c>
      <c r="AD29" s="114">
        <v>0.18738352380952381</v>
      </c>
      <c r="AE29" s="217">
        <f>VLOOKUP(A29,Library!$B$4:$G$69,3,FALSE)</f>
        <v>0</v>
      </c>
      <c r="AF29" s="185">
        <f>VLOOKUP(A29,Library!$B$4:$G$69,4,FALSE)</f>
        <v>0</v>
      </c>
      <c r="AG29" s="185">
        <f>VLOOKUP(A29,Library!$B$4:$G$69,5,FALSE)</f>
        <v>0</v>
      </c>
      <c r="AH29" s="218">
        <f>VLOOKUP(A29,Library!$B$4:$G$69,6,FALSE)</f>
        <v>0</v>
      </c>
      <c r="AI29" s="217">
        <f t="shared" si="11"/>
        <v>0</v>
      </c>
      <c r="AJ29" s="217">
        <f t="shared" si="12"/>
        <v>0</v>
      </c>
      <c r="AK29" s="217">
        <f t="shared" si="13"/>
        <v>0</v>
      </c>
      <c r="AL29" s="217">
        <f t="shared" si="14"/>
        <v>0</v>
      </c>
      <c r="AM29" s="217">
        <f>AI29*VLOOKUP($AM$14,Library!$T$4:$U$7,2,FALSE)</f>
        <v>0</v>
      </c>
      <c r="AN29" s="217">
        <f>AJ29*VLOOKUP($AN$14,Library!$T$4:$U$7,2,FALSE)</f>
        <v>0</v>
      </c>
      <c r="AO29" s="217">
        <f>AK29*VLOOKUP($AO$14,Library!$T$4:$U$7,2,FALSE)</f>
        <v>0</v>
      </c>
      <c r="AP29" s="217">
        <f>AL29*VLOOKUP($AP$14,Library!$T$4:$U$7,2,FALSE)</f>
        <v>0</v>
      </c>
      <c r="AQ29" s="123"/>
      <c r="AR29" s="123"/>
      <c r="AS29" s="123"/>
      <c r="AT29" s="88"/>
      <c r="AU29" s="185"/>
      <c r="AV29" s="70">
        <f>IFERROR(VLOOKUP(AT29,Library!$T$4:$U$7,2,FALSE),0)</f>
        <v>0</v>
      </c>
      <c r="AW29" s="166">
        <f t="shared" si="15"/>
        <v>0</v>
      </c>
      <c r="AX29">
        <f t="shared" si="16"/>
        <v>0</v>
      </c>
      <c r="AZ29" s="115" t="s">
        <v>85</v>
      </c>
      <c r="BA29" s="115" t="s">
        <v>85</v>
      </c>
      <c r="BB29" s="115">
        <v>292</v>
      </c>
      <c r="BC29" s="115"/>
      <c r="BD29" s="115">
        <v>0</v>
      </c>
      <c r="BF29" s="25" t="s">
        <v>75</v>
      </c>
      <c r="BG29" s="119">
        <v>58.933190000000003</v>
      </c>
      <c r="BH29" s="70">
        <v>2</v>
      </c>
    </row>
    <row r="30" spans="1:60" ht="14.4" x14ac:dyDescent="0.3">
      <c r="A30" s="24" t="s">
        <v>27</v>
      </c>
      <c r="B30" s="38" t="s">
        <v>267</v>
      </c>
      <c r="C30" s="25">
        <f t="shared" si="24"/>
        <v>183.8</v>
      </c>
      <c r="D30" s="26">
        <f t="shared" si="25"/>
        <v>2.4665981500513873E-2</v>
      </c>
      <c r="E30" s="21">
        <f t="shared" si="26"/>
        <v>0.02</v>
      </c>
      <c r="F30" s="21" t="s">
        <v>16</v>
      </c>
      <c r="G30" s="21">
        <f t="shared" si="27"/>
        <v>1.3420011697776861E-7</v>
      </c>
      <c r="H30" s="21">
        <f t="shared" si="17"/>
        <v>1.0881392818280741E-7</v>
      </c>
      <c r="I30" s="27" t="s">
        <v>63</v>
      </c>
      <c r="J30" s="28">
        <f>IF(I30="N/A",0,VLOOKUP(I30,Library!$K$4:$M$36,3,FALSE))</f>
        <v>1</v>
      </c>
      <c r="K30" s="28">
        <f>IF(I30="N/A",0,VLOOKUP(I30,Library!$K$4:$M$36,2,FALSE))</f>
        <v>28.989768999999999</v>
      </c>
      <c r="L30" s="28">
        <v>1</v>
      </c>
      <c r="M30" s="23">
        <f t="shared" si="18"/>
        <v>2.4301404516057602E-7</v>
      </c>
      <c r="N30" s="23">
        <f t="shared" si="19"/>
        <v>7.0449210329606668E-6</v>
      </c>
      <c r="O30" s="28" t="s">
        <v>112</v>
      </c>
      <c r="P30" s="28">
        <f>IF(O30="N/A",0,VLOOKUP(O30,Library!$K$4:$M$36,3,FALSE))</f>
        <v>-1</v>
      </c>
      <c r="Q30" s="23">
        <f>IF(O30="N/A",0,VLOOKUP(O30,Library!$K$4:$M$36,2,FALSE))</f>
        <v>247.84</v>
      </c>
      <c r="R30" s="36">
        <v>1</v>
      </c>
      <c r="S30" s="36">
        <f t="shared" si="20"/>
        <v>2.4301404516057602E-7</v>
      </c>
      <c r="T30" s="36">
        <f t="shared" si="21"/>
        <v>6.022860095259716E-5</v>
      </c>
      <c r="U30" s="4">
        <v>2</v>
      </c>
      <c r="V30" s="114">
        <f t="shared" si="6"/>
        <v>4.1984475596267883E-2</v>
      </c>
      <c r="W30" s="123">
        <f t="shared" si="7"/>
        <v>3.4042412295973885E-2</v>
      </c>
      <c r="X30" s="251">
        <f t="shared" si="8"/>
        <v>7.6026887892241768E-2</v>
      </c>
      <c r="Y30" s="109">
        <f t="shared" si="22"/>
        <v>7.0449210329606668E-6</v>
      </c>
      <c r="Z30" s="109">
        <f t="shared" si="0"/>
        <v>6.022860095259716E-5</v>
      </c>
      <c r="AA30" s="109">
        <f t="shared" si="23"/>
        <v>2.4301404516057602E-7</v>
      </c>
      <c r="AB30" s="109">
        <f t="shared" si="1"/>
        <v>2.4301404516057602E-7</v>
      </c>
      <c r="AC30" s="114">
        <v>6.8084824591947771E-3</v>
      </c>
      <c r="AD30" s="114">
        <v>3.4042412295973885E-2</v>
      </c>
      <c r="AE30" s="217">
        <f>VLOOKUP(A30,Library!$B$4:$G$69,3,FALSE)</f>
        <v>0</v>
      </c>
      <c r="AF30" s="185">
        <f>VLOOKUP(A30,Library!$B$4:$G$69,4,FALSE)</f>
        <v>0</v>
      </c>
      <c r="AG30" s="185">
        <f>VLOOKUP(A30,Library!$B$4:$G$69,5,FALSE)</f>
        <v>0</v>
      </c>
      <c r="AH30" s="218">
        <f>VLOOKUP(A30,Library!$B$4:$G$69,6,FALSE)</f>
        <v>0</v>
      </c>
      <c r="AI30" s="217">
        <f t="shared" si="11"/>
        <v>0</v>
      </c>
      <c r="AJ30" s="217">
        <f t="shared" si="12"/>
        <v>0</v>
      </c>
      <c r="AK30" s="217">
        <f t="shared" si="13"/>
        <v>0</v>
      </c>
      <c r="AL30" s="217">
        <f t="shared" si="14"/>
        <v>0</v>
      </c>
      <c r="AM30" s="217">
        <f>AI30*VLOOKUP($AM$14,Library!$T$4:$U$7,2,FALSE)</f>
        <v>0</v>
      </c>
      <c r="AN30" s="217">
        <f>AJ30*VLOOKUP($AN$14,Library!$T$4:$U$7,2,FALSE)</f>
        <v>0</v>
      </c>
      <c r="AO30" s="217">
        <f>AK30*VLOOKUP($AO$14,Library!$T$4:$U$7,2,FALSE)</f>
        <v>0</v>
      </c>
      <c r="AP30" s="217">
        <f>AL30*VLOOKUP($AP$14,Library!$T$4:$U$7,2,FALSE)</f>
        <v>0</v>
      </c>
      <c r="AQ30" s="123"/>
      <c r="AR30" s="123"/>
      <c r="AS30" s="123"/>
      <c r="AT30" s="88"/>
      <c r="AU30" s="185"/>
      <c r="AV30" s="70">
        <f>IFERROR(VLOOKUP(AT30,Library!$T$4:$U$7,2,FALSE),0)</f>
        <v>0</v>
      </c>
      <c r="AW30" s="166">
        <f t="shared" si="15"/>
        <v>0</v>
      </c>
      <c r="AX30">
        <f t="shared" si="16"/>
        <v>0</v>
      </c>
      <c r="AZ30" s="20" t="s">
        <v>269</v>
      </c>
      <c r="BA30" s="20"/>
      <c r="BB30" s="20"/>
      <c r="BC30" s="25"/>
      <c r="BD30" s="25"/>
      <c r="BF30" s="25" t="s">
        <v>76</v>
      </c>
      <c r="BG30" s="119">
        <v>159.94999999999999</v>
      </c>
      <c r="BH30" s="70">
        <v>-2</v>
      </c>
    </row>
    <row r="31" spans="1:60" ht="14.4" x14ac:dyDescent="0.3">
      <c r="A31" s="24" t="s">
        <v>31</v>
      </c>
      <c r="B31" s="38" t="s">
        <v>88</v>
      </c>
      <c r="C31" s="25">
        <f t="shared" si="24"/>
        <v>10.81</v>
      </c>
      <c r="D31" s="26">
        <f t="shared" si="25"/>
        <v>2.4665981500513873E-2</v>
      </c>
      <c r="E31" s="21">
        <f t="shared" si="26"/>
        <v>0.02</v>
      </c>
      <c r="F31" s="21" t="s">
        <v>16</v>
      </c>
      <c r="G31" s="21">
        <f t="shared" si="27"/>
        <v>2.2817744218791742E-6</v>
      </c>
      <c r="H31" s="21">
        <f t="shared" si="17"/>
        <v>1.8501387604070305E-6</v>
      </c>
      <c r="I31" s="27" t="s">
        <v>339</v>
      </c>
      <c r="J31" s="28">
        <v>1</v>
      </c>
      <c r="K31" s="28">
        <f>IF(I31="N/A",0,VLOOKUP(I31,Library!$K$4:$M$36,2,FALSE))</f>
        <v>1.0078400000000001</v>
      </c>
      <c r="L31" s="28">
        <v>3</v>
      </c>
      <c r="M31" s="23">
        <f t="shared" si="18"/>
        <v>1.2395739546858613E-5</v>
      </c>
      <c r="N31" s="23">
        <f t="shared" si="19"/>
        <v>1.2492922144905986E-5</v>
      </c>
      <c r="O31" s="28" t="s">
        <v>113</v>
      </c>
      <c r="P31" s="28">
        <f>IF(O31="N/A",0,VLOOKUP(O31,Library!$K$4:$M$36,3,FALSE))</f>
        <v>-3</v>
      </c>
      <c r="Q31" s="23">
        <f>IF(O31="N/A",0,VLOOKUP(O31,Library!$K$4:$M$36,2,FALSE))</f>
        <v>58.81</v>
      </c>
      <c r="R31" s="36">
        <v>1</v>
      </c>
      <c r="S31" s="36">
        <f t="shared" si="20"/>
        <v>4.1319131822862048E-6</v>
      </c>
      <c r="T31" s="36">
        <f t="shared" si="21"/>
        <v>2.429978142502517E-4</v>
      </c>
      <c r="U31" s="4">
        <v>0</v>
      </c>
      <c r="V31" s="114">
        <f t="shared" si="6"/>
        <v>0.14109014435075434</v>
      </c>
      <c r="W31" s="123">
        <f t="shared" si="7"/>
        <v>0.11440059204440334</v>
      </c>
      <c r="X31" s="251">
        <f t="shared" si="8"/>
        <v>0.25549073639515768</v>
      </c>
      <c r="Y31" s="109">
        <f t="shared" si="22"/>
        <v>1.2492922144905986E-5</v>
      </c>
      <c r="Z31" s="109">
        <f t="shared" si="0"/>
        <v>2.429978142502517E-4</v>
      </c>
      <c r="AA31" s="109">
        <f t="shared" si="23"/>
        <v>1.2395739546858613E-5</v>
      </c>
      <c r="AB31" s="109">
        <f t="shared" si="1"/>
        <v>3.718721864057584E-5</v>
      </c>
      <c r="AC31" s="114">
        <v>2.2878815911193336E-2</v>
      </c>
      <c r="AD31" s="114">
        <v>0.11439407955596669</v>
      </c>
      <c r="AE31" s="217">
        <f>VLOOKUP(A31,Library!$B$4:$G$69,3,FALSE)</f>
        <v>0</v>
      </c>
      <c r="AF31" s="185">
        <f>VLOOKUP(A31,Library!$B$4:$G$69,4,FALSE)</f>
        <v>0</v>
      </c>
      <c r="AG31" s="185">
        <f>VLOOKUP(A31,Library!$B$4:$G$69,5,FALSE)</f>
        <v>0</v>
      </c>
      <c r="AH31" s="218">
        <f>VLOOKUP(A31,Library!$B$4:$G$69,6,FALSE)</f>
        <v>0</v>
      </c>
      <c r="AI31" s="217">
        <f t="shared" si="11"/>
        <v>0</v>
      </c>
      <c r="AJ31" s="217">
        <f t="shared" si="12"/>
        <v>0</v>
      </c>
      <c r="AK31" s="217">
        <f t="shared" si="13"/>
        <v>0</v>
      </c>
      <c r="AL31" s="217">
        <f t="shared" si="14"/>
        <v>0</v>
      </c>
      <c r="AM31" s="217">
        <f>AI31*VLOOKUP($AM$14,Library!$T$4:$U$7,2,FALSE)</f>
        <v>0</v>
      </c>
      <c r="AN31" s="217">
        <f>AJ31*VLOOKUP($AN$14,Library!$T$4:$U$7,2,FALSE)</f>
        <v>0</v>
      </c>
      <c r="AO31" s="217">
        <f>AK31*VLOOKUP($AO$14,Library!$T$4:$U$7,2,FALSE)</f>
        <v>0</v>
      </c>
      <c r="AP31" s="217">
        <f>AL31*VLOOKUP($AP$14,Library!$T$4:$U$7,2,FALSE)</f>
        <v>0</v>
      </c>
      <c r="AQ31" s="123"/>
      <c r="AR31" s="123"/>
      <c r="AS31" s="123"/>
      <c r="AT31" s="88"/>
      <c r="AU31" s="185"/>
      <c r="AV31" s="70">
        <f>IFERROR(VLOOKUP(AT31,Library!$T$4:$U$7,2,FALSE),0)</f>
        <v>0</v>
      </c>
      <c r="AW31" s="166">
        <f>AU31*AV31*SUM(G33:H33)</f>
        <v>0</v>
      </c>
      <c r="AX31">
        <f>SUM(G33:H33)*AU31</f>
        <v>0</v>
      </c>
      <c r="AZ31" s="25" t="s">
        <v>270</v>
      </c>
      <c r="BA31" s="25" t="s">
        <v>271</v>
      </c>
      <c r="BB31" s="25">
        <v>22.99</v>
      </c>
      <c r="BC31" s="25"/>
      <c r="BD31" s="25">
        <v>150</v>
      </c>
      <c r="BF31" s="25" t="s">
        <v>77</v>
      </c>
      <c r="BG31" s="119">
        <v>59.043999999999997</v>
      </c>
      <c r="BH31" s="70">
        <v>-1</v>
      </c>
    </row>
    <row r="32" spans="1:60" ht="14.4" x14ac:dyDescent="0.3">
      <c r="A32" s="24" t="s">
        <v>195</v>
      </c>
      <c r="B32" s="38"/>
      <c r="C32" s="25">
        <f>VLOOKUP('RM 10.6 Speece 1996'!A32,Library!$B$4:$G$69,2,FALSE)</f>
        <v>175.63</v>
      </c>
      <c r="D32" s="26"/>
      <c r="E32" s="21"/>
      <c r="F32" s="21"/>
      <c r="G32" s="21" t="str">
        <f>IF(F32="g/L",D32/C32,IF(F32="mg/L",D32/(1000*C32),"error"))</f>
        <v>error</v>
      </c>
      <c r="H32" s="21">
        <f>0.2*VLOOKUP(A32,'Speece 1996'!$F$10:$G$21,2,FALSE)/'Speece 1996'!$G$23</f>
        <v>1.1000000000000001E-3</v>
      </c>
      <c r="I32" s="27" t="s">
        <v>339</v>
      </c>
      <c r="J32" s="28">
        <v>1</v>
      </c>
      <c r="K32" s="28">
        <f>IF(I32="N/A",0,VLOOKUP(I32,Library!$K$4:$M$36,2,FALSE))</f>
        <v>1.0078400000000001</v>
      </c>
      <c r="L32" s="28">
        <v>1</v>
      </c>
      <c r="M32" s="23">
        <f t="shared" si="18"/>
        <v>1.1000000000000001E-3</v>
      </c>
      <c r="N32" s="23">
        <f t="shared" si="19"/>
        <v>1.1086240000000001E-3</v>
      </c>
      <c r="O32" s="28" t="s">
        <v>70</v>
      </c>
      <c r="P32" s="28">
        <f>IF(O32="N/A",0,VLOOKUP(O32,Library!$K$4:$M$36,3,FALSE))</f>
        <v>-1</v>
      </c>
      <c r="Q32" s="23">
        <f>IF(O32="N/A",0,VLOOKUP(O32,Library!$K$4:$M$36,2,FALSE))</f>
        <v>35.453000000000003</v>
      </c>
      <c r="R32" s="36">
        <v>1</v>
      </c>
      <c r="S32" s="36">
        <f t="shared" si="20"/>
        <v>1.1000000000000001E-3</v>
      </c>
      <c r="T32" s="36">
        <f t="shared" si="21"/>
        <v>3.8998300000000007E-2</v>
      </c>
      <c r="U32" s="4">
        <v>1</v>
      </c>
      <c r="V32" s="114" t="e">
        <f t="shared" si="6"/>
        <v>#VALUE!</v>
      </c>
      <c r="W32" s="123">
        <f t="shared" si="7"/>
        <v>59.917924000000014</v>
      </c>
      <c r="X32" s="251" t="e">
        <f t="shared" si="8"/>
        <v>#VALUE!</v>
      </c>
      <c r="Y32" s="109" t="e">
        <f t="shared" si="22"/>
        <v>#VALUE!</v>
      </c>
      <c r="Z32" s="109" t="e">
        <f t="shared" si="0"/>
        <v>#VALUE!</v>
      </c>
      <c r="AA32" s="109" t="e">
        <f t="shared" si="23"/>
        <v>#VALUE!</v>
      </c>
      <c r="AB32" s="109" t="e">
        <f t="shared" si="1"/>
        <v>#VALUE!</v>
      </c>
      <c r="AC32" s="114"/>
      <c r="AD32" s="114"/>
      <c r="AE32" s="217">
        <f>VLOOKUP(A32,Library!$B$4:$G$69,3,FALSE)</f>
        <v>3</v>
      </c>
      <c r="AF32" s="185">
        <f>VLOOKUP(A32,Library!$B$4:$G$69,4,FALSE)</f>
        <v>1</v>
      </c>
      <c r="AG32" s="185">
        <f>VLOOKUP(A32,Library!$B$4:$G$69,5,FALSE)</f>
        <v>0</v>
      </c>
      <c r="AH32" s="218">
        <f>VLOOKUP(A32,Library!$B$4:$G$69,6,FALSE)</f>
        <v>1</v>
      </c>
      <c r="AI32" s="217">
        <f t="shared" ref="AI32" si="28">AE32*SUM(G32:H32)</f>
        <v>3.3E-3</v>
      </c>
      <c r="AJ32" s="217">
        <f t="shared" ref="AJ32" si="29">AF32*SUM(G32:H32)</f>
        <v>1.1000000000000001E-3</v>
      </c>
      <c r="AK32" s="217">
        <f t="shared" ref="AK32" si="30">AG32*SUM(G32:H32)</f>
        <v>0</v>
      </c>
      <c r="AL32" s="217">
        <f t="shared" ref="AL32" si="31">AH32*SUM(G32:H32)</f>
        <v>1.1000000000000001E-3</v>
      </c>
      <c r="AM32" s="217">
        <f>AI32*VLOOKUP($AM$14,Library!$T$4:$U$7,2,FALSE)</f>
        <v>3.9633000000000002E-2</v>
      </c>
      <c r="AN32" s="217">
        <f>AJ32*VLOOKUP($AN$14,Library!$T$4:$U$7,2,FALSE)</f>
        <v>1.5411000000000001E-2</v>
      </c>
      <c r="AO32" s="217">
        <f>AK32*VLOOKUP($AO$14,Library!$T$4:$U$7,2,FALSE)</f>
        <v>0</v>
      </c>
      <c r="AP32" s="217">
        <f>AL32*VLOOKUP($AP$14,Library!$T$4:$U$7,2,FALSE)</f>
        <v>3.5277000000000003E-2</v>
      </c>
      <c r="AQ32" s="123"/>
      <c r="AR32" s="123"/>
      <c r="AS32" s="123"/>
      <c r="AT32" s="88"/>
      <c r="AU32" s="185"/>
      <c r="AV32" s="70"/>
      <c r="AW32" s="166"/>
      <c r="AZ32" s="25"/>
      <c r="BA32" s="25"/>
      <c r="BB32" s="25"/>
      <c r="BC32" s="25"/>
      <c r="BD32" s="25"/>
      <c r="BF32" s="25"/>
      <c r="BG32" s="119"/>
      <c r="BH32" s="70"/>
    </row>
    <row r="33" spans="1:60" ht="14.4" x14ac:dyDescent="0.3">
      <c r="A33" s="24" t="s">
        <v>85</v>
      </c>
      <c r="B33" s="38" t="s">
        <v>85</v>
      </c>
      <c r="C33" s="25">
        <f>VLOOKUP('RM 10.6 Speece 1996'!A33,Library!$B$4:$G$69,2,FALSE)</f>
        <v>292.24</v>
      </c>
      <c r="D33" s="26">
        <f>$C$2*VLOOKUP(B33,$BA$15:$BD$35,3,FALSE)</f>
        <v>0</v>
      </c>
      <c r="E33" s="21">
        <f>VLOOKUP(B33,$BA$15:$BD$35,4,FALSE)</f>
        <v>0</v>
      </c>
      <c r="F33" s="21" t="s">
        <v>16</v>
      </c>
      <c r="G33" s="21">
        <f t="shared" si="27"/>
        <v>0</v>
      </c>
      <c r="H33" s="21">
        <f t="shared" si="17"/>
        <v>0</v>
      </c>
      <c r="I33" s="27"/>
      <c r="J33" s="28"/>
      <c r="K33" s="28"/>
      <c r="L33" s="28"/>
      <c r="M33" s="23">
        <f t="shared" si="18"/>
        <v>0</v>
      </c>
      <c r="N33" s="23">
        <f t="shared" si="19"/>
        <v>0</v>
      </c>
      <c r="O33" s="28" t="s">
        <v>299</v>
      </c>
      <c r="P33" s="28">
        <f>IF(O33="N/A",0,VLOOKUP(O33,Library!$K$4:$M$36,3,FALSE))</f>
        <v>-2</v>
      </c>
      <c r="Q33" s="23">
        <f>IF(O33="N/A",0,VLOOKUP(O33,Library!$K$4:$M$36,2,FALSE))</f>
        <v>292.24380000000002</v>
      </c>
      <c r="R33" s="36">
        <v>1</v>
      </c>
      <c r="S33" s="36">
        <f t="shared" si="20"/>
        <v>0</v>
      </c>
      <c r="T33" s="36">
        <f t="shared" si="21"/>
        <v>0</v>
      </c>
      <c r="U33" s="4">
        <v>0</v>
      </c>
      <c r="V33" s="114">
        <f t="shared" si="6"/>
        <v>0</v>
      </c>
      <c r="W33" s="123">
        <f t="shared" si="7"/>
        <v>0</v>
      </c>
      <c r="X33" s="251">
        <f t="shared" si="8"/>
        <v>0</v>
      </c>
      <c r="Y33" s="109">
        <f t="shared" si="22"/>
        <v>0</v>
      </c>
      <c r="Z33" s="109">
        <f t="shared" si="0"/>
        <v>0</v>
      </c>
      <c r="AA33" s="109">
        <f t="shared" si="23"/>
        <v>0</v>
      </c>
      <c r="AB33" s="109">
        <f t="shared" si="1"/>
        <v>0</v>
      </c>
      <c r="AC33" s="114">
        <v>0</v>
      </c>
      <c r="AD33" s="114">
        <v>745.46563356164359</v>
      </c>
      <c r="AE33" s="217">
        <f>VLOOKUP(A33,Library!$B$4:$G$69,3,FALSE)</f>
        <v>10</v>
      </c>
      <c r="AF33" s="185">
        <f>VLOOKUP(A33,Library!$B$4:$G$69,4,FALSE)</f>
        <v>2</v>
      </c>
      <c r="AG33" s="185">
        <f>VLOOKUP(A33,Library!$B$4:$G$69,5,FALSE)</f>
        <v>0</v>
      </c>
      <c r="AH33" s="218">
        <f>VLOOKUP(A33,Library!$B$4:$G$69,6,FALSE)</f>
        <v>0</v>
      </c>
      <c r="AI33" s="217">
        <f t="shared" si="11"/>
        <v>0</v>
      </c>
      <c r="AJ33" s="217">
        <f t="shared" si="12"/>
        <v>0</v>
      </c>
      <c r="AK33" s="217">
        <f t="shared" si="13"/>
        <v>0</v>
      </c>
      <c r="AL33" s="217">
        <f t="shared" si="14"/>
        <v>0</v>
      </c>
      <c r="AM33" s="217">
        <f>AI33*VLOOKUP($AM$14,Library!$T$4:$U$7,2,FALSE)</f>
        <v>0</v>
      </c>
      <c r="AN33" s="217">
        <f>AJ33*VLOOKUP($AN$14,Library!$T$4:$U$7,2,FALSE)</f>
        <v>0</v>
      </c>
      <c r="AO33" s="217">
        <f>AK33*VLOOKUP($AO$14,Library!$T$4:$U$7,2,FALSE)</f>
        <v>0</v>
      </c>
      <c r="AP33" s="217">
        <f>AL33*VLOOKUP($AP$14,Library!$T$4:$U$7,2,FALSE)</f>
        <v>0</v>
      </c>
      <c r="AQ33" s="223"/>
      <c r="AR33" s="223"/>
      <c r="AS33" s="223"/>
      <c r="AT33" s="88"/>
      <c r="AU33" s="185"/>
      <c r="AV33" s="70">
        <f>IFERROR(VLOOKUP(AT33,Library!$T$4:$U$7,2,FALSE),0)</f>
        <v>0</v>
      </c>
      <c r="AW33" s="166">
        <f t="shared" si="15"/>
        <v>0</v>
      </c>
      <c r="AX33">
        <f t="shared" si="16"/>
        <v>0</v>
      </c>
      <c r="AZ33" s="25" t="s">
        <v>272</v>
      </c>
      <c r="BA33" s="25" t="s">
        <v>273</v>
      </c>
      <c r="BB33" s="25">
        <v>39.1</v>
      </c>
      <c r="BC33" s="25"/>
      <c r="BD33" s="25">
        <v>300</v>
      </c>
      <c r="BF33" s="25" t="s">
        <v>78</v>
      </c>
      <c r="BG33" s="119">
        <v>18.04</v>
      </c>
      <c r="BH33" s="70">
        <v>1</v>
      </c>
    </row>
    <row r="34" spans="1:60" ht="14.4" x14ac:dyDescent="0.3">
      <c r="A34" s="19" t="s">
        <v>269</v>
      </c>
      <c r="B34" s="258"/>
      <c r="C34" s="253"/>
      <c r="D34" s="262"/>
      <c r="E34" s="256"/>
      <c r="F34" s="256"/>
      <c r="G34" s="256"/>
      <c r="H34" s="256"/>
      <c r="I34" s="253"/>
      <c r="J34" s="257"/>
      <c r="K34" s="257"/>
      <c r="L34" s="257"/>
      <c r="M34" s="257"/>
      <c r="N34" s="272"/>
      <c r="O34" s="257"/>
      <c r="P34" s="257"/>
      <c r="Q34" s="272"/>
      <c r="R34" s="273"/>
      <c r="S34" s="273"/>
      <c r="T34" s="273"/>
      <c r="U34" s="274"/>
      <c r="V34" s="278"/>
      <c r="W34" s="277"/>
      <c r="X34" s="279"/>
      <c r="Y34" s="275"/>
      <c r="Z34" s="275"/>
      <c r="AA34" s="275"/>
      <c r="AB34" s="275"/>
      <c r="AC34" s="278"/>
      <c r="AD34" s="278"/>
      <c r="AE34" s="259"/>
      <c r="AF34" s="260"/>
      <c r="AG34" s="260"/>
      <c r="AH34" s="261"/>
      <c r="AI34" s="259"/>
      <c r="AJ34" s="259"/>
      <c r="AK34" s="259"/>
      <c r="AL34" s="259"/>
      <c r="AM34" s="259"/>
      <c r="AN34" s="259"/>
      <c r="AO34" s="259"/>
      <c r="AP34" s="259"/>
      <c r="AQ34" s="123"/>
      <c r="AR34" s="123"/>
      <c r="AS34" s="123"/>
      <c r="AT34" s="88"/>
      <c r="AU34" s="185"/>
      <c r="AV34" s="70">
        <f>IFERROR(VLOOKUP(AT34,Library!$T$4:$U$7,2,FALSE),0)</f>
        <v>0</v>
      </c>
      <c r="AW34" s="166">
        <f t="shared" si="15"/>
        <v>0</v>
      </c>
      <c r="AX34">
        <f t="shared" si="16"/>
        <v>0</v>
      </c>
      <c r="AZ34" s="25" t="s">
        <v>274</v>
      </c>
      <c r="BA34" s="25" t="s">
        <v>275</v>
      </c>
      <c r="BB34" s="25">
        <v>40.08</v>
      </c>
      <c r="BC34" s="25"/>
      <c r="BD34" s="25">
        <v>150</v>
      </c>
      <c r="BF34" s="30" t="s">
        <v>79</v>
      </c>
      <c r="BG34" s="120">
        <v>18.998403162999999</v>
      </c>
      <c r="BH34" s="70">
        <v>-1</v>
      </c>
    </row>
    <row r="35" spans="1:60" ht="14.4" x14ac:dyDescent="0.3">
      <c r="A35" s="29" t="s">
        <v>33</v>
      </c>
      <c r="B35" s="107" t="s">
        <v>271</v>
      </c>
      <c r="C35" s="25">
        <f>VLOOKUP(B35,$BA$15:$BB$35,2,FALSE)</f>
        <v>22.99</v>
      </c>
      <c r="D35" s="26">
        <f>$C$2*VLOOKUP(B35,$BA$15:$BD$35,3,FALSE)</f>
        <v>0</v>
      </c>
      <c r="E35" s="21">
        <f>VLOOKUP(B35,$BA$15:$BD$35,4,FALSE)</f>
        <v>150</v>
      </c>
      <c r="F35" s="21" t="s">
        <v>16</v>
      </c>
      <c r="G35" s="226"/>
      <c r="H35" s="21">
        <f>IF(F35="g/L",E35/C35,IF(F35="mg/L",E35/(1000*C35),"error"))-SUMIF($I$17:$I$33,I35,$M$17:$M$33)</f>
        <v>6.5201255848077689E-3</v>
      </c>
      <c r="I35" s="27" t="s">
        <v>63</v>
      </c>
      <c r="J35" s="28">
        <f>IF(I35="N/A",0,VLOOKUP(I35,Library!$K$4:$M$36,3,FALSE))</f>
        <v>1</v>
      </c>
      <c r="K35" s="28">
        <f>IF(I35="N/A",0,VLOOKUP(I35,Library!$K$4:$M$36,2,FALSE))</f>
        <v>28.989768999999999</v>
      </c>
      <c r="L35" s="28">
        <v>1</v>
      </c>
      <c r="M35" s="181">
        <f>H35*L35</f>
        <v>6.5201255848077689E-3</v>
      </c>
      <c r="N35" s="208">
        <f>K35*H35*L35</f>
        <v>0.18901693455456711</v>
      </c>
      <c r="O35" s="181" t="s">
        <v>70</v>
      </c>
      <c r="P35" s="28">
        <f>IF(O35="N/A",0,VLOOKUP(O35,Library!$K$4:$M$36,3,FALSE))</f>
        <v>-1</v>
      </c>
      <c r="Q35" s="23">
        <f>IF(O35="N/A",0,VLOOKUP(O35,Library!$K$4:$M$36,2,FALSE))</f>
        <v>35.453000000000003</v>
      </c>
      <c r="R35" s="36">
        <v>1</v>
      </c>
      <c r="S35" s="36">
        <f>H35*R35</f>
        <v>6.5201255848077689E-3</v>
      </c>
      <c r="T35" s="36">
        <f>H35*Q35*R35</f>
        <v>0.23115801235818986</v>
      </c>
      <c r="U35" s="4">
        <v>0</v>
      </c>
      <c r="V35" s="114">
        <f t="shared" si="6"/>
        <v>0</v>
      </c>
      <c r="W35" s="123">
        <f>(H35*K35*L35+H35*Q35*R35+H35*U35*18.01)*1000</f>
        <v>420.17494691275698</v>
      </c>
      <c r="X35" s="251">
        <f t="shared" si="8"/>
        <v>420.17494691275698</v>
      </c>
      <c r="Y35" s="109">
        <f>(G35+H35)*K35*L35</f>
        <v>0.18901693455456711</v>
      </c>
      <c r="Z35" s="109">
        <f t="shared" si="0"/>
        <v>0.23115801235818986</v>
      </c>
      <c r="AA35" s="109">
        <f t="shared" si="23"/>
        <v>6.5201255848077689E-3</v>
      </c>
      <c r="AB35" s="109">
        <f t="shared" si="1"/>
        <v>6.5201255848077689E-3</v>
      </c>
      <c r="AC35" s="114">
        <v>0</v>
      </c>
      <c r="AD35" s="114">
        <v>231.22368151979597</v>
      </c>
      <c r="AE35" s="217">
        <f>VLOOKUP(A35,Library!$B$4:$G$69,3,FALSE)</f>
        <v>0</v>
      </c>
      <c r="AF35" s="185">
        <f>VLOOKUP(A35,Library!$B$4:$G$69,4,FALSE)</f>
        <v>0</v>
      </c>
      <c r="AG35" s="185">
        <f>VLOOKUP(A35,Library!$B$4:$G$69,5,FALSE)</f>
        <v>0</v>
      </c>
      <c r="AH35" s="218">
        <f>VLOOKUP(A35,Library!$B$4:$G$69,6,FALSE)</f>
        <v>0</v>
      </c>
      <c r="AI35" s="217">
        <f t="shared" si="11"/>
        <v>0</v>
      </c>
      <c r="AJ35" s="217">
        <f t="shared" si="12"/>
        <v>0</v>
      </c>
      <c r="AK35" s="217">
        <f t="shared" si="13"/>
        <v>0</v>
      </c>
      <c r="AL35" s="217">
        <f t="shared" si="14"/>
        <v>0</v>
      </c>
      <c r="AM35" s="217">
        <f>AI35*VLOOKUP($AM$14,Library!$T$4:$U$7,2,FALSE)</f>
        <v>0</v>
      </c>
      <c r="AN35" s="217">
        <f>AJ35*VLOOKUP($AN$14,Library!$T$4:$U$7,2,FALSE)</f>
        <v>0</v>
      </c>
      <c r="AO35" s="217">
        <f>AK35*VLOOKUP($AO$14,Library!$T$4:$U$7,2,FALSE)</f>
        <v>0</v>
      </c>
      <c r="AP35" s="217">
        <f>AL35*VLOOKUP($AP$14,Library!$T$4:$U$7,2,FALSE)</f>
        <v>0</v>
      </c>
      <c r="AQ35" s="123"/>
      <c r="AR35" s="123"/>
      <c r="AS35" s="123"/>
      <c r="AT35" s="88"/>
      <c r="AU35" s="185"/>
      <c r="AV35" s="70">
        <f>IFERROR(VLOOKUP(AT35,Library!$T$4:$U$7,2,FALSE),0)</f>
        <v>0</v>
      </c>
      <c r="AW35" s="166">
        <f t="shared" si="15"/>
        <v>0</v>
      </c>
      <c r="AX35">
        <f t="shared" si="16"/>
        <v>0</v>
      </c>
      <c r="AZ35" s="25" t="s">
        <v>276</v>
      </c>
      <c r="BA35" s="25" t="s">
        <v>277</v>
      </c>
      <c r="BB35" s="25">
        <v>24.31</v>
      </c>
      <c r="BC35" s="25"/>
      <c r="BD35" s="25">
        <v>100</v>
      </c>
      <c r="BF35" s="70" t="s">
        <v>80</v>
      </c>
      <c r="BG35" s="121">
        <v>55.844999999999999</v>
      </c>
      <c r="BH35" s="70">
        <v>2</v>
      </c>
    </row>
    <row r="36" spans="1:60" ht="14.4" x14ac:dyDescent="0.3">
      <c r="A36" s="29" t="s">
        <v>337</v>
      </c>
      <c r="B36" s="107" t="s">
        <v>273</v>
      </c>
      <c r="C36" s="25">
        <f>VLOOKUP(B36,$BA$15:$BB$35,2,FALSE)</f>
        <v>39.1</v>
      </c>
      <c r="D36" s="26">
        <f>$C$2*VLOOKUP(B36,$BA$15:$BD$35,3,FALSE)</f>
        <v>0</v>
      </c>
      <c r="E36" s="21">
        <f>VLOOKUP(B36,$BA$15:$BD$35,4,FALSE)</f>
        <v>300</v>
      </c>
      <c r="F36" s="21" t="s">
        <v>16</v>
      </c>
      <c r="G36" s="226"/>
      <c r="H36" s="21">
        <f>IF(F36="g/L",E36/C36,IF(F36="mg/L",E36/(1000*C36),"error"))-SUMIF($I$17:$I$33,I36,$M$17:$M$33)</f>
        <v>6.6805592563571681E-3</v>
      </c>
      <c r="I36" s="27" t="s">
        <v>66</v>
      </c>
      <c r="J36" s="28">
        <f>IF(I36="N/A",0,VLOOKUP(I36,Library!$K$4:$M$36,3,FALSE))</f>
        <v>1</v>
      </c>
      <c r="K36" s="28">
        <f>IF(I36="N/A",0,VLOOKUP(I36,Library!$K$4:$M$36,2,FALSE))</f>
        <v>39.093800000000002</v>
      </c>
      <c r="L36" s="28">
        <v>1</v>
      </c>
      <c r="M36" s="181">
        <f t="shared" ref="M36:M38" si="32">H36*L36</f>
        <v>6.6805592563571681E-3</v>
      </c>
      <c r="N36" s="208">
        <f t="shared" ref="N36:N38" si="33">K36*H36*L36</f>
        <v>0.26116844745617585</v>
      </c>
      <c r="O36" s="181" t="s">
        <v>70</v>
      </c>
      <c r="P36" s="28">
        <f>IF(O36="N/A",0,VLOOKUP(O36,Library!$K$4:$M$36,3,FALSE))</f>
        <v>-1</v>
      </c>
      <c r="Q36" s="23">
        <f>IF(O36="N/A",0,VLOOKUP(O36,Library!$K$4:$M$36,2,FALSE))</f>
        <v>35.453000000000003</v>
      </c>
      <c r="R36" s="36">
        <v>1</v>
      </c>
      <c r="S36" s="36">
        <f t="shared" ref="S36:S38" si="34">H36*R36</f>
        <v>6.6805592563571681E-3</v>
      </c>
      <c r="T36" s="36">
        <f t="shared" ref="T36:T38" si="35">H36*Q36*R36</f>
        <v>0.2368458673156307</v>
      </c>
      <c r="U36" s="4">
        <v>0</v>
      </c>
      <c r="V36" s="114">
        <f t="shared" si="6"/>
        <v>0</v>
      </c>
      <c r="W36" s="123">
        <f t="shared" si="7"/>
        <v>498.0143147718066</v>
      </c>
      <c r="X36" s="251">
        <f t="shared" si="8"/>
        <v>498.0143147718066</v>
      </c>
      <c r="Y36" s="109">
        <f t="shared" si="22"/>
        <v>0.26116844745617585</v>
      </c>
      <c r="Z36" s="109">
        <f t="shared" si="0"/>
        <v>0.2368458673156307</v>
      </c>
      <c r="AA36" s="109">
        <f t="shared" si="23"/>
        <v>6.6805592563571681E-3</v>
      </c>
      <c r="AB36" s="109">
        <f t="shared" si="1"/>
        <v>6.6805592563571681E-3</v>
      </c>
      <c r="AC36" s="114">
        <v>0</v>
      </c>
      <c r="AD36" s="114">
        <v>259.39478366573712</v>
      </c>
      <c r="AE36" s="217">
        <f>VLOOKUP(A36,Library!$B$4:$G$69,3,FALSE)</f>
        <v>0</v>
      </c>
      <c r="AF36" s="185">
        <f>VLOOKUP(A36,Library!$B$4:$G$69,4,FALSE)</f>
        <v>0</v>
      </c>
      <c r="AG36" s="185">
        <f>VLOOKUP(A36,Library!$B$4:$G$69,5,FALSE)</f>
        <v>0</v>
      </c>
      <c r="AH36" s="218">
        <f>VLOOKUP(A36,Library!$B$4:$G$69,6,FALSE)</f>
        <v>0</v>
      </c>
      <c r="AI36" s="217">
        <f t="shared" si="11"/>
        <v>0</v>
      </c>
      <c r="AJ36" s="217">
        <f t="shared" si="12"/>
        <v>0</v>
      </c>
      <c r="AK36" s="217">
        <f t="shared" si="13"/>
        <v>0</v>
      </c>
      <c r="AL36" s="217">
        <f t="shared" si="14"/>
        <v>0</v>
      </c>
      <c r="AM36" s="217">
        <f>AI36*VLOOKUP($AM$14,Library!$T$4:$U$7,2,FALSE)</f>
        <v>0</v>
      </c>
      <c r="AN36" s="217">
        <f>AJ36*VLOOKUP($AN$14,Library!$T$4:$U$7,2,FALSE)</f>
        <v>0</v>
      </c>
      <c r="AO36" s="217">
        <f>AK36*VLOOKUP($AO$14,Library!$T$4:$U$7,2,FALSE)</f>
        <v>0</v>
      </c>
      <c r="AP36" s="217">
        <f>AL36*VLOOKUP($AP$14,Library!$T$4:$U$7,2,FALSE)</f>
        <v>0</v>
      </c>
      <c r="AQ36" s="123"/>
      <c r="AR36" s="123"/>
      <c r="AS36" s="123"/>
      <c r="AT36" s="88"/>
      <c r="AU36" s="185"/>
      <c r="AV36" s="70">
        <f>IFERROR(VLOOKUP(AT36,Library!$T$4:$U$7,2,FALSE),0)</f>
        <v>0</v>
      </c>
      <c r="AW36" s="166">
        <f t="shared" si="15"/>
        <v>0</v>
      </c>
      <c r="AX36">
        <f t="shared" si="16"/>
        <v>0</v>
      </c>
      <c r="AZ36" s="69" t="s">
        <v>85</v>
      </c>
      <c r="BA36" s="69" t="s">
        <v>85</v>
      </c>
      <c r="BF36" s="70" t="s">
        <v>118</v>
      </c>
      <c r="BG36" s="121">
        <v>95.95</v>
      </c>
      <c r="BH36" s="70">
        <v>6</v>
      </c>
    </row>
    <row r="37" spans="1:60" thickBot="1" x14ac:dyDescent="0.35">
      <c r="A37" s="29" t="s">
        <v>29</v>
      </c>
      <c r="B37" s="107" t="s">
        <v>275</v>
      </c>
      <c r="C37" s="25">
        <f>VLOOKUP(B37,$BA$15:$BB$35,2,FALSE)</f>
        <v>40.08</v>
      </c>
      <c r="D37" s="26">
        <f>$C$2*VLOOKUP(B37,$BA$15:$BD$35,3,FALSE)</f>
        <v>0</v>
      </c>
      <c r="E37" s="21">
        <f>VLOOKUP(B37,$BA$15:$BD$35,4,FALSE)</f>
        <v>150</v>
      </c>
      <c r="F37" s="21" t="s">
        <v>16</v>
      </c>
      <c r="G37" s="226"/>
      <c r="H37" s="21">
        <f>IF(F37="g/L",E37/C37,IF(F37="mg/L",E37/(1000*C37),"error"))-SUMIF($I$17:$I$33,I37,$M$17:$M$33)</f>
        <v>3.7425149700598802E-3</v>
      </c>
      <c r="I37" s="27" t="s">
        <v>65</v>
      </c>
      <c r="J37" s="28">
        <f>IF(I37="N/A",0,VLOOKUP(I37,Library!$K$4:$M$36,3,FALSE))</f>
        <v>2</v>
      </c>
      <c r="K37" s="28">
        <f>IF(I37="N/A",0,VLOOKUP(I37,Library!$K$4:$M$36,2,FALSE))</f>
        <v>40.078000000000003</v>
      </c>
      <c r="L37" s="28">
        <v>1</v>
      </c>
      <c r="M37" s="181">
        <f t="shared" si="32"/>
        <v>3.7425149700598802E-3</v>
      </c>
      <c r="N37" s="208">
        <f t="shared" si="33"/>
        <v>0.14999251497005989</v>
      </c>
      <c r="O37" s="181" t="s">
        <v>70</v>
      </c>
      <c r="P37" s="28">
        <f>IF(O37="N/A",0,VLOOKUP(O37,Library!$K$4:$M$36,3,FALSE))</f>
        <v>-1</v>
      </c>
      <c r="Q37" s="23">
        <f>IF(O37="N/A",0,VLOOKUP(O37,Library!$K$4:$M$36,2,FALSE))</f>
        <v>35.453000000000003</v>
      </c>
      <c r="R37" s="36">
        <v>2</v>
      </c>
      <c r="S37" s="36">
        <f t="shared" si="34"/>
        <v>7.4850299401197605E-3</v>
      </c>
      <c r="T37" s="36">
        <f t="shared" si="35"/>
        <v>0.26536676646706592</v>
      </c>
      <c r="U37" s="4">
        <v>2</v>
      </c>
      <c r="V37" s="114">
        <f t="shared" si="6"/>
        <v>0</v>
      </c>
      <c r="W37" s="123">
        <f t="shared" si="7"/>
        <v>550.16467065868267</v>
      </c>
      <c r="X37" s="251">
        <f t="shared" si="8"/>
        <v>550.16467065868267</v>
      </c>
      <c r="Y37" s="109">
        <f t="shared" si="22"/>
        <v>0.14999251497005989</v>
      </c>
      <c r="Z37" s="109">
        <f t="shared" si="0"/>
        <v>0.26536676646706592</v>
      </c>
      <c r="AA37" s="109">
        <f t="shared" si="23"/>
        <v>1.4970059880239521E-2</v>
      </c>
      <c r="AB37" s="109">
        <f t="shared" si="1"/>
        <v>7.4850299401197605E-3</v>
      </c>
      <c r="AC37" s="114">
        <v>0</v>
      </c>
      <c r="AD37" s="114">
        <v>550.16467065868267</v>
      </c>
      <c r="AE37" s="217">
        <f>VLOOKUP(A37,Library!$B$4:$G$69,3,FALSE)</f>
        <v>0</v>
      </c>
      <c r="AF37" s="185">
        <f>VLOOKUP(A37,Library!$B$4:$G$69,4,FALSE)</f>
        <v>0</v>
      </c>
      <c r="AG37" s="185">
        <f>VLOOKUP(A37,Library!$B$4:$G$69,5,FALSE)</f>
        <v>0</v>
      </c>
      <c r="AH37" s="218">
        <f>VLOOKUP(A37,Library!$B$4:$G$69,6,FALSE)</f>
        <v>0</v>
      </c>
      <c r="AI37" s="217">
        <f t="shared" si="11"/>
        <v>0</v>
      </c>
      <c r="AJ37" s="217">
        <f t="shared" si="12"/>
        <v>0</v>
      </c>
      <c r="AK37" s="217">
        <f t="shared" si="13"/>
        <v>0</v>
      </c>
      <c r="AL37" s="217">
        <f t="shared" si="14"/>
        <v>0</v>
      </c>
      <c r="AM37" s="217">
        <f>AI37*VLOOKUP($AM$14,Library!$T$4:$U$7,2,FALSE)</f>
        <v>0</v>
      </c>
      <c r="AN37" s="217">
        <f>AJ37*VLOOKUP($AN$14,Library!$T$4:$U$7,2,FALSE)</f>
        <v>0</v>
      </c>
      <c r="AO37" s="217">
        <f>AK37*VLOOKUP($AO$14,Library!$T$4:$U$7,2,FALSE)</f>
        <v>0</v>
      </c>
      <c r="AP37" s="217">
        <f>AL37*VLOOKUP($AP$14,Library!$T$4:$U$7,2,FALSE)</f>
        <v>0</v>
      </c>
      <c r="AQ37" s="123"/>
      <c r="AR37" s="123"/>
      <c r="AS37" s="123"/>
      <c r="AT37" s="89"/>
      <c r="AU37" s="192"/>
      <c r="AV37" s="193">
        <f>IFERROR(VLOOKUP(AT37,Library!$T$4:$U$7,2,FALSE),0)</f>
        <v>0</v>
      </c>
      <c r="AW37" s="166">
        <f t="shared" si="15"/>
        <v>0</v>
      </c>
      <c r="AX37">
        <f t="shared" si="16"/>
        <v>0</v>
      </c>
      <c r="BF37" s="70" t="s">
        <v>114</v>
      </c>
      <c r="BG37" s="121">
        <v>55.84</v>
      </c>
      <c r="BH37" s="70">
        <v>3</v>
      </c>
    </row>
    <row r="38" spans="1:60" ht="14.4" x14ac:dyDescent="0.3">
      <c r="A38" s="24" t="s">
        <v>25</v>
      </c>
      <c r="B38" s="38" t="s">
        <v>277</v>
      </c>
      <c r="C38" s="25">
        <f>VLOOKUP(B38,$BA$15:$BB$35,2,FALSE)</f>
        <v>24.31</v>
      </c>
      <c r="D38" s="26">
        <f>$C$2*VLOOKUP(B38,$BA$15:$BD$35,3,FALSE)</f>
        <v>0</v>
      </c>
      <c r="E38" s="21">
        <f>VLOOKUP(B38,$BA$15:$BD$35,4,FALSE)</f>
        <v>100</v>
      </c>
      <c r="F38" s="21" t="s">
        <v>16</v>
      </c>
      <c r="G38" s="226"/>
      <c r="H38" s="21">
        <f>IF(F38="g/L",E38/C38,IF(F38="mg/L",E38/(1000*C38),"error"))-SUMIF($I$17:$I$33,I38,$M$17:$M$33)</f>
        <v>3.5730598505162876E-3</v>
      </c>
      <c r="I38" s="27" t="s">
        <v>64</v>
      </c>
      <c r="J38" s="28">
        <f>IF(I38="N/A",0,VLOOKUP(I38,Library!$K$4:$M$36,3,FALSE))</f>
        <v>2</v>
      </c>
      <c r="K38" s="28">
        <f>IF(I38="N/A",0,VLOOKUP(I38,Library!$K$4:$M$36,2,FALSE))</f>
        <v>24.305</v>
      </c>
      <c r="L38" s="28">
        <v>1</v>
      </c>
      <c r="M38" s="181">
        <f t="shared" si="32"/>
        <v>3.5730598505162876E-3</v>
      </c>
      <c r="N38" s="208">
        <f t="shared" si="33"/>
        <v>8.6843219666798366E-2</v>
      </c>
      <c r="O38" s="181" t="s">
        <v>70</v>
      </c>
      <c r="P38" s="28">
        <f>IF(O38="N/A",0,VLOOKUP(O38,Library!$K$4:$M$36,3,FALSE))</f>
        <v>-1</v>
      </c>
      <c r="Q38" s="23">
        <f>IF(O38="N/A",0,VLOOKUP(O38,Library!$K$4:$M$36,2,FALSE))</f>
        <v>35.453000000000003</v>
      </c>
      <c r="R38" s="36">
        <v>2</v>
      </c>
      <c r="S38" s="36">
        <f t="shared" si="34"/>
        <v>7.1461197010325751E-3</v>
      </c>
      <c r="T38" s="36">
        <f t="shared" si="35"/>
        <v>0.25335138176070793</v>
      </c>
      <c r="U38" s="4">
        <v>6</v>
      </c>
      <c r="V38" s="114">
        <f t="shared" si="6"/>
        <v>0</v>
      </c>
      <c r="W38" s="123">
        <f t="shared" si="7"/>
        <v>726.29944887429644</v>
      </c>
      <c r="X38" s="251">
        <f t="shared" si="8"/>
        <v>726.29944887429644</v>
      </c>
      <c r="Y38" s="109">
        <f t="shared" si="22"/>
        <v>8.6843219666798366E-2</v>
      </c>
      <c r="Z38" s="109">
        <f t="shared" si="0"/>
        <v>0.25335138176070793</v>
      </c>
      <c r="AA38" s="109">
        <f t="shared" si="23"/>
        <v>1.429223940206515E-2</v>
      </c>
      <c r="AB38" s="109">
        <f t="shared" si="1"/>
        <v>7.1461197010325751E-3</v>
      </c>
      <c r="AC38" s="114">
        <v>0</v>
      </c>
      <c r="AD38" s="114">
        <v>287.88484113513005</v>
      </c>
      <c r="AE38" s="217">
        <f>VLOOKUP(A38,Library!$B$4:$G$69,3,FALSE)</f>
        <v>0</v>
      </c>
      <c r="AF38" s="185">
        <f>VLOOKUP(A38,Library!$B$4:$G$69,4,FALSE)</f>
        <v>0</v>
      </c>
      <c r="AG38" s="185">
        <f>VLOOKUP(A38,Library!$B$4:$G$69,5,FALSE)</f>
        <v>0</v>
      </c>
      <c r="AH38" s="218">
        <f>VLOOKUP(A38,Library!$B$4:$G$69,6,FALSE)</f>
        <v>0</v>
      </c>
      <c r="AI38" s="217">
        <f t="shared" si="11"/>
        <v>0</v>
      </c>
      <c r="AJ38" s="217">
        <f t="shared" si="12"/>
        <v>0</v>
      </c>
      <c r="AK38" s="217">
        <f t="shared" si="13"/>
        <v>0</v>
      </c>
      <c r="AL38" s="217">
        <f t="shared" si="14"/>
        <v>0</v>
      </c>
      <c r="AM38" s="217">
        <f>AI38*VLOOKUP($AM$14,Library!$T$4:$U$7,2,FALSE)</f>
        <v>0</v>
      </c>
      <c r="AN38" s="217">
        <f>AJ38*VLOOKUP($AN$14,Library!$T$4:$U$7,2,FALSE)</f>
        <v>0</v>
      </c>
      <c r="AO38" s="217">
        <f>AK38*VLOOKUP($AO$14,Library!$T$4:$U$7,2,FALSE)</f>
        <v>0</v>
      </c>
      <c r="AP38" s="217">
        <f>AL38*VLOOKUP($AP$14,Library!$T$4:$U$7,2,FALSE)</f>
        <v>0</v>
      </c>
      <c r="AQ38" s="123"/>
      <c r="AR38" s="123"/>
      <c r="AS38" s="123"/>
      <c r="AU38" s="211"/>
      <c r="BF38" s="70"/>
      <c r="BG38" s="121"/>
      <c r="BH38" s="70"/>
    </row>
    <row r="39" spans="1:60" ht="14.4" x14ac:dyDescent="0.3">
      <c r="A39" s="225" t="s">
        <v>320</v>
      </c>
      <c r="B39" s="280"/>
      <c r="C39" s="281"/>
      <c r="D39" s="254"/>
      <c r="E39" s="255"/>
      <c r="F39" s="255"/>
      <c r="G39" s="256"/>
      <c r="H39" s="256"/>
      <c r="I39" s="281"/>
      <c r="J39" s="282"/>
      <c r="K39" s="282"/>
      <c r="L39" s="282"/>
      <c r="M39" s="282"/>
      <c r="N39" s="283"/>
      <c r="O39" s="282"/>
      <c r="P39" s="257"/>
      <c r="Q39" s="283"/>
      <c r="R39" s="284"/>
      <c r="S39" s="273"/>
      <c r="T39" s="273"/>
      <c r="U39" s="274"/>
      <c r="V39" s="278"/>
      <c r="W39" s="285"/>
      <c r="X39" s="285"/>
      <c r="Y39" s="275"/>
      <c r="Z39" s="275"/>
      <c r="AA39" s="275"/>
      <c r="AB39" s="275"/>
      <c r="AC39" s="278"/>
      <c r="AD39" s="277"/>
      <c r="AE39" s="259"/>
      <c r="AF39" s="260"/>
      <c r="AG39" s="260"/>
      <c r="AH39" s="261"/>
      <c r="AI39" s="259"/>
      <c r="AJ39" s="259"/>
      <c r="AK39" s="259"/>
      <c r="AL39" s="259"/>
      <c r="AM39" s="259"/>
      <c r="AN39" s="259"/>
      <c r="AO39" s="259"/>
      <c r="AP39" s="259"/>
      <c r="AQ39" s="123"/>
      <c r="AR39" s="123"/>
      <c r="AS39" s="123"/>
      <c r="AU39" s="211"/>
      <c r="BF39" s="70"/>
      <c r="BG39" s="121"/>
      <c r="BH39" s="70"/>
    </row>
    <row r="40" spans="1:60" ht="14.4" x14ac:dyDescent="0.3">
      <c r="A40" s="25" t="s">
        <v>15</v>
      </c>
      <c r="B40" s="107"/>
      <c r="C40" s="30">
        <f>VLOOKUP(A40,Library!$B$55:$G$69,2,FALSE)</f>
        <v>244.31</v>
      </c>
      <c r="D40" s="31"/>
      <c r="E40" s="31">
        <f>VLOOKUP(A40,'Speece 1996'!$I$10:$J$19,2,FALSE)*'Speece 1996'!$G$20/'Speece 1996'!$G$23</f>
        <v>4.7500000000000001E-2</v>
      </c>
      <c r="F40" s="32" t="s">
        <v>16</v>
      </c>
      <c r="G40" s="226"/>
      <c r="H40" s="21">
        <f t="shared" ref="H40:H49" si="36">IF(F40="g/L",E40/C40,IF(F40="mg/L",E40/(1000*C40),"error"))-SUMIF($I$17:$I$33,I40,$M$17:$M$33)</f>
        <v>1.9442511563177929E-7</v>
      </c>
      <c r="I40" s="33"/>
      <c r="J40" s="34"/>
      <c r="K40" s="34"/>
      <c r="L40" s="34"/>
      <c r="M40" s="224"/>
      <c r="N40" s="182"/>
      <c r="O40" s="224"/>
      <c r="P40" s="28" t="e">
        <f>IF(O40="N/A",0,VLOOKUP(O40,Library!$K$4:$M$36,3,FALSE))</f>
        <v>#N/A</v>
      </c>
      <c r="Q40" s="182"/>
      <c r="R40" s="155"/>
      <c r="S40" s="36"/>
      <c r="T40" s="36"/>
      <c r="U40" s="4"/>
      <c r="V40" s="114"/>
      <c r="W40" s="142"/>
      <c r="X40" s="142"/>
      <c r="Y40" s="109"/>
      <c r="Z40" s="109"/>
      <c r="AA40" s="109"/>
      <c r="AB40" s="109"/>
      <c r="AC40" s="114"/>
      <c r="AD40" s="123"/>
      <c r="AE40" s="217">
        <f>VLOOKUP(A40,Library!$B$4:$G$69,3,FALSE)</f>
        <v>10</v>
      </c>
      <c r="AF40" s="185">
        <f>VLOOKUP(A40,Library!$B$4:$G$69,4,FALSE)</f>
        <v>2</v>
      </c>
      <c r="AG40" s="185">
        <f>VLOOKUP(A40,Library!$B$4:$G$69,5,FALSE)</f>
        <v>0</v>
      </c>
      <c r="AH40" s="218">
        <f>VLOOKUP(A40,Library!$B$4:$G$69,6,FALSE)</f>
        <v>1</v>
      </c>
      <c r="AI40" s="217">
        <f t="shared" si="11"/>
        <v>1.9442511563177928E-6</v>
      </c>
      <c r="AJ40" s="217">
        <f t="shared" si="12"/>
        <v>3.8885023126355857E-7</v>
      </c>
      <c r="AK40" s="217">
        <f t="shared" si="13"/>
        <v>0</v>
      </c>
      <c r="AL40" s="217">
        <f t="shared" si="14"/>
        <v>1.9442511563177929E-7</v>
      </c>
      <c r="AM40" s="217">
        <f>AI40*VLOOKUP($AM$14,Library!$T$4:$U$7,2,FALSE)</f>
        <v>2.3350456387376691E-5</v>
      </c>
      <c r="AN40" s="217">
        <f>AJ40*VLOOKUP($AN$14,Library!$T$4:$U$7,2,FALSE)</f>
        <v>5.4477917400024554E-6</v>
      </c>
      <c r="AO40" s="217">
        <f>AK40*VLOOKUP($AO$14,Library!$T$4:$U$7,2,FALSE)</f>
        <v>0</v>
      </c>
      <c r="AP40" s="217">
        <f>AL40*VLOOKUP($AP$14,Library!$T$4:$U$7,2,FALSE)</f>
        <v>6.2352134583111621E-6</v>
      </c>
      <c r="AQ40" s="123"/>
      <c r="AR40" s="123"/>
      <c r="AS40" s="123"/>
      <c r="AU40" s="211"/>
      <c r="BF40" s="70"/>
      <c r="BG40" s="121"/>
      <c r="BH40" s="70"/>
    </row>
    <row r="41" spans="1:60" ht="14.4" x14ac:dyDescent="0.3">
      <c r="A41" s="25" t="s">
        <v>19</v>
      </c>
      <c r="B41" s="107"/>
      <c r="C41" s="30">
        <f>VLOOKUP(A41,Library!$B$55:$G$69,2,FALSE)</f>
        <v>441.4</v>
      </c>
      <c r="D41" s="31"/>
      <c r="E41" s="31">
        <f>VLOOKUP(A41,'Speece 1996'!$I$10:$J$19,2,FALSE)*'Speece 1996'!$G$20/'Speece 1996'!$G$23</f>
        <v>4.7500000000000001E-2</v>
      </c>
      <c r="F41" s="32" t="s">
        <v>16</v>
      </c>
      <c r="G41" s="226"/>
      <c r="H41" s="21">
        <f t="shared" si="36"/>
        <v>1.076121431807884E-7</v>
      </c>
      <c r="I41" s="33"/>
      <c r="J41" s="34"/>
      <c r="K41" s="34"/>
      <c r="L41" s="34"/>
      <c r="M41" s="224"/>
      <c r="N41" s="182"/>
      <c r="O41" s="224"/>
      <c r="P41" s="28" t="e">
        <f>IF(O41="N/A",0,VLOOKUP(O41,Library!$K$4:$M$36,3,FALSE))</f>
        <v>#N/A</v>
      </c>
      <c r="Q41" s="182"/>
      <c r="R41" s="155"/>
      <c r="S41" s="36"/>
      <c r="T41" s="36"/>
      <c r="U41" s="4"/>
      <c r="V41" s="114"/>
      <c r="W41" s="142"/>
      <c r="X41" s="142"/>
      <c r="Y41" s="109"/>
      <c r="Z41" s="109"/>
      <c r="AA41" s="109"/>
      <c r="AB41" s="109"/>
      <c r="AC41" s="114"/>
      <c r="AD41" s="123"/>
      <c r="AE41" s="217">
        <f>VLOOKUP(A41,Library!$B$4:$G$69,3,FALSE)</f>
        <v>19</v>
      </c>
      <c r="AF41" s="185">
        <f>VLOOKUP(A41,Library!$B$4:$G$69,4,FALSE)</f>
        <v>7</v>
      </c>
      <c r="AG41" s="185">
        <f>VLOOKUP(A41,Library!$B$4:$G$69,5,FALSE)</f>
        <v>0</v>
      </c>
      <c r="AH41" s="218">
        <f>VLOOKUP(A41,Library!$B$4:$G$69,6,FALSE)</f>
        <v>0</v>
      </c>
      <c r="AI41" s="217">
        <f t="shared" si="11"/>
        <v>2.0446307204349797E-6</v>
      </c>
      <c r="AJ41" s="217">
        <f t="shared" si="12"/>
        <v>7.5328500226551875E-7</v>
      </c>
      <c r="AK41" s="217">
        <f t="shared" si="13"/>
        <v>0</v>
      </c>
      <c r="AL41" s="217">
        <f t="shared" si="14"/>
        <v>0</v>
      </c>
      <c r="AM41" s="217">
        <f>AI41*VLOOKUP($AM$14,Library!$T$4:$U$7,2,FALSE)</f>
        <v>2.4556014952424105E-5</v>
      </c>
      <c r="AN41" s="217">
        <f>AJ41*VLOOKUP($AN$14,Library!$T$4:$U$7,2,FALSE)</f>
        <v>1.0553522881739917E-5</v>
      </c>
      <c r="AO41" s="217">
        <f>AK41*VLOOKUP($AO$14,Library!$T$4:$U$7,2,FALSE)</f>
        <v>0</v>
      </c>
      <c r="AP41" s="217">
        <f>AL41*VLOOKUP($AP$14,Library!$T$4:$U$7,2,FALSE)</f>
        <v>0</v>
      </c>
      <c r="AQ41" s="123"/>
      <c r="AR41" s="123"/>
      <c r="AS41" s="123"/>
      <c r="AU41" s="211"/>
      <c r="BF41" s="70"/>
      <c r="BG41" s="121"/>
      <c r="BH41" s="70"/>
    </row>
    <row r="42" spans="1:60" ht="14.4" x14ac:dyDescent="0.3">
      <c r="A42" s="25" t="s">
        <v>120</v>
      </c>
      <c r="B42" s="107"/>
      <c r="C42" s="30">
        <f>VLOOKUP(A42,Library!$B$55:$G$69,2,FALSE)</f>
        <v>205.64</v>
      </c>
      <c r="D42" s="31"/>
      <c r="E42" s="31">
        <f>VLOOKUP(A42,'Speece 1996'!$I$10:$J$19,2,FALSE)*'Speece 1996'!$G$20/'Speece 1996'!$G$23</f>
        <v>0.11547346021988412</v>
      </c>
      <c r="F42" s="32" t="s">
        <v>16</v>
      </c>
      <c r="G42" s="226"/>
      <c r="H42" s="21">
        <f t="shared" si="36"/>
        <v>5.6153209599243399E-7</v>
      </c>
      <c r="I42" s="33"/>
      <c r="J42" s="34"/>
      <c r="K42" s="34"/>
      <c r="L42" s="34"/>
      <c r="M42" s="224"/>
      <c r="N42" s="182"/>
      <c r="O42" s="224"/>
      <c r="P42" s="224"/>
      <c r="Q42" s="182"/>
      <c r="R42" s="155"/>
      <c r="S42" s="36"/>
      <c r="T42" s="36"/>
      <c r="U42" s="4"/>
      <c r="V42" s="114"/>
      <c r="W42" s="142"/>
      <c r="X42" s="142"/>
      <c r="Y42" s="109"/>
      <c r="Z42" s="109"/>
      <c r="AA42" s="109"/>
      <c r="AB42" s="109"/>
      <c r="AC42" s="114"/>
      <c r="AD42" s="123"/>
      <c r="AE42" s="217">
        <f>VLOOKUP(A42,Library!$B$4:$G$69,3,FALSE)</f>
        <v>8</v>
      </c>
      <c r="AF42" s="185">
        <f>VLOOKUP(A42,Library!$B$4:$G$69,4,FALSE)</f>
        <v>1</v>
      </c>
      <c r="AG42" s="185">
        <f>VLOOKUP(A42,Library!$B$4:$G$69,5,FALSE)</f>
        <v>0</v>
      </c>
      <c r="AH42" s="218">
        <f>VLOOKUP(A42,Library!$B$4:$G$69,6,FALSE)</f>
        <v>0</v>
      </c>
      <c r="AI42" s="217">
        <f t="shared" si="11"/>
        <v>4.4922567679394719E-6</v>
      </c>
      <c r="AJ42" s="217">
        <f t="shared" si="12"/>
        <v>5.6153209599243399E-7</v>
      </c>
      <c r="AK42" s="217">
        <f t="shared" si="13"/>
        <v>0</v>
      </c>
      <c r="AL42" s="217">
        <f t="shared" si="14"/>
        <v>0</v>
      </c>
      <c r="AM42" s="217">
        <f>AI42*VLOOKUP($AM$14,Library!$T$4:$U$7,2,FALSE)</f>
        <v>5.3952003782953058E-5</v>
      </c>
      <c r="AN42" s="217">
        <f>AJ42*VLOOKUP($AN$14,Library!$T$4:$U$7,2,FALSE)</f>
        <v>7.867064664854E-6</v>
      </c>
      <c r="AO42" s="217">
        <f>AK42*VLOOKUP($AO$14,Library!$T$4:$U$7,2,FALSE)</f>
        <v>0</v>
      </c>
      <c r="AP42" s="217">
        <f>AL42*VLOOKUP($AP$14,Library!$T$4:$U$7,2,FALSE)</f>
        <v>0</v>
      </c>
      <c r="AQ42" s="123"/>
      <c r="AR42" s="123"/>
      <c r="AS42" s="123"/>
      <c r="AU42" s="211"/>
      <c r="BF42" s="70"/>
      <c r="BG42" s="121"/>
      <c r="BH42" s="70"/>
    </row>
    <row r="43" spans="1:60" ht="14.4" x14ac:dyDescent="0.3">
      <c r="A43" s="25" t="s">
        <v>121</v>
      </c>
      <c r="B43" s="107"/>
      <c r="C43" s="30">
        <f>VLOOKUP(A43,Library!$B$55:$G$69,2,FALSE)</f>
        <v>337.27</v>
      </c>
      <c r="D43" s="31"/>
      <c r="E43" s="31">
        <f>VLOOKUP(A43,'Speece 1996'!$I$10:$J$19,2,FALSE)*'Speece 1996'!$G$20/'Speece 1996'!$G$23</f>
        <v>0.12074600064065119</v>
      </c>
      <c r="F43" s="32" t="s">
        <v>16</v>
      </c>
      <c r="G43" s="226"/>
      <c r="H43" s="21">
        <f t="shared" si="36"/>
        <v>3.5800990494455835E-7</v>
      </c>
      <c r="I43" s="33"/>
      <c r="J43" s="34"/>
      <c r="K43" s="34"/>
      <c r="L43" s="34"/>
      <c r="M43" s="224"/>
      <c r="N43" s="182"/>
      <c r="O43" s="224"/>
      <c r="P43" s="224"/>
      <c r="Q43" s="182"/>
      <c r="R43" s="155"/>
      <c r="S43" s="36"/>
      <c r="T43" s="36"/>
      <c r="U43" s="4"/>
      <c r="V43" s="114"/>
      <c r="W43" s="142"/>
      <c r="X43" s="142"/>
      <c r="Y43" s="109"/>
      <c r="Z43" s="109"/>
      <c r="AA43" s="109"/>
      <c r="AB43" s="109"/>
      <c r="AC43" s="114"/>
      <c r="AD43" s="123"/>
      <c r="AE43" s="217">
        <f>VLOOKUP(A43,Library!$B$4:$G$69,3,FALSE)</f>
        <v>12</v>
      </c>
      <c r="AF43" s="185">
        <f>VLOOKUP(A43,Library!$B$4:$G$69,4,FALSE)</f>
        <v>2</v>
      </c>
      <c r="AG43" s="185">
        <f>VLOOKUP(A43,Library!$B$4:$G$69,5,FALSE)</f>
        <v>0</v>
      </c>
      <c r="AH43" s="218">
        <f>VLOOKUP(A43,Library!$B$4:$G$69,6,FALSE)</f>
        <v>1</v>
      </c>
      <c r="AI43" s="217">
        <f t="shared" si="11"/>
        <v>4.2961188593347001E-6</v>
      </c>
      <c r="AJ43" s="217">
        <f t="shared" si="12"/>
        <v>7.1601980988911669E-7</v>
      </c>
      <c r="AK43" s="217">
        <f t="shared" si="13"/>
        <v>0</v>
      </c>
      <c r="AL43" s="217">
        <f t="shared" si="14"/>
        <v>3.5800990494455835E-7</v>
      </c>
      <c r="AM43" s="217">
        <f>AI43*VLOOKUP($AM$14,Library!$T$4:$U$7,2,FALSE)</f>
        <v>5.1596387500609751E-5</v>
      </c>
      <c r="AN43" s="217">
        <f>AJ43*VLOOKUP($AN$14,Library!$T$4:$U$7,2,FALSE)</f>
        <v>1.0031437536546525E-5</v>
      </c>
      <c r="AO43" s="217">
        <f>AK43*VLOOKUP($AO$14,Library!$T$4:$U$7,2,FALSE)</f>
        <v>0</v>
      </c>
      <c r="AP43" s="217">
        <f>AL43*VLOOKUP($AP$14,Library!$T$4:$U$7,2,FALSE)</f>
        <v>1.1481377651571985E-5</v>
      </c>
      <c r="AQ43" s="123"/>
      <c r="AR43" s="123"/>
      <c r="AS43" s="123"/>
      <c r="AU43" s="211"/>
      <c r="BF43" s="70"/>
      <c r="BG43" s="121"/>
      <c r="BH43" s="70"/>
    </row>
    <row r="44" spans="1:60" ht="14.4" x14ac:dyDescent="0.3">
      <c r="A44" s="25" t="s">
        <v>30</v>
      </c>
      <c r="B44" s="107"/>
      <c r="C44" s="30">
        <f>VLOOKUP(A44,Library!$B$55:$G$69,2,FALSE)</f>
        <v>376.37</v>
      </c>
      <c r="D44" s="31"/>
      <c r="E44" s="31">
        <f>VLOOKUP(A44,'Speece 1996'!$I$10:$J$19,2,FALSE)*'Speece 1996'!$G$20/'Speece 1996'!$G$23</f>
        <v>9.5000000000000001E-2</v>
      </c>
      <c r="F44" s="32" t="s">
        <v>16</v>
      </c>
      <c r="G44" s="226"/>
      <c r="H44" s="21">
        <f t="shared" si="36"/>
        <v>2.5241119111512607E-7</v>
      </c>
      <c r="I44" s="33"/>
      <c r="J44" s="34"/>
      <c r="K44" s="34"/>
      <c r="L44" s="34"/>
      <c r="M44" s="224"/>
      <c r="N44" s="182"/>
      <c r="O44" s="224"/>
      <c r="P44" s="224"/>
      <c r="Q44" s="182"/>
      <c r="R44" s="155"/>
      <c r="S44" s="36"/>
      <c r="T44" s="36"/>
      <c r="U44" s="4"/>
      <c r="V44" s="114"/>
      <c r="W44" s="142"/>
      <c r="X44" s="142"/>
      <c r="Y44" s="109"/>
      <c r="Z44" s="109"/>
      <c r="AA44" s="109"/>
      <c r="AB44" s="109"/>
      <c r="AC44" s="114"/>
      <c r="AD44" s="123"/>
      <c r="AE44" s="217">
        <f>VLOOKUP(A44,Library!$B$4:$G$69,3,FALSE)</f>
        <v>17</v>
      </c>
      <c r="AF44" s="185">
        <f>VLOOKUP(A44,Library!$B$4:$G$69,4,FALSE)</f>
        <v>4</v>
      </c>
      <c r="AG44" s="185">
        <f>VLOOKUP(A44,Library!$B$4:$G$69,5,FALSE)</f>
        <v>0</v>
      </c>
      <c r="AH44" s="218">
        <f>VLOOKUP(A44,Library!$B$4:$G$69,6,FALSE)</f>
        <v>0</v>
      </c>
      <c r="AI44" s="217">
        <f t="shared" si="11"/>
        <v>4.2909902489571433E-6</v>
      </c>
      <c r="AJ44" s="217">
        <f t="shared" si="12"/>
        <v>1.0096447644605043E-6</v>
      </c>
      <c r="AK44" s="217">
        <f t="shared" si="13"/>
        <v>0</v>
      </c>
      <c r="AL44" s="217">
        <f t="shared" si="14"/>
        <v>0</v>
      </c>
      <c r="AM44" s="217">
        <f>AI44*VLOOKUP($AM$14,Library!$T$4:$U$7,2,FALSE)</f>
        <v>5.1534792889975293E-5</v>
      </c>
      <c r="AN44" s="217">
        <f>AJ44*VLOOKUP($AN$14,Library!$T$4:$U$7,2,FALSE)</f>
        <v>1.4145123150091666E-5</v>
      </c>
      <c r="AO44" s="217">
        <f>AK44*VLOOKUP($AO$14,Library!$T$4:$U$7,2,FALSE)</f>
        <v>0</v>
      </c>
      <c r="AP44" s="217">
        <f>AL44*VLOOKUP($AP$14,Library!$T$4:$U$7,2,FALSE)</f>
        <v>0</v>
      </c>
      <c r="AQ44" s="123"/>
      <c r="AR44" s="123"/>
      <c r="AS44" s="123"/>
      <c r="AU44" s="211"/>
      <c r="BF44" s="70"/>
      <c r="BG44" s="121"/>
      <c r="BH44" s="70"/>
    </row>
    <row r="45" spans="1:60" ht="14.4" x14ac:dyDescent="0.3">
      <c r="A45" s="25" t="s">
        <v>34</v>
      </c>
      <c r="B45" s="107"/>
      <c r="C45" s="30">
        <f>VLOOKUP(A45,Library!$B$55:$G$69,2,FALSE)</f>
        <v>123.11</v>
      </c>
      <c r="D45" s="31"/>
      <c r="E45" s="31">
        <f>VLOOKUP(A45,'Speece 1996'!$I$10:$J$19,2,FALSE)*'Speece 1996'!$G$20/'Speece 1996'!$G$23</f>
        <v>9.5000000000000001E-2</v>
      </c>
      <c r="F45" s="32" t="s">
        <v>16</v>
      </c>
      <c r="G45" s="226"/>
      <c r="H45" s="21">
        <f t="shared" si="36"/>
        <v>7.7166761432864921E-7</v>
      </c>
      <c r="I45" s="33"/>
      <c r="J45" s="34"/>
      <c r="K45" s="34"/>
      <c r="L45" s="34"/>
      <c r="M45" s="224"/>
      <c r="N45" s="182"/>
      <c r="O45" s="224"/>
      <c r="P45" s="224"/>
      <c r="Q45" s="182"/>
      <c r="R45" s="155"/>
      <c r="S45" s="36"/>
      <c r="T45" s="36"/>
      <c r="U45" s="4"/>
      <c r="V45" s="114"/>
      <c r="W45" s="142"/>
      <c r="X45" s="142"/>
      <c r="Y45" s="109"/>
      <c r="Z45" s="109"/>
      <c r="AA45" s="109"/>
      <c r="AB45" s="109"/>
      <c r="AC45" s="114"/>
      <c r="AD45" s="123"/>
      <c r="AE45" s="217">
        <f>VLOOKUP(A45,Library!$B$4:$G$69,3,FALSE)</f>
        <v>6</v>
      </c>
      <c r="AF45" s="185">
        <f>VLOOKUP(A45,Library!$B$4:$G$69,4,FALSE)</f>
        <v>1</v>
      </c>
      <c r="AG45" s="185">
        <f>VLOOKUP(A45,Library!$B$4:$G$69,5,FALSE)</f>
        <v>0</v>
      </c>
      <c r="AH45" s="218">
        <f>VLOOKUP(A45,Library!$B$4:$G$69,6,FALSE)</f>
        <v>0</v>
      </c>
      <c r="AI45" s="217">
        <f t="shared" si="11"/>
        <v>4.6300056859718957E-6</v>
      </c>
      <c r="AJ45" s="217">
        <f t="shared" si="12"/>
        <v>7.7166761432864921E-7</v>
      </c>
      <c r="AK45" s="217">
        <f t="shared" si="13"/>
        <v>0</v>
      </c>
      <c r="AL45" s="217">
        <f t="shared" si="14"/>
        <v>0</v>
      </c>
      <c r="AM45" s="217">
        <f>AI45*VLOOKUP($AM$14,Library!$T$4:$U$7,2,FALSE)</f>
        <v>5.5606368288522464E-5</v>
      </c>
      <c r="AN45" s="217">
        <f>AJ45*VLOOKUP($AN$14,Library!$T$4:$U$7,2,FALSE)</f>
        <v>1.0811063276744376E-5</v>
      </c>
      <c r="AO45" s="217">
        <f>AK45*VLOOKUP($AO$14,Library!$T$4:$U$7,2,FALSE)</f>
        <v>0</v>
      </c>
      <c r="AP45" s="217">
        <f>AL45*VLOOKUP($AP$14,Library!$T$4:$U$7,2,FALSE)</f>
        <v>0</v>
      </c>
      <c r="AQ45" s="123"/>
      <c r="AR45" s="123"/>
      <c r="AS45" s="123"/>
      <c r="AU45" s="211"/>
      <c r="BF45" s="70"/>
      <c r="BG45" s="121"/>
      <c r="BH45" s="70"/>
    </row>
    <row r="46" spans="1:60" ht="14.4" x14ac:dyDescent="0.3">
      <c r="A46" s="25" t="s">
        <v>122</v>
      </c>
      <c r="B46" s="107"/>
      <c r="C46" s="30">
        <f>VLOOKUP(A46,Library!$B$55:$G$69,2,FALSE)</f>
        <v>476.53</v>
      </c>
      <c r="D46" s="31"/>
      <c r="E46" s="31">
        <f>VLOOKUP(A46,'Speece 1996'!$I$10:$J$19,2,FALSE)*'Speece 1996'!$G$20/'Speece 1996'!$G$23</f>
        <v>9.5000000000000001E-2</v>
      </c>
      <c r="F46" s="32" t="s">
        <v>16</v>
      </c>
      <c r="G46" s="226"/>
      <c r="H46" s="21">
        <f t="shared" si="36"/>
        <v>1.9935785784735483E-7</v>
      </c>
      <c r="I46" s="33"/>
      <c r="J46" s="34"/>
      <c r="K46" s="34"/>
      <c r="L46" s="34"/>
      <c r="M46" s="224"/>
      <c r="N46" s="182"/>
      <c r="O46" s="224"/>
      <c r="P46" s="224"/>
      <c r="Q46" s="182"/>
      <c r="R46" s="155"/>
      <c r="S46" s="36"/>
      <c r="T46" s="36"/>
      <c r="U46" s="4"/>
      <c r="V46" s="114"/>
      <c r="W46" s="142"/>
      <c r="X46" s="142"/>
      <c r="Y46" s="109"/>
      <c r="Z46" s="109"/>
      <c r="AA46" s="109"/>
      <c r="AB46" s="109"/>
      <c r="AC46" s="114"/>
      <c r="AD46" s="123"/>
      <c r="AE46" s="217">
        <f>VLOOKUP(A46,Library!$B$4:$G$69,3,FALSE)</f>
        <v>9</v>
      </c>
      <c r="AF46" s="185">
        <f>VLOOKUP(A46,Library!$B$4:$G$69,4,FALSE)</f>
        <v>1</v>
      </c>
      <c r="AG46" s="185">
        <f>VLOOKUP(A46,Library!$B$4:$G$69,5,FALSE)</f>
        <v>0</v>
      </c>
      <c r="AH46" s="218">
        <f>VLOOKUP(A46,Library!$B$4:$G$69,6,FALSE)</f>
        <v>0</v>
      </c>
      <c r="AI46" s="217">
        <f t="shared" si="11"/>
        <v>1.7942207206261936E-6</v>
      </c>
      <c r="AJ46" s="217">
        <f t="shared" si="12"/>
        <v>1.9935785784735483E-7</v>
      </c>
      <c r="AK46" s="217">
        <f t="shared" si="13"/>
        <v>0</v>
      </c>
      <c r="AL46" s="217">
        <f t="shared" si="14"/>
        <v>0</v>
      </c>
      <c r="AM46" s="217">
        <f>AI46*VLOOKUP($AM$14,Library!$T$4:$U$7,2,FALSE)</f>
        <v>2.1548590854720583E-5</v>
      </c>
      <c r="AN46" s="217">
        <f>AJ46*VLOOKUP($AN$14,Library!$T$4:$U$7,2,FALSE)</f>
        <v>2.793003588441441E-6</v>
      </c>
      <c r="AO46" s="217">
        <f>AK46*VLOOKUP($AO$14,Library!$T$4:$U$7,2,FALSE)</f>
        <v>0</v>
      </c>
      <c r="AP46" s="217">
        <f>AL46*VLOOKUP($AP$14,Library!$T$4:$U$7,2,FALSE)</f>
        <v>0</v>
      </c>
      <c r="AQ46" s="123"/>
      <c r="AR46" s="123"/>
      <c r="AS46" s="123"/>
      <c r="AU46" s="211"/>
      <c r="BF46" s="70"/>
      <c r="BG46" s="121"/>
      <c r="BH46" s="70"/>
    </row>
    <row r="47" spans="1:60" ht="14.4" x14ac:dyDescent="0.3">
      <c r="A47" s="25" t="s">
        <v>42</v>
      </c>
      <c r="B47" s="107"/>
      <c r="C47" s="30">
        <f>VLOOKUP(A47,Library!$B$55:$G$69,2,FALSE)</f>
        <v>1355.37</v>
      </c>
      <c r="D47" s="31"/>
      <c r="E47" s="31">
        <f>VLOOKUP(A47,'Speece 1996'!$I$10:$J$19,2,FALSE)*'Speece 1996'!$G$20/'Speece 1996'!$G$23</f>
        <v>4.7500000000000001E-2</v>
      </c>
      <c r="F47" s="32" t="s">
        <v>16</v>
      </c>
      <c r="G47" s="226"/>
      <c r="H47" s="21">
        <f t="shared" si="36"/>
        <v>3.5045780856887789E-8</v>
      </c>
      <c r="I47" s="33"/>
      <c r="J47" s="34"/>
      <c r="K47" s="34"/>
      <c r="L47" s="34"/>
      <c r="M47" s="224"/>
      <c r="N47" s="182"/>
      <c r="O47" s="224"/>
      <c r="P47" s="224"/>
      <c r="Q47" s="182"/>
      <c r="R47" s="155"/>
      <c r="S47" s="36"/>
      <c r="T47" s="36"/>
      <c r="U47" s="4"/>
      <c r="V47" s="114"/>
      <c r="W47" s="142"/>
      <c r="X47" s="142"/>
      <c r="Y47" s="109"/>
      <c r="Z47" s="109"/>
      <c r="AA47" s="109"/>
      <c r="AB47" s="109"/>
      <c r="AC47" s="114"/>
      <c r="AD47" s="123"/>
      <c r="AE47" s="217">
        <f>VLOOKUP(A47,Library!$B$4:$G$69,3,FALSE)</f>
        <v>70</v>
      </c>
      <c r="AF47" s="185">
        <f>VLOOKUP(A47,Library!$B$4:$G$69,4,FALSE)</f>
        <v>14</v>
      </c>
      <c r="AG47" s="185">
        <f>VLOOKUP(A47,Library!$B$4:$G$69,5,FALSE)</f>
        <v>0</v>
      </c>
      <c r="AH47" s="218">
        <f>VLOOKUP(A47,Library!$B$4:$G$69,6,FALSE)</f>
        <v>1</v>
      </c>
      <c r="AI47" s="217">
        <f t="shared" si="11"/>
        <v>2.4532046599821454E-6</v>
      </c>
      <c r="AJ47" s="217">
        <f t="shared" si="12"/>
        <v>4.9064093199642907E-7</v>
      </c>
      <c r="AK47" s="217">
        <f t="shared" si="13"/>
        <v>0</v>
      </c>
      <c r="AL47" s="217">
        <f t="shared" si="14"/>
        <v>3.5045780856887789E-8</v>
      </c>
      <c r="AM47" s="217">
        <f>AI47*VLOOKUP($AM$14,Library!$T$4:$U$7,2,FALSE)</f>
        <v>2.9462987966385565E-5</v>
      </c>
      <c r="AN47" s="217">
        <f>AJ47*VLOOKUP($AN$14,Library!$T$4:$U$7,2,FALSE)</f>
        <v>6.8738794572699713E-6</v>
      </c>
      <c r="AO47" s="217">
        <f>AK47*VLOOKUP($AO$14,Library!$T$4:$U$7,2,FALSE)</f>
        <v>0</v>
      </c>
      <c r="AP47" s="217">
        <f>AL47*VLOOKUP($AP$14,Library!$T$4:$U$7,2,FALSE)</f>
        <v>1.1239181920803913E-6</v>
      </c>
      <c r="AQ47" s="123"/>
      <c r="AR47" s="123"/>
      <c r="AS47" s="123"/>
      <c r="AU47" s="211"/>
      <c r="BF47" s="70"/>
      <c r="BG47" s="121"/>
      <c r="BH47" s="70"/>
    </row>
    <row r="48" spans="1:60" ht="14.4" x14ac:dyDescent="0.3">
      <c r="A48" s="25" t="s">
        <v>45</v>
      </c>
      <c r="B48" s="107"/>
      <c r="C48" s="30">
        <f>VLOOKUP(A48,Library!$B$55:$G$69,2,FALSE)</f>
        <v>137.13999999999999</v>
      </c>
      <c r="D48" s="31"/>
      <c r="E48" s="31">
        <f>VLOOKUP(A48,'Speece 1996'!$I$10:$J$19,2,FALSE)*'Speece 1996'!$G$20/'Speece 1996'!$G$23</f>
        <v>9.5000000000000001E-2</v>
      </c>
      <c r="F48" s="32" t="s">
        <v>16</v>
      </c>
      <c r="G48" s="226"/>
      <c r="H48" s="21">
        <f t="shared" si="36"/>
        <v>6.9272276505760538E-7</v>
      </c>
      <c r="I48" s="33"/>
      <c r="J48" s="34"/>
      <c r="K48" s="34"/>
      <c r="L48" s="34"/>
      <c r="M48" s="224"/>
      <c r="N48" s="182"/>
      <c r="O48" s="224"/>
      <c r="P48" s="224"/>
      <c r="Q48" s="182"/>
      <c r="R48" s="155"/>
      <c r="S48" s="36"/>
      <c r="T48" s="36"/>
      <c r="U48" s="4"/>
      <c r="V48" s="114"/>
      <c r="W48" s="142"/>
      <c r="X48" s="142"/>
      <c r="Y48" s="109"/>
      <c r="Z48" s="109"/>
      <c r="AA48" s="109"/>
      <c r="AB48" s="109"/>
      <c r="AC48" s="114"/>
      <c r="AD48" s="123"/>
      <c r="AE48" s="217">
        <f>VLOOKUP(A48,Library!$B$4:$G$69,3,FALSE)</f>
        <v>7</v>
      </c>
      <c r="AF48" s="185">
        <f>VLOOKUP(A48,Library!$B$4:$G$69,4,FALSE)</f>
        <v>1</v>
      </c>
      <c r="AG48" s="185">
        <f>VLOOKUP(A48,Library!$B$4:$G$69,5,FALSE)</f>
        <v>0</v>
      </c>
      <c r="AH48" s="218">
        <f>VLOOKUP(A48,Library!$B$4:$G$69,6,FALSE)</f>
        <v>0</v>
      </c>
      <c r="AI48" s="217">
        <f t="shared" si="11"/>
        <v>4.8490593554032376E-6</v>
      </c>
      <c r="AJ48" s="217">
        <f t="shared" si="12"/>
        <v>6.9272276505760538E-7</v>
      </c>
      <c r="AK48" s="217">
        <f t="shared" si="13"/>
        <v>0</v>
      </c>
      <c r="AL48" s="217">
        <f t="shared" si="14"/>
        <v>0</v>
      </c>
      <c r="AM48" s="217">
        <f>AI48*VLOOKUP($AM$14,Library!$T$4:$U$7,2,FALSE)</f>
        <v>5.8237202858392883E-5</v>
      </c>
      <c r="AN48" s="217">
        <f>AJ48*VLOOKUP($AN$14,Library!$T$4:$U$7,2,FALSE)</f>
        <v>9.7050459384570512E-6</v>
      </c>
      <c r="AO48" s="217">
        <f>AK48*VLOOKUP($AO$14,Library!$T$4:$U$7,2,FALSE)</f>
        <v>0</v>
      </c>
      <c r="AP48" s="217">
        <f>AL48*VLOOKUP($AP$14,Library!$T$4:$U$7,2,FALSE)</f>
        <v>0</v>
      </c>
      <c r="AQ48" s="123"/>
      <c r="AR48" s="123"/>
      <c r="AS48" s="123"/>
      <c r="AU48" s="211"/>
      <c r="BF48" s="70"/>
      <c r="BG48" s="121"/>
      <c r="BH48" s="70"/>
    </row>
    <row r="49" spans="1:60" ht="14.4" x14ac:dyDescent="0.3">
      <c r="A49" s="25" t="s">
        <v>49</v>
      </c>
      <c r="B49" s="107"/>
      <c r="C49" s="30">
        <f>VLOOKUP(A49,Library!$B$55:$G$69,2,FALSE)</f>
        <v>206.33</v>
      </c>
      <c r="D49" s="31"/>
      <c r="E49" s="31">
        <f>VLOOKUP(A49,'Speece 1996'!$I$10:$J$19,2,FALSE)*'Speece 1996'!$G$20/'Speece 1996'!$G$23</f>
        <v>4.7500000000000001E-2</v>
      </c>
      <c r="F49" s="32" t="s">
        <v>16</v>
      </c>
      <c r="G49" s="227"/>
      <c r="H49" s="32">
        <f t="shared" si="36"/>
        <v>2.3021373527843746E-7</v>
      </c>
      <c r="I49" s="33"/>
      <c r="J49" s="34"/>
      <c r="K49" s="34"/>
      <c r="L49" s="34"/>
      <c r="M49" s="224"/>
      <c r="N49" s="182"/>
      <c r="O49" s="224"/>
      <c r="P49" s="224"/>
      <c r="Q49" s="182"/>
      <c r="R49" s="155"/>
      <c r="S49" s="155"/>
      <c r="T49" s="155"/>
      <c r="U49" s="5"/>
      <c r="V49" s="228"/>
      <c r="W49" s="142"/>
      <c r="X49" s="142"/>
      <c r="Y49" s="109"/>
      <c r="Z49" s="109"/>
      <c r="AA49" s="109"/>
      <c r="AB49" s="109"/>
      <c r="AC49" s="228"/>
      <c r="AD49" s="123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123"/>
      <c r="AR49" s="123"/>
      <c r="AS49" s="123"/>
      <c r="AU49" s="211"/>
      <c r="BF49" s="70"/>
      <c r="BG49" s="121"/>
      <c r="BH49" s="70"/>
    </row>
    <row r="50" spans="1:60" ht="14.4" x14ac:dyDescent="0.3">
      <c r="D50" s="6"/>
      <c r="E50" s="6"/>
      <c r="F50" s="6"/>
      <c r="G50" s="233"/>
      <c r="H50" s="6"/>
      <c r="I50" s="210"/>
      <c r="J50" s="210"/>
      <c r="K50" s="210"/>
      <c r="L50" s="210"/>
      <c r="P50"/>
      <c r="Q50"/>
      <c r="U50" s="109"/>
      <c r="V50" s="123"/>
      <c r="W50" s="142"/>
      <c r="X50" s="142"/>
      <c r="Y50" s="109"/>
      <c r="Z50" s="109"/>
      <c r="AA50" s="109"/>
      <c r="AB50" s="109"/>
      <c r="AC50" s="123"/>
      <c r="AD50" s="123"/>
      <c r="AE50" s="123"/>
      <c r="AF50" s="123"/>
      <c r="AG50" s="123"/>
      <c r="AH50" s="123"/>
      <c r="AI50" s="6"/>
      <c r="AJ50" s="6"/>
      <c r="AK50" s="6"/>
      <c r="AL50" s="6"/>
      <c r="AM50" s="6"/>
      <c r="AN50" s="6"/>
      <c r="AO50" s="6"/>
      <c r="AP50" s="6"/>
      <c r="AQ50" s="123"/>
      <c r="AR50" s="123"/>
      <c r="AS50" s="123"/>
      <c r="AU50" s="211"/>
      <c r="BF50" s="70"/>
      <c r="BG50" s="121"/>
      <c r="BH50" s="70"/>
    </row>
    <row r="51" spans="1:60" ht="14.4" x14ac:dyDescent="0.3">
      <c r="D51" s="6"/>
      <c r="E51" s="6"/>
      <c r="F51" s="6"/>
      <c r="G51" s="6"/>
      <c r="H51" s="6"/>
      <c r="P51"/>
      <c r="Q51"/>
      <c r="U51" s="109"/>
      <c r="V51" s="123"/>
      <c r="W51" s="142"/>
      <c r="X51" s="142"/>
      <c r="Y51" s="109"/>
      <c r="Z51" s="109"/>
      <c r="AA51" s="109"/>
      <c r="AB51" s="109"/>
      <c r="AC51" s="123"/>
      <c r="AD51" s="123"/>
      <c r="AE51" s="123"/>
      <c r="AF51" s="123"/>
      <c r="AG51" s="123"/>
      <c r="AH51" s="123"/>
      <c r="AI51" s="6"/>
      <c r="AJ51" s="6"/>
      <c r="AK51" s="6"/>
      <c r="AL51" s="6"/>
      <c r="AM51" s="6"/>
      <c r="AN51" s="6"/>
      <c r="AO51" s="6"/>
      <c r="AP51" s="6"/>
      <c r="AQ51" s="123"/>
      <c r="AR51" s="123"/>
      <c r="AS51" s="123"/>
      <c r="AU51" s="211"/>
      <c r="BF51" s="70"/>
      <c r="BG51" s="121"/>
      <c r="BH51" s="70"/>
    </row>
    <row r="52" spans="1:60" ht="14.4" x14ac:dyDescent="0.3">
      <c r="D52" s="6"/>
      <c r="E52" s="6"/>
      <c r="F52" s="6"/>
      <c r="G52" s="6"/>
      <c r="H52" s="6"/>
      <c r="P52"/>
      <c r="Q52"/>
      <c r="U52" s="109"/>
      <c r="V52" s="123"/>
      <c r="W52" s="142"/>
      <c r="X52" s="142"/>
      <c r="Y52" s="109"/>
      <c r="Z52" s="109"/>
      <c r="AA52" s="109"/>
      <c r="AB52" s="109"/>
      <c r="AC52" s="123"/>
      <c r="AD52" s="123"/>
      <c r="AE52" s="109"/>
      <c r="AF52" s="109"/>
      <c r="AG52" s="109"/>
      <c r="AH52" s="109"/>
      <c r="AI52" s="6"/>
      <c r="AJ52" s="6"/>
      <c r="AK52" s="6"/>
      <c r="AL52" s="6"/>
      <c r="AM52" s="6"/>
      <c r="AN52" s="6"/>
      <c r="AO52" s="6"/>
      <c r="AP52" s="6"/>
      <c r="AQ52" s="109"/>
      <c r="AR52" s="109"/>
      <c r="AS52" s="109"/>
      <c r="AT52" s="109"/>
      <c r="AU52" s="109"/>
      <c r="AV52" s="109"/>
      <c r="AW52" s="109"/>
      <c r="AX52" s="109"/>
      <c r="AY52" s="109"/>
      <c r="BF52" s="70" t="s">
        <v>81</v>
      </c>
      <c r="BG52" s="121">
        <v>187.56</v>
      </c>
      <c r="BH52" s="70">
        <v>2</v>
      </c>
    </row>
    <row r="53" spans="1:60" ht="14.4" x14ac:dyDescent="0.3">
      <c r="A53" s="229"/>
      <c r="B53" s="230"/>
      <c r="C53" s="69"/>
      <c r="D53" s="231"/>
      <c r="E53" s="232"/>
      <c r="F53" s="6"/>
      <c r="G53" s="6"/>
      <c r="H53" s="6"/>
      <c r="P53"/>
      <c r="Q53"/>
      <c r="U53" s="109"/>
      <c r="V53" s="109"/>
      <c r="W53" s="123"/>
      <c r="X53" s="123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6"/>
      <c r="AJ53" s="6"/>
      <c r="AK53" s="6"/>
      <c r="AL53" s="6"/>
      <c r="AM53" s="6"/>
      <c r="AN53" s="6"/>
      <c r="AO53" s="6"/>
      <c r="AP53" s="6"/>
      <c r="AQ53" s="109"/>
      <c r="AR53" s="109"/>
      <c r="AS53" s="109"/>
      <c r="AT53" s="109"/>
      <c r="AU53" s="109"/>
      <c r="AV53" s="109"/>
      <c r="AW53" s="109"/>
      <c r="AX53" s="109"/>
      <c r="AY53" s="109"/>
      <c r="BF53" s="70" t="s">
        <v>115</v>
      </c>
      <c r="BG53" s="121">
        <v>126.968</v>
      </c>
      <c r="BH53" s="70">
        <v>-2</v>
      </c>
    </row>
    <row r="54" spans="1:60" ht="18" x14ac:dyDescent="0.35">
      <c r="A54" s="156"/>
      <c r="B54" s="156"/>
      <c r="C54" s="157"/>
      <c r="D54" s="158"/>
      <c r="E54" s="158"/>
      <c r="F54" s="6"/>
      <c r="G54" s="6"/>
      <c r="H54" s="6"/>
      <c r="P54"/>
      <c r="Q54"/>
      <c r="U54" s="109"/>
      <c r="V54" s="58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6"/>
      <c r="AJ54" s="6"/>
      <c r="AK54" s="6"/>
      <c r="AL54" s="6"/>
      <c r="AM54" s="6"/>
      <c r="AN54" s="6"/>
      <c r="AO54" s="6"/>
      <c r="AP54" s="6"/>
      <c r="AQ54" s="109"/>
      <c r="AR54" s="109"/>
      <c r="AS54" s="109"/>
      <c r="AT54" s="109"/>
      <c r="AU54" s="109"/>
      <c r="AV54" s="109"/>
      <c r="AW54" s="109"/>
      <c r="AX54" s="109"/>
      <c r="AY54" s="109"/>
      <c r="AZ54" s="83"/>
      <c r="BF54" s="70" t="s">
        <v>128</v>
      </c>
      <c r="BG54" s="121" t="e">
        <f>#REF!</f>
        <v>#REF!</v>
      </c>
      <c r="BH54" s="70">
        <v>-2</v>
      </c>
    </row>
    <row r="55" spans="1:60" ht="14.4" x14ac:dyDescent="0.3">
      <c r="A55" s="7" t="s">
        <v>278</v>
      </c>
      <c r="B55" s="97"/>
      <c r="H55" s="6"/>
      <c r="P55"/>
      <c r="Q55"/>
      <c r="U55" s="109"/>
      <c r="V55" s="58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6"/>
      <c r="AJ55" s="6"/>
      <c r="AK55" s="6"/>
      <c r="AL55" s="6"/>
      <c r="AM55" s="109"/>
      <c r="AN55" s="109"/>
      <c r="AO55" s="109"/>
      <c r="AP55" s="109"/>
      <c r="AQ55" s="109"/>
      <c r="AR55" s="109"/>
      <c r="AS55" s="109"/>
      <c r="AT55" s="109"/>
      <c r="AU55" s="109"/>
      <c r="AV55" s="109"/>
      <c r="AW55" s="109"/>
      <c r="AX55" s="109"/>
      <c r="AY55" s="109"/>
      <c r="BF55" s="70" t="s">
        <v>116</v>
      </c>
      <c r="BG55" s="121">
        <v>78.959999999999994</v>
      </c>
      <c r="BH55" s="70">
        <v>4</v>
      </c>
    </row>
    <row r="56" spans="1:60" ht="14.4" x14ac:dyDescent="0.3">
      <c r="A56" s="71" t="s">
        <v>98</v>
      </c>
      <c r="B56" s="71" t="s">
        <v>322</v>
      </c>
      <c r="C56" s="71" t="s">
        <v>103</v>
      </c>
      <c r="D56" s="206" t="s">
        <v>321</v>
      </c>
      <c r="E56" s="7"/>
      <c r="F56" s="109"/>
      <c r="G56" s="6"/>
      <c r="H56" s="6"/>
      <c r="I56" s="3"/>
      <c r="L56" s="3"/>
      <c r="M56" s="3"/>
      <c r="N56" s="3"/>
      <c r="P56"/>
      <c r="Q56"/>
      <c r="U56" s="109"/>
      <c r="V56" s="58"/>
      <c r="W56" s="109"/>
      <c r="X56" s="109"/>
      <c r="Y56" s="109"/>
      <c r="Z56" s="109"/>
      <c r="AA56" s="109"/>
      <c r="AB56" s="109"/>
      <c r="AC56" s="109"/>
      <c r="AD56" s="109"/>
      <c r="AE56" s="109"/>
      <c r="AF56" s="109"/>
      <c r="AG56" s="109"/>
      <c r="AH56" s="109"/>
      <c r="AI56" s="6"/>
      <c r="AJ56" s="6"/>
      <c r="AK56" s="6"/>
      <c r="AL56" s="6"/>
      <c r="AM56" s="109"/>
      <c r="AN56" s="109"/>
      <c r="AO56" s="109"/>
      <c r="AP56" s="109"/>
      <c r="AQ56" s="109"/>
      <c r="AR56" s="109"/>
      <c r="AS56" s="109"/>
      <c r="AT56" s="109"/>
      <c r="AU56" s="109"/>
      <c r="AV56" s="109"/>
      <c r="AW56" s="109"/>
      <c r="AX56" s="109"/>
      <c r="AY56" s="109"/>
      <c r="BF56" s="70" t="s">
        <v>82</v>
      </c>
      <c r="BG56" s="121">
        <v>94.97</v>
      </c>
      <c r="BH56" s="70">
        <v>-3</v>
      </c>
    </row>
    <row r="57" spans="1:60" ht="14.4" x14ac:dyDescent="0.3">
      <c r="A57" s="70" t="s">
        <v>63</v>
      </c>
      <c r="B57" s="70">
        <f t="shared" ref="B57:B69" si="37">SUMIF($I$16:$I$49,A57,$N$16:$N$49)*1000</f>
        <v>189.14594823836447</v>
      </c>
      <c r="C57" s="70">
        <f t="shared" ref="C57:C69" si="38">SUMIF($I$16:$I$49,A57,$M$16:$M$49)</f>
        <v>6.5245759025663328E-3</v>
      </c>
      <c r="D57" s="207">
        <f t="shared" ref="D57:D69" si="39">SUMIF($I$16:$I$49,A57,$AA$16:$AA$49)</f>
        <v>6.5245759025663328E-3</v>
      </c>
      <c r="F57" s="109"/>
      <c r="G57" s="6"/>
      <c r="H57" s="6"/>
      <c r="I57" s="3"/>
      <c r="L57" s="3"/>
      <c r="M57" s="3"/>
      <c r="N57" s="3"/>
      <c r="P57"/>
      <c r="Q57"/>
      <c r="U57" s="109"/>
      <c r="V57" s="58"/>
      <c r="W57" s="109"/>
      <c r="X57" s="109"/>
      <c r="Z57" s="109"/>
      <c r="AA57" s="109"/>
      <c r="AB57" s="109"/>
      <c r="AC57" s="109"/>
      <c r="AD57" s="109"/>
      <c r="AE57" s="109"/>
      <c r="AF57" s="109"/>
      <c r="AG57" s="109"/>
      <c r="AH57" s="109"/>
      <c r="AI57" s="6"/>
      <c r="AJ57" s="6"/>
      <c r="AK57" s="6"/>
      <c r="AL57" s="6"/>
      <c r="AM57" s="109"/>
      <c r="AN57" s="109"/>
      <c r="AO57" s="109"/>
      <c r="AP57" s="109"/>
      <c r="AQ57" s="109"/>
      <c r="AR57" s="109"/>
      <c r="AS57" s="109"/>
      <c r="AT57" s="109"/>
      <c r="AU57" s="109"/>
      <c r="AV57" s="109"/>
      <c r="AW57" s="109"/>
      <c r="AX57" s="109"/>
      <c r="AY57" s="109"/>
      <c r="BF57" s="70" t="s">
        <v>84</v>
      </c>
      <c r="BG57" s="121">
        <v>32.064999999999998</v>
      </c>
      <c r="BH57" s="70">
        <v>-2</v>
      </c>
    </row>
    <row r="58" spans="1:60" ht="14.4" x14ac:dyDescent="0.3">
      <c r="A58" s="70" t="s">
        <v>64</v>
      </c>
      <c r="B58" s="70">
        <f t="shared" si="37"/>
        <v>99.979432332373506</v>
      </c>
      <c r="C58" s="70">
        <f t="shared" si="38"/>
        <v>4.1135335252982311E-3</v>
      </c>
      <c r="D58" s="207">
        <f t="shared" si="39"/>
        <v>1.6454134101192924E-2</v>
      </c>
      <c r="F58" s="109"/>
      <c r="G58" s="6"/>
      <c r="H58" s="6"/>
      <c r="I58" s="3"/>
      <c r="L58" s="3"/>
      <c r="M58" s="3"/>
      <c r="N58" s="3"/>
      <c r="P58"/>
      <c r="Q58"/>
      <c r="U58" s="109"/>
      <c r="V58" s="58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G58" s="109"/>
      <c r="AH58" s="109"/>
      <c r="AI58" s="6"/>
      <c r="AJ58" s="6"/>
      <c r="AK58" s="6"/>
      <c r="AL58" s="6"/>
      <c r="AM58" s="109"/>
      <c r="AN58" s="109"/>
      <c r="AO58" s="109"/>
      <c r="AP58" s="109"/>
      <c r="AQ58" s="109"/>
      <c r="AR58" s="109"/>
      <c r="AS58" s="109"/>
      <c r="AT58" s="109"/>
      <c r="AU58" s="109"/>
      <c r="AV58" s="109"/>
      <c r="AW58" s="109"/>
      <c r="AX58" s="109"/>
      <c r="AY58" s="109"/>
      <c r="BF58" s="70" t="s">
        <v>119</v>
      </c>
      <c r="BG58" s="121">
        <v>60.01</v>
      </c>
      <c r="BH58" s="70">
        <v>-2</v>
      </c>
    </row>
    <row r="59" spans="1:60" ht="14.4" x14ac:dyDescent="0.3">
      <c r="A59" s="70" t="s">
        <v>65</v>
      </c>
      <c r="B59" s="70">
        <f t="shared" si="37"/>
        <v>149.99251497005989</v>
      </c>
      <c r="C59" s="70">
        <f t="shared" si="38"/>
        <v>3.7425149700598802E-3</v>
      </c>
      <c r="D59" s="207">
        <f t="shared" si="39"/>
        <v>1.4970059880239521E-2</v>
      </c>
      <c r="F59" s="109"/>
      <c r="G59" s="6"/>
      <c r="H59" s="6"/>
      <c r="I59" s="3"/>
      <c r="L59" s="3"/>
      <c r="M59" s="3"/>
      <c r="N59" s="3"/>
      <c r="P59"/>
      <c r="Q5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  <c r="AE59" s="109"/>
      <c r="AF59" s="109"/>
      <c r="AG59" s="109"/>
      <c r="AH59" s="109"/>
      <c r="AI59" s="6"/>
      <c r="AJ59" s="6"/>
      <c r="AK59" s="6"/>
      <c r="AL59" s="6"/>
      <c r="AM59" s="109"/>
      <c r="AN59" s="109"/>
      <c r="AO59" s="109"/>
      <c r="AP59" s="109"/>
      <c r="AQ59" s="109"/>
      <c r="AR59" s="109"/>
      <c r="AS59" s="109"/>
      <c r="AT59" s="109"/>
      <c r="AU59" s="109"/>
      <c r="AV59" s="109"/>
      <c r="AW59" s="109"/>
      <c r="AX59" s="109"/>
      <c r="AY59" s="109"/>
    </row>
    <row r="60" spans="1:60" ht="14.4" x14ac:dyDescent="0.3">
      <c r="A60" s="70" t="s">
        <v>66</v>
      </c>
      <c r="B60" s="70">
        <f t="shared" si="37"/>
        <v>299.9524296675192</v>
      </c>
      <c r="C60" s="70">
        <f t="shared" si="38"/>
        <v>7.6726342710997444E-3</v>
      </c>
      <c r="D60" s="207">
        <f t="shared" si="39"/>
        <v>7.6726342710997444E-3</v>
      </c>
      <c r="F60" s="109"/>
      <c r="G60" s="6"/>
      <c r="H60" s="6"/>
      <c r="I60" s="3"/>
      <c r="L60" s="3"/>
      <c r="M60" s="3"/>
      <c r="N60" s="3"/>
      <c r="P60"/>
      <c r="Q60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  <c r="AI60" s="6"/>
      <c r="AJ60" s="6"/>
      <c r="AK60" s="6"/>
      <c r="AL60" s="6"/>
      <c r="AM60" s="109"/>
      <c r="AN60" s="109"/>
      <c r="AO60" s="109"/>
      <c r="AP60" s="109"/>
      <c r="AQ60" s="109"/>
      <c r="AR60" s="109"/>
      <c r="AS60" s="109"/>
      <c r="AT60" s="109"/>
      <c r="AU60" s="109"/>
      <c r="AV60" s="109"/>
      <c r="AW60" s="109"/>
      <c r="AX60" s="109"/>
      <c r="AY60" s="109"/>
    </row>
    <row r="61" spans="1:60" ht="14.4" x14ac:dyDescent="0.3">
      <c r="A61" s="70" t="s">
        <v>71</v>
      </c>
      <c r="B61" s="70">
        <f t="shared" si="37"/>
        <v>0</v>
      </c>
      <c r="C61" s="70">
        <f t="shared" si="38"/>
        <v>0</v>
      </c>
      <c r="D61" s="207">
        <f t="shared" si="39"/>
        <v>0</v>
      </c>
      <c r="F61" s="109"/>
      <c r="G61" s="6"/>
      <c r="H61" s="6"/>
      <c r="I61" s="3"/>
      <c r="L61" s="3"/>
      <c r="M61" s="3"/>
      <c r="N61" s="3"/>
      <c r="P61"/>
      <c r="Q61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  <c r="AE61" s="109"/>
      <c r="AF61" s="109"/>
      <c r="AG61" s="109"/>
      <c r="AH61" s="109"/>
      <c r="AI61" s="6"/>
      <c r="AJ61" s="6"/>
      <c r="AK61" s="6"/>
      <c r="AL61" s="6"/>
      <c r="AM61" s="109"/>
      <c r="AN61" s="109"/>
      <c r="AO61" s="109"/>
      <c r="AP61" s="109"/>
      <c r="AQ61" s="109"/>
      <c r="AR61" s="109"/>
      <c r="AS61" s="109"/>
      <c r="AT61" s="109"/>
      <c r="AU61" s="109"/>
      <c r="AV61" s="109"/>
      <c r="AW61" s="109"/>
      <c r="AX61" s="109"/>
      <c r="AY61" s="109"/>
    </row>
    <row r="62" spans="1:60" ht="14.4" x14ac:dyDescent="0.3">
      <c r="A62" s="70" t="s">
        <v>72</v>
      </c>
      <c r="B62" s="70">
        <f t="shared" si="37"/>
        <v>4.4668264648315907E-2</v>
      </c>
      <c r="C62" s="70">
        <f t="shared" si="38"/>
        <v>7.610492673456104E-7</v>
      </c>
      <c r="D62" s="207">
        <f t="shared" si="39"/>
        <v>3.0441970693824416E-6</v>
      </c>
      <c r="F62" s="109"/>
      <c r="G62" s="6"/>
      <c r="H62" s="6"/>
      <c r="I62" s="3"/>
      <c r="L62" s="3"/>
      <c r="M62" s="3"/>
      <c r="N62" s="3"/>
      <c r="P62"/>
      <c r="Q62"/>
      <c r="U62" s="109"/>
      <c r="V62" s="109"/>
      <c r="Y62" s="109"/>
      <c r="Z62" s="109"/>
      <c r="AA62" s="109"/>
      <c r="AB62" s="109"/>
      <c r="AC62" s="109"/>
      <c r="AD62" s="109"/>
      <c r="AE62" s="109"/>
      <c r="AF62" s="109"/>
      <c r="AG62" s="109"/>
      <c r="AH62" s="109"/>
      <c r="AI62" s="6"/>
      <c r="AJ62" s="6"/>
      <c r="AK62" s="6"/>
      <c r="AL62" s="6"/>
      <c r="AM62" s="109"/>
      <c r="AN62" s="109"/>
      <c r="AO62" s="109"/>
      <c r="AP62" s="109"/>
      <c r="AQ62" s="109"/>
      <c r="AR62" s="109"/>
      <c r="AS62" s="109"/>
      <c r="AT62" s="109"/>
      <c r="AU62" s="109"/>
      <c r="AV62" s="109"/>
      <c r="AW62" s="109"/>
      <c r="AX62" s="109"/>
      <c r="AY62" s="109"/>
    </row>
    <row r="63" spans="1:60" ht="14.4" x14ac:dyDescent="0.3">
      <c r="A63" s="70" t="s">
        <v>73</v>
      </c>
      <c r="B63" s="70">
        <f t="shared" si="37"/>
        <v>0.14452695557098874</v>
      </c>
      <c r="C63" s="70">
        <f t="shared" si="38"/>
        <v>2.1922592153956772E-6</v>
      </c>
      <c r="D63" s="207">
        <f t="shared" si="39"/>
        <v>8.7690368615827087E-6</v>
      </c>
      <c r="F63" s="109"/>
      <c r="G63" s="109"/>
      <c r="H63" s="109"/>
      <c r="I63" s="3"/>
      <c r="L63" s="3"/>
      <c r="M63" s="3"/>
      <c r="N63" s="3"/>
      <c r="P63"/>
      <c r="Q63"/>
      <c r="U63" s="109"/>
      <c r="V63" s="109"/>
      <c r="Y63" s="109"/>
      <c r="Z63" s="109"/>
      <c r="AA63" s="109"/>
      <c r="AB63" s="109"/>
      <c r="AC63" s="109"/>
      <c r="AD63" s="109"/>
      <c r="AE63" s="109"/>
      <c r="AF63" s="109"/>
      <c r="AG63" s="109"/>
      <c r="AH63" s="109"/>
      <c r="AI63" s="6"/>
      <c r="AJ63" s="6"/>
      <c r="AK63" s="6"/>
      <c r="AL63" s="6"/>
      <c r="AM63" s="109"/>
      <c r="AN63" s="109"/>
      <c r="AO63" s="109"/>
      <c r="AP63" s="109"/>
      <c r="AQ63" s="109"/>
      <c r="AR63" s="109"/>
      <c r="AS63" s="109"/>
      <c r="AT63" s="109"/>
      <c r="AU63" s="109"/>
      <c r="AV63" s="109"/>
      <c r="AW63" s="109"/>
      <c r="AX63" s="109"/>
      <c r="AY63" s="109"/>
    </row>
    <row r="64" spans="1:60" thickBot="1" x14ac:dyDescent="0.35">
      <c r="A64" s="70" t="s">
        <v>74</v>
      </c>
      <c r="B64" s="70">
        <f t="shared" si="37"/>
        <v>4.4665981500513867E-2</v>
      </c>
      <c r="C64" s="70">
        <f t="shared" si="38"/>
        <v>8.1299565890997217E-7</v>
      </c>
      <c r="D64" s="207">
        <f t="shared" si="39"/>
        <v>3.2519826356398887E-6</v>
      </c>
      <c r="F64" s="109"/>
      <c r="G64" s="6"/>
      <c r="H64" s="6"/>
      <c r="I64" s="3"/>
      <c r="L64" s="3"/>
      <c r="M64" s="3"/>
      <c r="N64" s="3"/>
      <c r="P64"/>
      <c r="Q64"/>
      <c r="U64" s="109"/>
      <c r="V64" s="109"/>
      <c r="Y64" s="109"/>
      <c r="Z64" s="109"/>
      <c r="AA64" s="109"/>
      <c r="AB64" s="109"/>
      <c r="AC64" s="109"/>
      <c r="AD64" s="109"/>
      <c r="AE64" s="109"/>
      <c r="AF64" s="109"/>
      <c r="AG64" s="109"/>
      <c r="AH64" s="109"/>
      <c r="AI64" s="6"/>
      <c r="AJ64" s="6"/>
      <c r="AK64" s="6"/>
      <c r="AL64" s="6"/>
      <c r="AM64" s="109"/>
      <c r="AN64" s="109"/>
      <c r="AO64" s="109"/>
      <c r="AP64" s="109"/>
      <c r="AQ64" s="109"/>
      <c r="AR64" s="109"/>
      <c r="AS64" s="109"/>
      <c r="AT64" s="109"/>
      <c r="AU64" s="109"/>
      <c r="AV64" s="109"/>
      <c r="AW64" s="109"/>
      <c r="AX64" s="109"/>
      <c r="AY64" s="109"/>
    </row>
    <row r="65" spans="1:60" ht="14.4" x14ac:dyDescent="0.3">
      <c r="A65" s="70" t="s">
        <v>75</v>
      </c>
      <c r="B65" s="70">
        <f t="shared" si="37"/>
        <v>3.8501570180378454E-2</v>
      </c>
      <c r="C65" s="70">
        <f t="shared" si="38"/>
        <v>6.5330877524835241E-7</v>
      </c>
      <c r="D65" s="207">
        <f t="shared" si="39"/>
        <v>2.6132351009934096E-6</v>
      </c>
      <c r="F65" s="109"/>
      <c r="G65" s="6"/>
      <c r="H65" s="6"/>
      <c r="I65" s="3"/>
      <c r="L65" s="3"/>
      <c r="M65" s="3"/>
      <c r="N65" s="3"/>
      <c r="P65"/>
      <c r="Q65"/>
      <c r="U65" s="109"/>
      <c r="V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6"/>
      <c r="AJ65" s="6"/>
      <c r="AK65" s="6"/>
      <c r="AL65" s="6"/>
      <c r="AM65" s="109"/>
      <c r="AN65" s="109"/>
      <c r="AO65" s="109"/>
      <c r="AP65" s="109"/>
      <c r="AQ65" s="109"/>
      <c r="AR65" s="109"/>
      <c r="AS65" s="109"/>
      <c r="AT65" s="109"/>
      <c r="AU65" s="109"/>
      <c r="AV65" s="109"/>
      <c r="AW65" s="109"/>
      <c r="AX65" s="109"/>
      <c r="AY65" s="109"/>
      <c r="BC65" s="186" t="s">
        <v>315</v>
      </c>
      <c r="BD65" s="187"/>
      <c r="BE65" s="188"/>
      <c r="BF65" s="189"/>
    </row>
    <row r="66" spans="1:60" ht="14.4" x14ac:dyDescent="0.3">
      <c r="A66" s="70" t="s">
        <v>78</v>
      </c>
      <c r="B66" s="70">
        <f t="shared" si="37"/>
        <v>143.78556500165422</v>
      </c>
      <c r="C66" s="70">
        <f t="shared" si="38"/>
        <v>7.9703750000916975E-3</v>
      </c>
      <c r="D66" s="207">
        <f t="shared" si="39"/>
        <v>7.9703750000916975E-3</v>
      </c>
      <c r="F66" s="109"/>
      <c r="G66" s="6"/>
      <c r="H66" s="6"/>
      <c r="I66" s="3"/>
      <c r="L66" s="3"/>
      <c r="M66" s="3"/>
      <c r="N66" s="3"/>
      <c r="P66"/>
      <c r="Q66"/>
      <c r="U66" s="109"/>
      <c r="V66" s="109"/>
      <c r="Y66" s="109"/>
      <c r="Z66" s="109"/>
      <c r="AA66" s="109"/>
      <c r="AB66" s="109"/>
      <c r="AC66" s="109"/>
      <c r="AD66" s="109"/>
      <c r="AE66" s="109"/>
      <c r="AF66" s="109"/>
      <c r="AG66" s="109"/>
      <c r="AH66" s="109"/>
      <c r="AI66" s="6"/>
      <c r="AJ66" s="6"/>
      <c r="AK66" s="6"/>
      <c r="AL66" s="6"/>
      <c r="AM66" s="109"/>
      <c r="AN66" s="109"/>
      <c r="AO66" s="109"/>
      <c r="AP66" s="109"/>
      <c r="AQ66" s="109"/>
      <c r="AR66" s="109"/>
      <c r="AS66" s="109"/>
      <c r="AT66" s="109"/>
      <c r="AU66" s="109"/>
      <c r="AV66" s="109"/>
      <c r="AW66" s="109"/>
      <c r="AX66" s="109"/>
      <c r="AY66" s="109"/>
      <c r="BC66" s="190" t="s">
        <v>315</v>
      </c>
      <c r="BD66" s="184" t="s">
        <v>104</v>
      </c>
      <c r="BE66" s="71" t="s">
        <v>107</v>
      </c>
      <c r="BF66" s="191" t="s">
        <v>319</v>
      </c>
      <c r="BG66" s="7" t="s">
        <v>61</v>
      </c>
    </row>
    <row r="67" spans="1:60" ht="14.4" x14ac:dyDescent="0.3">
      <c r="A67" s="70" t="s">
        <v>80</v>
      </c>
      <c r="B67" s="70">
        <f t="shared" si="37"/>
        <v>10.184083044345952</v>
      </c>
      <c r="C67" s="70">
        <f t="shared" si="38"/>
        <v>1.8236338158019434E-4</v>
      </c>
      <c r="D67" s="207">
        <f t="shared" si="39"/>
        <v>7.2945352632077735E-4</v>
      </c>
      <c r="F67" s="109"/>
      <c r="G67" s="6"/>
      <c r="H67" s="6"/>
      <c r="I67" s="3"/>
      <c r="L67" s="3"/>
      <c r="M67" s="3"/>
      <c r="N67" s="3"/>
      <c r="P67"/>
      <c r="Q67"/>
      <c r="U67" s="109"/>
      <c r="V67" s="109"/>
      <c r="Y67" s="109"/>
      <c r="Z67" s="109"/>
      <c r="AA67" s="109"/>
      <c r="AB67" s="109"/>
      <c r="AC67" s="109"/>
      <c r="AD67" s="109"/>
      <c r="AE67" s="109"/>
      <c r="AF67" s="109"/>
      <c r="AG67" s="109"/>
      <c r="AH67" s="109"/>
      <c r="AI67" s="6"/>
      <c r="AJ67" s="6"/>
      <c r="AK67" s="6"/>
      <c r="AL67" s="6"/>
      <c r="AM67" s="109"/>
      <c r="AN67" s="109"/>
      <c r="AO67" s="109"/>
      <c r="AP67" s="109"/>
      <c r="AQ67" s="109"/>
      <c r="AR67" s="109"/>
      <c r="AS67" s="109"/>
      <c r="AT67" s="109"/>
      <c r="AU67" s="109"/>
      <c r="AV67" s="109"/>
      <c r="AW67" s="109"/>
      <c r="AX67" s="109"/>
      <c r="AY67" s="109"/>
      <c r="BC67" s="88" t="s">
        <v>44</v>
      </c>
      <c r="BD67" s="185">
        <v>1</v>
      </c>
      <c r="BE67" s="70">
        <f>IFERROR(VLOOKUP(BC67,Library!$T$4:$U$7,2,FALSE),0)</f>
        <v>30.97</v>
      </c>
      <c r="BF67" s="166">
        <f t="shared" ref="BF67:BF91" si="40">BD67*BE67*S68</f>
        <v>0</v>
      </c>
      <c r="BG67">
        <f t="shared" ref="BG67:BG91" si="41">BD67*S68</f>
        <v>0</v>
      </c>
    </row>
    <row r="68" spans="1:60" ht="14.4" x14ac:dyDescent="0.3">
      <c r="A68" s="70" t="s">
        <v>114</v>
      </c>
      <c r="B68" s="70">
        <f t="shared" si="37"/>
        <v>0</v>
      </c>
      <c r="C68" s="70">
        <f t="shared" si="38"/>
        <v>0</v>
      </c>
      <c r="D68" s="207">
        <f t="shared" si="39"/>
        <v>0</v>
      </c>
      <c r="F68" s="104"/>
      <c r="G68" s="6"/>
      <c r="H68" s="6"/>
      <c r="P68"/>
      <c r="Q68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  <c r="AE68" s="109"/>
      <c r="AF68" s="109"/>
      <c r="AG68" s="109"/>
      <c r="AH68" s="109"/>
      <c r="AI68" s="6"/>
      <c r="AJ68" s="6"/>
      <c r="AK68" s="6"/>
      <c r="AL68" s="6"/>
      <c r="AM68" s="109"/>
      <c r="AN68" s="109"/>
      <c r="AO68" s="109"/>
      <c r="AP68" s="109"/>
      <c r="AQ68" s="109"/>
      <c r="AR68" s="109"/>
      <c r="AS68" s="109"/>
      <c r="AT68" s="109"/>
      <c r="AU68" s="109"/>
      <c r="AV68" s="109"/>
      <c r="AW68" s="109"/>
      <c r="AX68" s="109"/>
      <c r="AY68" s="109"/>
      <c r="BC68" s="88" t="s">
        <v>44</v>
      </c>
      <c r="BD68" s="185">
        <v>1</v>
      </c>
      <c r="BE68" s="70">
        <f>IFERROR(VLOOKUP(BC68,Library!$T$4:$U$7,2,FALSE),0)</f>
        <v>30.97</v>
      </c>
      <c r="BF68" s="166">
        <f t="shared" si="40"/>
        <v>0</v>
      </c>
      <c r="BG68">
        <f t="shared" si="41"/>
        <v>0</v>
      </c>
    </row>
    <row r="69" spans="1:60" ht="14.4" x14ac:dyDescent="0.3">
      <c r="A69" s="70" t="s">
        <v>81</v>
      </c>
      <c r="B69" s="70">
        <f t="shared" si="37"/>
        <v>0.26365228922852502</v>
      </c>
      <c r="C69" s="70">
        <f t="shared" si="38"/>
        <v>1.4056957199217584E-6</v>
      </c>
      <c r="D69" s="207">
        <f t="shared" si="39"/>
        <v>5.6227828796870335E-6</v>
      </c>
      <c r="F69" s="6"/>
      <c r="G69" s="6"/>
      <c r="H69" s="6"/>
      <c r="P69"/>
      <c r="Q6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  <c r="BC69" s="88" t="s">
        <v>47</v>
      </c>
      <c r="BD69" s="185">
        <v>1</v>
      </c>
      <c r="BE69" s="70">
        <f>IFERROR(VLOOKUP(BC69,Library!$T$4:$U$7,2,FALSE),0)</f>
        <v>14.01</v>
      </c>
      <c r="BF69" s="166" t="e">
        <f>BD69*BE69*#REF!</f>
        <v>#REF!</v>
      </c>
      <c r="BG69" t="e">
        <f>BD69*#REF!</f>
        <v>#REF!</v>
      </c>
    </row>
    <row r="70" spans="1:60" ht="14.4" x14ac:dyDescent="0.3">
      <c r="A70" s="71" t="s">
        <v>99</v>
      </c>
      <c r="B70" s="71" t="s">
        <v>322</v>
      </c>
      <c r="C70" s="71" t="s">
        <v>103</v>
      </c>
      <c r="D70" s="206" t="s">
        <v>321</v>
      </c>
      <c r="E70" s="6"/>
      <c r="F70" s="6"/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BC70" s="88"/>
      <c r="BD70" s="185"/>
      <c r="BE70" s="70">
        <f>IFERROR(VLOOKUP(BC70,Library!$T$4:$U$7,2,FALSE),0)</f>
        <v>0</v>
      </c>
      <c r="BF70" s="166">
        <f t="shared" si="40"/>
        <v>0</v>
      </c>
      <c r="BG70">
        <f t="shared" si="41"/>
        <v>0</v>
      </c>
    </row>
    <row r="71" spans="1:60" ht="14.4" x14ac:dyDescent="0.3">
      <c r="A71" s="70" t="s">
        <v>70</v>
      </c>
      <c r="B71" s="70">
        <f t="shared" ref="B71:B85" si="42">SUMIF($O$16:$O$49,A71,$T$16:$T$49)*1000</f>
        <v>1321.5879039180147</v>
      </c>
      <c r="C71" s="70">
        <f t="shared" ref="C71:C85" si="43">SUMIF($O$16:$O$49,A71,$S$16:$S$49)</f>
        <v>3.7277181167123079E-2</v>
      </c>
      <c r="D71" s="207" t="e">
        <f t="shared" ref="D71:D85" si="44">SUMIF($O$16:$O$49,A71,$AB$16:$AB$49)</f>
        <v>#VALUE!</v>
      </c>
      <c r="E71" s="6"/>
      <c r="F71" s="6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  <c r="AC71" s="109"/>
      <c r="BC71" s="88"/>
      <c r="BD71" s="185"/>
      <c r="BE71" s="70">
        <f>IFERROR(VLOOKUP(BC71,Library!$T$4:$U$7,2,FALSE),0)</f>
        <v>0</v>
      </c>
      <c r="BF71" s="166">
        <f t="shared" si="40"/>
        <v>0</v>
      </c>
      <c r="BG71">
        <f t="shared" si="41"/>
        <v>0</v>
      </c>
    </row>
    <row r="72" spans="1:60" ht="14.4" x14ac:dyDescent="0.3">
      <c r="A72" s="70" t="s">
        <v>69</v>
      </c>
      <c r="B72" s="70">
        <f t="shared" si="42"/>
        <v>51.917901199553512</v>
      </c>
      <c r="C72" s="70">
        <f t="shared" si="43"/>
        <v>5.4047367478194373E-4</v>
      </c>
      <c r="D72" s="207">
        <f t="shared" si="44"/>
        <v>2.1618946991277749E-3</v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BC72" s="88" t="s">
        <v>51</v>
      </c>
      <c r="BD72" s="185">
        <v>1</v>
      </c>
      <c r="BE72" s="70">
        <f>IFERROR(VLOOKUP(BC72,Library!$T$4:$U$7,2,FALSE),0)</f>
        <v>12.01</v>
      </c>
      <c r="BF72" s="166">
        <f t="shared" si="40"/>
        <v>0</v>
      </c>
      <c r="BG72">
        <f t="shared" si="41"/>
        <v>0</v>
      </c>
    </row>
    <row r="73" spans="1:60" ht="14.4" x14ac:dyDescent="0.3">
      <c r="A73" s="70" t="s">
        <v>67</v>
      </c>
      <c r="B73" s="70">
        <f t="shared" si="42"/>
        <v>0</v>
      </c>
      <c r="C73" s="70">
        <f t="shared" si="43"/>
        <v>0</v>
      </c>
      <c r="D73" s="207">
        <f t="shared" si="44"/>
        <v>0</v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BC73" s="88"/>
      <c r="BD73" s="185"/>
      <c r="BE73" s="70">
        <f>IFERROR(VLOOKUP(BC73,Library!$T$4:$U$7,2,FALSE),0)</f>
        <v>0</v>
      </c>
      <c r="BF73" s="166">
        <f t="shared" si="40"/>
        <v>0</v>
      </c>
      <c r="BG73">
        <f t="shared" si="41"/>
        <v>0</v>
      </c>
    </row>
    <row r="74" spans="1:60" ht="14.4" x14ac:dyDescent="0.3">
      <c r="A74" s="70" t="s">
        <v>68</v>
      </c>
      <c r="B74" s="70">
        <f t="shared" si="42"/>
        <v>0</v>
      </c>
      <c r="C74" s="70">
        <f t="shared" si="43"/>
        <v>0</v>
      </c>
      <c r="D74" s="207">
        <f t="shared" si="44"/>
        <v>0</v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BC74" s="88"/>
      <c r="BD74" s="185"/>
      <c r="BE74" s="70">
        <f>IFERROR(VLOOKUP(BC74,Library!$T$4:$U$7,2,FALSE),0)</f>
        <v>0</v>
      </c>
      <c r="BF74" s="166">
        <f t="shared" si="40"/>
        <v>0</v>
      </c>
      <c r="BG74">
        <f t="shared" si="41"/>
        <v>0</v>
      </c>
    </row>
    <row r="75" spans="1:60" ht="14.4" x14ac:dyDescent="0.3">
      <c r="A75" s="70" t="s">
        <v>79</v>
      </c>
      <c r="B75" s="70">
        <f t="shared" si="42"/>
        <v>0</v>
      </c>
      <c r="C75" s="70">
        <f t="shared" si="43"/>
        <v>0</v>
      </c>
      <c r="D75" s="207">
        <f t="shared" si="44"/>
        <v>0</v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BC75" s="88" t="s">
        <v>196</v>
      </c>
      <c r="BD75" s="185">
        <v>2</v>
      </c>
      <c r="BE75" s="70">
        <f>IFERROR(VLOOKUP(BC75,Library!$T$4:$U$7,2,FALSE),0)</f>
        <v>32.07</v>
      </c>
      <c r="BF75" s="166">
        <f t="shared" si="40"/>
        <v>0</v>
      </c>
      <c r="BG75">
        <f t="shared" si="41"/>
        <v>0</v>
      </c>
      <c r="BH75" s="8"/>
    </row>
    <row r="76" spans="1:60" ht="14.4" x14ac:dyDescent="0.3">
      <c r="A76" s="70" t="s">
        <v>82</v>
      </c>
      <c r="B76" s="70">
        <f t="shared" si="42"/>
        <v>62.811576100068322</v>
      </c>
      <c r="C76" s="70">
        <f t="shared" si="43"/>
        <v>6.6138334316171766E-4</v>
      </c>
      <c r="D76" s="207">
        <f t="shared" si="44"/>
        <v>5.9524500884554589E-3</v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BC76" s="88" t="s">
        <v>47</v>
      </c>
      <c r="BD76" s="185">
        <v>2</v>
      </c>
      <c r="BE76" s="70">
        <f>IFERROR(VLOOKUP(BC76,Library!$T$4:$U$7,2,FALSE),0)</f>
        <v>14.01</v>
      </c>
      <c r="BF76" s="166">
        <f t="shared" si="40"/>
        <v>0</v>
      </c>
      <c r="BG76">
        <f t="shared" si="41"/>
        <v>0</v>
      </c>
      <c r="BH76" s="8"/>
    </row>
    <row r="77" spans="1:60" ht="14.4" x14ac:dyDescent="0.3">
      <c r="A77" s="70" t="s">
        <v>113</v>
      </c>
      <c r="B77" s="70">
        <f t="shared" si="42"/>
        <v>0.24299781425025171</v>
      </c>
      <c r="C77" s="70">
        <f t="shared" si="43"/>
        <v>4.1319131822862048E-6</v>
      </c>
      <c r="D77" s="207">
        <f t="shared" si="44"/>
        <v>3.718721864057584E-5</v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BC77" s="88"/>
      <c r="BD77" s="185"/>
      <c r="BE77" s="70">
        <f>IFERROR(VLOOKUP(BC77,Library!$T$4:$U$7,2,FALSE),0)</f>
        <v>0</v>
      </c>
      <c r="BF77" s="166">
        <f t="shared" si="40"/>
        <v>0</v>
      </c>
      <c r="BG77">
        <f t="shared" si="41"/>
        <v>0</v>
      </c>
      <c r="BH77" s="8"/>
    </row>
    <row r="78" spans="1:60" ht="14.4" x14ac:dyDescent="0.3">
      <c r="A78" s="70" t="s">
        <v>112</v>
      </c>
      <c r="B78" s="70">
        <f t="shared" si="42"/>
        <v>6.0228600952597161E-2</v>
      </c>
      <c r="C78" s="70">
        <f t="shared" si="43"/>
        <v>2.4301404516057602E-7</v>
      </c>
      <c r="D78" s="207">
        <f t="shared" si="44"/>
        <v>2.4301404516057602E-7</v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BC78" s="88" t="s">
        <v>196</v>
      </c>
      <c r="BD78" s="185">
        <v>1</v>
      </c>
      <c r="BE78" s="70">
        <f>IFERROR(VLOOKUP(BC78,Library!$T$4:$U$7,2,FALSE),0)</f>
        <v>32.07</v>
      </c>
      <c r="BF78" s="166">
        <f t="shared" si="40"/>
        <v>0</v>
      </c>
      <c r="BG78">
        <f t="shared" si="41"/>
        <v>0</v>
      </c>
      <c r="BH78" s="8"/>
    </row>
    <row r="79" spans="1:60" ht="14.4" x14ac:dyDescent="0.3">
      <c r="A79" s="70" t="s">
        <v>76</v>
      </c>
      <c r="B79" s="70">
        <f t="shared" si="42"/>
        <v>0.12445627074830339</v>
      </c>
      <c r="C79" s="70">
        <f t="shared" si="43"/>
        <v>7.7809484681652637E-7</v>
      </c>
      <c r="D79" s="207">
        <f t="shared" si="44"/>
        <v>3.1123793872661055E-6</v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BC79" s="88"/>
      <c r="BD79" s="185"/>
      <c r="BE79" s="70">
        <f>IFERROR(VLOOKUP(BC79,Library!$T$4:$U$7,2,FALSE),0)</f>
        <v>0</v>
      </c>
      <c r="BF79" s="166">
        <f t="shared" si="40"/>
        <v>0</v>
      </c>
      <c r="BG79">
        <f t="shared" si="41"/>
        <v>0</v>
      </c>
      <c r="BH79" s="8"/>
    </row>
    <row r="80" spans="1:60" ht="14.4" x14ac:dyDescent="0.3">
      <c r="A80" s="70" t="s">
        <v>79</v>
      </c>
      <c r="B80" s="70">
        <f t="shared" si="42"/>
        <v>0</v>
      </c>
      <c r="C80" s="70">
        <f t="shared" si="43"/>
        <v>0</v>
      </c>
      <c r="D80" s="207">
        <f t="shared" si="44"/>
        <v>0</v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BC80" s="88"/>
      <c r="BD80" s="185"/>
      <c r="BE80" s="70">
        <f>IFERROR(VLOOKUP(BC80,Library!$T$4:$U$7,2,FALSE),0)</f>
        <v>0</v>
      </c>
      <c r="BF80" s="166">
        <f t="shared" si="40"/>
        <v>0</v>
      </c>
      <c r="BG80">
        <f t="shared" si="41"/>
        <v>0</v>
      </c>
      <c r="BH80" s="8"/>
    </row>
    <row r="81" spans="1:60" ht="14.4" x14ac:dyDescent="0.3">
      <c r="A81" s="70" t="s">
        <v>115</v>
      </c>
      <c r="B81" s="70">
        <f t="shared" si="42"/>
        <v>0.16830332243106946</v>
      </c>
      <c r="C81" s="70">
        <f t="shared" si="43"/>
        <v>1.3255570098849274E-6</v>
      </c>
      <c r="D81" s="207">
        <f t="shared" si="44"/>
        <v>5.3022280395397095E-6</v>
      </c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BC81" s="88"/>
      <c r="BD81" s="185"/>
      <c r="BE81" s="70">
        <f>IFERROR(VLOOKUP(BC81,Library!$T$4:$U$7,2,FALSE),0)</f>
        <v>0</v>
      </c>
      <c r="BF81" s="166">
        <f t="shared" si="40"/>
        <v>0</v>
      </c>
      <c r="BG81">
        <f t="shared" si="41"/>
        <v>0</v>
      </c>
      <c r="BH81" s="8"/>
    </row>
    <row r="82" spans="1:60" ht="14.4" x14ac:dyDescent="0.3">
      <c r="A82" s="70" t="s">
        <v>84</v>
      </c>
      <c r="B82" s="70">
        <f t="shared" si="42"/>
        <v>0</v>
      </c>
      <c r="C82" s="70">
        <f t="shared" si="43"/>
        <v>0</v>
      </c>
      <c r="D82" s="207">
        <f t="shared" si="44"/>
        <v>0</v>
      </c>
      <c r="Q82" s="109"/>
      <c r="R82" s="109"/>
      <c r="S82" s="109"/>
      <c r="T82" s="109"/>
      <c r="U82" s="109"/>
      <c r="V82" s="109"/>
      <c r="W82" s="109"/>
      <c r="X82" s="109"/>
      <c r="Y82" s="109"/>
      <c r="Z82" s="109"/>
      <c r="AA82" s="109"/>
      <c r="AB82" s="109"/>
      <c r="AC82" s="109"/>
      <c r="BC82" s="88" t="s">
        <v>196</v>
      </c>
      <c r="BD82" s="185">
        <v>1</v>
      </c>
      <c r="BE82" s="70">
        <f>IFERROR(VLOOKUP(BC82,Library!$T$4:$U$7,2,FALSE),0)</f>
        <v>32.07</v>
      </c>
      <c r="BF82" s="166">
        <f t="shared" si="40"/>
        <v>0</v>
      </c>
      <c r="BG82">
        <f t="shared" si="41"/>
        <v>0</v>
      </c>
      <c r="BH82" s="8"/>
    </row>
    <row r="83" spans="1:60" ht="14.4" x14ac:dyDescent="0.3">
      <c r="A83" s="70" t="s">
        <v>119</v>
      </c>
      <c r="B83" s="70">
        <f t="shared" si="42"/>
        <v>0</v>
      </c>
      <c r="C83" s="70">
        <f t="shared" si="43"/>
        <v>0</v>
      </c>
      <c r="D83" s="207">
        <f t="shared" si="44"/>
        <v>0</v>
      </c>
      <c r="Q83" s="109"/>
      <c r="R83" s="109"/>
      <c r="S83" s="109"/>
      <c r="T83" s="109"/>
      <c r="U83" s="109"/>
      <c r="V83" s="109"/>
      <c r="W83" s="109"/>
      <c r="X83" s="109"/>
      <c r="Y83" s="109"/>
      <c r="Z83" s="109"/>
      <c r="AA83" s="109"/>
      <c r="AB83" s="109"/>
      <c r="AC83" s="109"/>
      <c r="BC83" s="88"/>
      <c r="BD83" s="185"/>
      <c r="BE83" s="70">
        <f>IFERROR(VLOOKUP(BC83,Library!$T$4:$U$7,2,FALSE),0)</f>
        <v>0</v>
      </c>
      <c r="BF83" s="166">
        <f>BD83*BE83*S85</f>
        <v>0</v>
      </c>
      <c r="BG83">
        <f>BD83*S85</f>
        <v>0</v>
      </c>
      <c r="BH83" s="8"/>
    </row>
    <row r="84" spans="1:60" ht="14.4" x14ac:dyDescent="0.3">
      <c r="A84" s="70" t="s">
        <v>299</v>
      </c>
      <c r="B84" s="70">
        <f t="shared" si="42"/>
        <v>0</v>
      </c>
      <c r="C84" s="70">
        <f t="shared" si="43"/>
        <v>0</v>
      </c>
      <c r="D84" s="207">
        <f t="shared" si="44"/>
        <v>0</v>
      </c>
      <c r="Q84" s="109"/>
      <c r="R84" s="109"/>
      <c r="S84" s="109"/>
      <c r="T84" s="109"/>
      <c r="U84" s="109"/>
      <c r="V84" s="109"/>
      <c r="W84" s="109"/>
      <c r="X84" s="109"/>
      <c r="Y84" s="109"/>
      <c r="Z84" s="109"/>
      <c r="AA84" s="109"/>
      <c r="AB84" s="109"/>
      <c r="AC84" s="109"/>
      <c r="BC84" s="88"/>
      <c r="BD84" s="185"/>
      <c r="BE84" s="70"/>
      <c r="BF84" s="166"/>
      <c r="BH84" s="8"/>
    </row>
    <row r="85" spans="1:60" ht="14.4" x14ac:dyDescent="0.3">
      <c r="A85" s="70" t="s">
        <v>128</v>
      </c>
      <c r="B85" s="70">
        <f t="shared" si="42"/>
        <v>0</v>
      </c>
      <c r="C85" s="70">
        <f t="shared" si="43"/>
        <v>0</v>
      </c>
      <c r="D85" s="207">
        <f t="shared" si="44"/>
        <v>0</v>
      </c>
      <c r="Q85" s="109"/>
      <c r="R85" s="109"/>
      <c r="S85" s="109"/>
      <c r="T85" s="109"/>
      <c r="BC85" s="88" t="s">
        <v>196</v>
      </c>
      <c r="BD85" s="185">
        <v>1</v>
      </c>
      <c r="BE85" s="70">
        <f>IFERROR(VLOOKUP(BC85,Library!$T$4:$U$7,2,FALSE),0)</f>
        <v>32.07</v>
      </c>
      <c r="BF85" s="166">
        <f>BD85*BE85*S91</f>
        <v>0</v>
      </c>
      <c r="BG85">
        <f>BD85*S91</f>
        <v>0</v>
      </c>
      <c r="BH85" s="8"/>
    </row>
    <row r="86" spans="1:60" ht="14.4" x14ac:dyDescent="0.3">
      <c r="A86" s="71" t="s">
        <v>356</v>
      </c>
      <c r="B86" s="70" t="s">
        <v>322</v>
      </c>
      <c r="C86" s="70"/>
      <c r="Q86" s="109"/>
      <c r="R86" s="109"/>
      <c r="S86" s="109"/>
      <c r="T86" s="109"/>
      <c r="BC86" s="149"/>
      <c r="BD86" s="214"/>
      <c r="BE86" s="287"/>
      <c r="BF86" s="288"/>
      <c r="BH86" s="8"/>
    </row>
    <row r="87" spans="1:60" ht="14.4" x14ac:dyDescent="0.3">
      <c r="A87" t="s">
        <v>116</v>
      </c>
      <c r="B87" s="70">
        <f>B81*78.96/126.96</f>
        <v>0.10467257671043829</v>
      </c>
      <c r="C87" s="70"/>
      <c r="Q87" s="109"/>
      <c r="R87" s="109"/>
      <c r="S87" s="109"/>
      <c r="T87" s="109"/>
      <c r="BC87" s="149"/>
      <c r="BD87" s="214"/>
      <c r="BE87" s="287"/>
      <c r="BF87" s="288"/>
      <c r="BH87" s="8"/>
    </row>
    <row r="88" spans="1:60" ht="14.4" x14ac:dyDescent="0.3">
      <c r="A88" t="s">
        <v>87</v>
      </c>
      <c r="B88" s="70">
        <f>B79*95.95/159.95</f>
        <v>7.4658200552045709E-2</v>
      </c>
      <c r="C88" s="70"/>
      <c r="Q88" s="109"/>
      <c r="R88" s="109"/>
      <c r="S88" s="109"/>
      <c r="T88" s="109"/>
      <c r="BC88" s="149"/>
      <c r="BD88" s="214"/>
      <c r="BE88" s="287"/>
      <c r="BF88" s="288"/>
      <c r="BH88" s="8"/>
    </row>
    <row r="89" spans="1:60" ht="14.4" x14ac:dyDescent="0.3">
      <c r="A89" t="s">
        <v>88</v>
      </c>
      <c r="B89" s="70">
        <f>B77*10.911/58.81</f>
        <v>4.5083304731924775E-2</v>
      </c>
      <c r="C89" s="70"/>
      <c r="Q89" s="109"/>
      <c r="R89" s="109"/>
      <c r="S89" s="109"/>
      <c r="T89" s="109"/>
      <c r="BC89" s="149"/>
      <c r="BD89" s="214"/>
      <c r="BE89" s="287"/>
      <c r="BF89" s="288"/>
      <c r="BH89" s="8"/>
    </row>
    <row r="90" spans="1:60" ht="14.4" x14ac:dyDescent="0.3">
      <c r="A90" t="s">
        <v>393</v>
      </c>
      <c r="B90" s="70">
        <f>H32*C32*1000</f>
        <v>193.19300000000001</v>
      </c>
      <c r="C90" s="70"/>
      <c r="Q90" s="109"/>
      <c r="R90" s="109"/>
      <c r="S90" s="109"/>
      <c r="T90" s="109"/>
      <c r="BC90" s="149"/>
      <c r="BD90" s="214"/>
      <c r="BE90" s="287"/>
      <c r="BF90" s="288"/>
      <c r="BH90" s="8"/>
    </row>
    <row r="91" spans="1:60" thickBot="1" x14ac:dyDescent="0.35">
      <c r="A91" s="71" t="s">
        <v>315</v>
      </c>
      <c r="B91" s="71" t="s">
        <v>322</v>
      </c>
      <c r="C91" s="71" t="s">
        <v>61</v>
      </c>
      <c r="Q91" s="109"/>
      <c r="R91" s="109"/>
      <c r="S91" s="109"/>
      <c r="T91" s="109"/>
      <c r="BC91" s="89"/>
      <c r="BD91" s="192"/>
      <c r="BE91" s="193">
        <f>IFERROR(VLOOKUP(BC91,Library!$T$4:$U$7,2,FALSE),0)</f>
        <v>0</v>
      </c>
      <c r="BF91" s="171">
        <f t="shared" si="40"/>
        <v>0</v>
      </c>
      <c r="BG91">
        <f t="shared" si="41"/>
        <v>0</v>
      </c>
      <c r="BH91" s="8"/>
    </row>
    <row r="92" spans="1:60" ht="14.4" x14ac:dyDescent="0.3">
      <c r="A92" s="70" t="s">
        <v>44</v>
      </c>
      <c r="B92" s="70">
        <f>SUM(AO16:AO48)*1000</f>
        <v>20.483042137718396</v>
      </c>
      <c r="C92" s="70"/>
      <c r="BH92" s="8"/>
    </row>
    <row r="93" spans="1:60" ht="14.4" x14ac:dyDescent="0.3">
      <c r="A93" s="70" t="s">
        <v>47</v>
      </c>
      <c r="B93" s="70">
        <f>SUM(AN16:AN48)*1000</f>
        <v>127.15418168351883</v>
      </c>
      <c r="C93" s="70"/>
      <c r="BH93" s="8"/>
    </row>
    <row r="94" spans="1:60" ht="14.4" x14ac:dyDescent="0.3">
      <c r="A94" s="70" t="s">
        <v>196</v>
      </c>
      <c r="B94" s="70">
        <f>SUM(AP16:AP48)*1000</f>
        <v>52.628831259558901</v>
      </c>
      <c r="C94" s="70"/>
      <c r="BH94" s="8"/>
    </row>
    <row r="95" spans="1:60" ht="14.4" x14ac:dyDescent="0.3">
      <c r="A95" s="70" t="s">
        <v>51</v>
      </c>
      <c r="B95" s="70">
        <f>SUM(AM17:AM48)*1000</f>
        <v>40.002844805481367</v>
      </c>
      <c r="C95" s="70"/>
      <c r="BH95" s="8"/>
    </row>
    <row r="96" spans="1:60" ht="14.4" x14ac:dyDescent="0.3">
      <c r="A96" s="71" t="s">
        <v>320</v>
      </c>
      <c r="B96" s="71" t="s">
        <v>325</v>
      </c>
      <c r="C96" s="100"/>
      <c r="BH96" s="8"/>
    </row>
    <row r="97" spans="1:60" ht="14.4" x14ac:dyDescent="0.3">
      <c r="A97" s="70" t="str">
        <f t="shared" ref="A97:A106" si="45">A40</f>
        <v>biotin</v>
      </c>
      <c r="B97" s="70">
        <f t="shared" ref="B97:B106" si="46">VLOOKUP(A97,$A$40:$H$49,5,FALSE)*1000</f>
        <v>47.5</v>
      </c>
      <c r="BH97" s="8"/>
    </row>
    <row r="98" spans="1:60" ht="14.4" x14ac:dyDescent="0.3">
      <c r="A98" s="70" t="str">
        <f t="shared" si="45"/>
        <v>folic acid</v>
      </c>
      <c r="B98" s="70">
        <f t="shared" si="46"/>
        <v>47.5</v>
      </c>
      <c r="BH98" s="8"/>
    </row>
    <row r="99" spans="1:60" ht="14.4" x14ac:dyDescent="0.3">
      <c r="A99" s="70" t="str">
        <f t="shared" si="45"/>
        <v>pyridoxine-HCl</v>
      </c>
      <c r="B99" s="70">
        <f t="shared" si="46"/>
        <v>115.47346021988413</v>
      </c>
    </row>
    <row r="100" spans="1:60" ht="14.4" x14ac:dyDescent="0.3">
      <c r="A100" s="70" t="str">
        <f t="shared" si="45"/>
        <v>thiamine-HCl</v>
      </c>
      <c r="B100" s="70">
        <f t="shared" si="46"/>
        <v>120.74600064065119</v>
      </c>
    </row>
    <row r="101" spans="1:60" ht="14.4" x14ac:dyDescent="0.3">
      <c r="A101" s="70" t="str">
        <f t="shared" si="45"/>
        <v>riboflavin</v>
      </c>
      <c r="B101" s="70">
        <f t="shared" si="46"/>
        <v>95</v>
      </c>
      <c r="BG101" s="1"/>
    </row>
    <row r="102" spans="1:60" ht="14.4" x14ac:dyDescent="0.3">
      <c r="A102" s="70" t="str">
        <f t="shared" si="45"/>
        <v>nicotinic acid</v>
      </c>
      <c r="B102" s="70">
        <f t="shared" si="46"/>
        <v>95</v>
      </c>
    </row>
    <row r="103" spans="1:60" ht="14.4" x14ac:dyDescent="0.3">
      <c r="A103" s="70" t="str">
        <f t="shared" si="45"/>
        <v>D-Ca-pantothenate</v>
      </c>
      <c r="B103" s="70">
        <f t="shared" si="46"/>
        <v>95</v>
      </c>
    </row>
    <row r="104" spans="1:60" ht="14.4" x14ac:dyDescent="0.3">
      <c r="A104" s="70" t="str">
        <f t="shared" si="45"/>
        <v>Vitamin B-12</v>
      </c>
      <c r="B104" s="70">
        <f t="shared" si="46"/>
        <v>47.5</v>
      </c>
    </row>
    <row r="105" spans="1:60" ht="14.4" x14ac:dyDescent="0.3">
      <c r="A105" s="70" t="str">
        <f t="shared" si="45"/>
        <v>p-aminobenzoic acid</v>
      </c>
      <c r="B105" s="70">
        <f t="shared" si="46"/>
        <v>95</v>
      </c>
    </row>
    <row r="106" spans="1:60" ht="14.4" x14ac:dyDescent="0.3">
      <c r="A106" s="70" t="str">
        <f t="shared" si="45"/>
        <v>alpha-lipoic acid</v>
      </c>
      <c r="B106" s="70">
        <f t="shared" si="46"/>
        <v>47.5</v>
      </c>
    </row>
    <row r="107" spans="1:60" ht="14.4" x14ac:dyDescent="0.3">
      <c r="A107" s="25" t="s">
        <v>22</v>
      </c>
      <c r="B107" s="289">
        <f>B99*169.18/205.64</f>
        <v>95</v>
      </c>
    </row>
    <row r="108" spans="1:60" ht="14.4" x14ac:dyDescent="0.3">
      <c r="A108" s="25" t="s">
        <v>26</v>
      </c>
      <c r="B108" s="289">
        <f>B100*265.36/337.27</f>
        <v>95.001508376088012</v>
      </c>
    </row>
    <row r="109" spans="1:60" ht="14.4" x14ac:dyDescent="0.3">
      <c r="A109" s="25" t="s">
        <v>38</v>
      </c>
      <c r="B109" s="289">
        <f>B103</f>
        <v>95</v>
      </c>
    </row>
    <row r="110" spans="1:60" ht="14.4" x14ac:dyDescent="0.3">
      <c r="A110" s="25" t="s">
        <v>49</v>
      </c>
      <c r="B110" s="289">
        <f>B106</f>
        <v>47.5</v>
      </c>
    </row>
    <row r="111" spans="1:60" ht="14.4" x14ac:dyDescent="0.3">
      <c r="A111" s="181" t="s">
        <v>288</v>
      </c>
      <c r="B111" s="289">
        <f>B106</f>
        <v>47.5</v>
      </c>
    </row>
    <row r="112" spans="1:60" ht="14.4" x14ac:dyDescent="0.3">
      <c r="A112" s="7" t="s">
        <v>279</v>
      </c>
      <c r="B112" s="269">
        <f>SUM(B57:B61,B71:B75)/1000</f>
        <v>2.1125761303258854</v>
      </c>
      <c r="C112" t="s">
        <v>97</v>
      </c>
    </row>
    <row r="113" spans="1:2" ht="14.4" x14ac:dyDescent="0.3">
      <c r="A113" s="7" t="s">
        <v>4</v>
      </c>
      <c r="B113" s="269">
        <f>SUM(D57:D69,D72:D85)/2</f>
        <v>3.1252361771877027E-2</v>
      </c>
    </row>
    <row r="114" spans="1:2" ht="14.4" x14ac:dyDescent="0.3"/>
    <row r="115" spans="1:2" ht="14.4" x14ac:dyDescent="0.3"/>
    <row r="116" spans="1:2" ht="14.4" x14ac:dyDescent="0.3"/>
    <row r="117" spans="1:2" ht="14.4" x14ac:dyDescent="0.3"/>
    <row r="118" spans="1:2" ht="14.4" x14ac:dyDescent="0.3"/>
    <row r="119" spans="1:2" ht="14.4" x14ac:dyDescent="0.3"/>
    <row r="120" spans="1:2" ht="14.4" x14ac:dyDescent="0.3"/>
    <row r="121" spans="1:2" ht="14.4" x14ac:dyDescent="0.3"/>
    <row r="122" spans="1:2" ht="14.4" x14ac:dyDescent="0.3"/>
  </sheetData>
  <mergeCells count="1">
    <mergeCell ref="AA14:AB14"/>
  </mergeCells>
  <pageMargins left="0.7" right="0.7" top="0.75" bottom="0.75" header="0.3" footer="0.3"/>
  <pageSetup scale="22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8F2C3-B39F-4C1D-A2FC-AC2A887BBF24}">
  <sheetPr>
    <tabColor theme="9" tint="0.39997558519241921"/>
    <pageSetUpPr fitToPage="1"/>
  </sheetPr>
  <dimension ref="A1:Q63"/>
  <sheetViews>
    <sheetView topLeftCell="E1" zoomScale="88" zoomScaleNormal="70" workbookViewId="0">
      <selection activeCell="G22" sqref="G22:G23"/>
    </sheetView>
  </sheetViews>
  <sheetFormatPr defaultRowHeight="14.4" x14ac:dyDescent="0.3"/>
  <cols>
    <col min="2" max="2" width="18.44140625" customWidth="1"/>
    <col min="3" max="4" width="16.44140625" customWidth="1"/>
    <col min="6" max="6" width="33.88671875" customWidth="1"/>
    <col min="7" max="7" width="24" customWidth="1"/>
    <col min="8" max="8" width="14.109375" customWidth="1"/>
    <col min="9" max="9" width="29.88671875" customWidth="1"/>
    <col min="10" max="10" width="25.5546875" customWidth="1"/>
    <col min="11" max="11" width="11.88671875" bestFit="1" customWidth="1"/>
    <col min="12" max="12" width="26" customWidth="1"/>
    <col min="13" max="13" width="11.109375" customWidth="1"/>
    <col min="14" max="14" width="12.109375" customWidth="1"/>
    <col min="15" max="15" width="24" customWidth="1"/>
    <col min="16" max="16" width="12.6640625" customWidth="1"/>
    <col min="17" max="17" width="16.5546875" customWidth="1"/>
  </cols>
  <sheetData>
    <row r="1" spans="2:15" x14ac:dyDescent="0.3">
      <c r="I1" s="1"/>
      <c r="J1" s="1"/>
      <c r="K1" s="2"/>
    </row>
    <row r="2" spans="2:15" ht="15" thickBot="1" x14ac:dyDescent="0.35">
      <c r="F2" s="7" t="s">
        <v>0</v>
      </c>
      <c r="I2" s="42" t="s">
        <v>289</v>
      </c>
      <c r="J2" s="1"/>
      <c r="K2" s="2"/>
      <c r="L2" s="7" t="s">
        <v>343</v>
      </c>
    </row>
    <row r="3" spans="2:15" ht="18.600000000000001" thickBot="1" x14ac:dyDescent="0.4">
      <c r="B3" s="56" t="s">
        <v>3</v>
      </c>
      <c r="C3" s="53"/>
      <c r="D3" t="s">
        <v>4</v>
      </c>
      <c r="F3" s="351" t="s">
        <v>5</v>
      </c>
      <c r="G3" s="352"/>
      <c r="H3" s="353"/>
      <c r="I3" s="351" t="s">
        <v>5</v>
      </c>
      <c r="J3" s="352"/>
      <c r="K3" s="353"/>
      <c r="L3" s="60" t="s">
        <v>6</v>
      </c>
      <c r="M3" s="61" t="s">
        <v>7</v>
      </c>
      <c r="N3" s="62" t="s">
        <v>8</v>
      </c>
    </row>
    <row r="4" spans="2:15" ht="43.8" x14ac:dyDescent="0.35">
      <c r="B4" s="95" t="s">
        <v>9</v>
      </c>
      <c r="C4" s="93">
        <f>SUM(H27:H36,H44)/1000</f>
        <v>0</v>
      </c>
      <c r="D4" s="8"/>
      <c r="F4" s="43" t="s">
        <v>6</v>
      </c>
      <c r="G4" s="44" t="s">
        <v>10</v>
      </c>
      <c r="H4" s="45" t="s">
        <v>8</v>
      </c>
      <c r="I4" s="60" t="s">
        <v>11</v>
      </c>
      <c r="J4" s="61" t="s">
        <v>10</v>
      </c>
      <c r="K4" s="62" t="s">
        <v>8</v>
      </c>
      <c r="L4" s="25" t="s">
        <v>124</v>
      </c>
      <c r="M4" s="51">
        <v>10</v>
      </c>
      <c r="N4" s="72" t="s">
        <v>37</v>
      </c>
      <c r="O4" t="s">
        <v>351</v>
      </c>
    </row>
    <row r="5" spans="2:15" ht="18" x14ac:dyDescent="0.35">
      <c r="B5" s="88" t="s">
        <v>13</v>
      </c>
      <c r="C5" s="87">
        <f>H27/1000</f>
        <v>0</v>
      </c>
      <c r="D5" s="8"/>
      <c r="F5" s="25" t="s">
        <v>307</v>
      </c>
      <c r="G5" s="51">
        <v>0.35</v>
      </c>
      <c r="H5" s="48" t="s">
        <v>14</v>
      </c>
      <c r="I5" s="25" t="s">
        <v>15</v>
      </c>
      <c r="J5" s="50">
        <v>20</v>
      </c>
      <c r="K5" s="64" t="s">
        <v>16</v>
      </c>
      <c r="L5" s="25" t="s">
        <v>164</v>
      </c>
      <c r="M5" s="51">
        <v>1.5</v>
      </c>
      <c r="N5" s="72" t="s">
        <v>12</v>
      </c>
    </row>
    <row r="6" spans="2:15" ht="18" x14ac:dyDescent="0.35">
      <c r="B6" s="88" t="s">
        <v>18</v>
      </c>
      <c r="C6" s="87">
        <f>H30/1000</f>
        <v>0</v>
      </c>
      <c r="D6" s="8"/>
      <c r="F6" s="25" t="s">
        <v>308</v>
      </c>
      <c r="G6" s="51">
        <v>0.23</v>
      </c>
      <c r="H6" s="48" t="s">
        <v>12</v>
      </c>
      <c r="I6" s="25" t="s">
        <v>19</v>
      </c>
      <c r="J6" s="50">
        <v>20</v>
      </c>
      <c r="K6" s="64" t="s">
        <v>16</v>
      </c>
      <c r="L6" s="25" t="s">
        <v>168</v>
      </c>
      <c r="M6" s="51">
        <v>70</v>
      </c>
      <c r="N6" s="72" t="s">
        <v>160</v>
      </c>
    </row>
    <row r="7" spans="2:15" ht="18" x14ac:dyDescent="0.35">
      <c r="B7" s="88" t="s">
        <v>20</v>
      </c>
      <c r="C7" s="87">
        <f>H31/1000</f>
        <v>0</v>
      </c>
      <c r="D7" s="8"/>
      <c r="F7" s="25" t="s">
        <v>21</v>
      </c>
      <c r="G7" s="51">
        <v>0.5</v>
      </c>
      <c r="H7" s="48" t="s">
        <v>12</v>
      </c>
      <c r="I7" s="25" t="s">
        <v>120</v>
      </c>
      <c r="J7" s="50">
        <v>100</v>
      </c>
      <c r="K7" s="64" t="s">
        <v>16</v>
      </c>
      <c r="L7" s="25" t="s">
        <v>163</v>
      </c>
      <c r="M7" s="51">
        <v>100</v>
      </c>
      <c r="N7" s="72" t="s">
        <v>160</v>
      </c>
    </row>
    <row r="8" spans="2:15" ht="18" x14ac:dyDescent="0.35">
      <c r="B8" s="88" t="s">
        <v>24</v>
      </c>
      <c r="C8" s="87">
        <f>H35/1000</f>
        <v>0</v>
      </c>
      <c r="D8" s="8"/>
      <c r="F8" s="25" t="s">
        <v>290</v>
      </c>
      <c r="G8" s="51">
        <v>0.5</v>
      </c>
      <c r="H8" s="48" t="s">
        <v>12</v>
      </c>
      <c r="I8" s="25" t="s">
        <v>121</v>
      </c>
      <c r="J8" s="50">
        <v>50</v>
      </c>
      <c r="K8" s="64" t="s">
        <v>16</v>
      </c>
      <c r="L8" s="25" t="s">
        <v>31</v>
      </c>
      <c r="M8" s="51">
        <v>6</v>
      </c>
      <c r="N8" s="72" t="s">
        <v>160</v>
      </c>
    </row>
    <row r="9" spans="2:15" ht="18" x14ac:dyDescent="0.35">
      <c r="B9" s="88" t="s">
        <v>28</v>
      </c>
      <c r="C9" s="87">
        <f>C10-SUM(C5:C8)</f>
        <v>0</v>
      </c>
      <c r="D9" s="8"/>
      <c r="F9" s="25" t="s">
        <v>29</v>
      </c>
      <c r="G9" s="51">
        <v>0.25</v>
      </c>
      <c r="H9" s="48" t="s">
        <v>12</v>
      </c>
      <c r="I9" s="25" t="s">
        <v>30</v>
      </c>
      <c r="J9" s="50">
        <v>50</v>
      </c>
      <c r="K9" s="64" t="s">
        <v>16</v>
      </c>
      <c r="L9" s="25" t="s">
        <v>35</v>
      </c>
      <c r="M9" s="51">
        <v>190</v>
      </c>
      <c r="N9" s="72" t="s">
        <v>160</v>
      </c>
    </row>
    <row r="10" spans="2:15" ht="18.600000000000001" thickBot="1" x14ac:dyDescent="0.4">
      <c r="B10" s="89" t="s">
        <v>32</v>
      </c>
      <c r="C10" s="90">
        <f>SUM(H27:H41,H43:H48)/1000</f>
        <v>0</v>
      </c>
      <c r="D10" s="8"/>
      <c r="F10" s="25" t="s">
        <v>33</v>
      </c>
      <c r="G10" s="51">
        <v>2.25</v>
      </c>
      <c r="H10" s="48" t="s">
        <v>12</v>
      </c>
      <c r="I10" s="25" t="s">
        <v>34</v>
      </c>
      <c r="J10" s="50">
        <v>50</v>
      </c>
      <c r="K10" s="64" t="s">
        <v>16</v>
      </c>
      <c r="L10" s="25" t="s">
        <v>179</v>
      </c>
      <c r="M10" s="51">
        <v>2</v>
      </c>
      <c r="N10" s="72" t="s">
        <v>160</v>
      </c>
    </row>
    <row r="11" spans="2:15" ht="18.600000000000001" thickBot="1" x14ac:dyDescent="0.4">
      <c r="F11" s="20" t="s">
        <v>291</v>
      </c>
      <c r="G11" s="51">
        <v>2</v>
      </c>
      <c r="H11" s="48" t="s">
        <v>37</v>
      </c>
      <c r="I11" s="25" t="s">
        <v>122</v>
      </c>
      <c r="J11" s="50">
        <v>50</v>
      </c>
      <c r="K11" s="64" t="s">
        <v>16</v>
      </c>
      <c r="L11" s="25" t="s">
        <v>43</v>
      </c>
      <c r="M11" s="51">
        <v>24</v>
      </c>
      <c r="N11" s="72" t="s">
        <v>160</v>
      </c>
    </row>
    <row r="12" spans="2:15" ht="18.600000000000001" thickBot="1" x14ac:dyDescent="0.4">
      <c r="B12" s="96" t="s">
        <v>40</v>
      </c>
      <c r="C12" s="92"/>
      <c r="F12" s="94" t="s">
        <v>292</v>
      </c>
      <c r="G12" s="51">
        <v>1</v>
      </c>
      <c r="H12" s="48" t="s">
        <v>37</v>
      </c>
      <c r="I12" s="25" t="s">
        <v>42</v>
      </c>
      <c r="J12" s="50">
        <v>1</v>
      </c>
      <c r="K12" s="64" t="s">
        <v>16</v>
      </c>
      <c r="L12" s="25" t="s">
        <v>50</v>
      </c>
      <c r="M12" s="51">
        <v>36</v>
      </c>
      <c r="N12" s="72" t="s">
        <v>160</v>
      </c>
    </row>
    <row r="13" spans="2:15" ht="18" x14ac:dyDescent="0.35">
      <c r="B13" s="98" t="s">
        <v>44</v>
      </c>
      <c r="C13" s="91">
        <f>H52</f>
        <v>0</v>
      </c>
      <c r="D13" s="8"/>
      <c r="F13" s="70" t="s">
        <v>345</v>
      </c>
      <c r="G13" s="51">
        <v>2</v>
      </c>
      <c r="H13" s="48" t="s">
        <v>12</v>
      </c>
      <c r="I13" s="25" t="s">
        <v>45</v>
      </c>
      <c r="J13" s="50">
        <v>50</v>
      </c>
      <c r="K13" s="64" t="s">
        <v>16</v>
      </c>
      <c r="L13" s="25" t="s">
        <v>54</v>
      </c>
      <c r="M13" s="51">
        <v>990</v>
      </c>
      <c r="N13" s="72" t="s">
        <v>37</v>
      </c>
    </row>
    <row r="14" spans="2:15" ht="18" x14ac:dyDescent="0.35">
      <c r="B14" s="88" t="s">
        <v>47</v>
      </c>
      <c r="C14" s="87">
        <f>H55</f>
        <v>0</v>
      </c>
      <c r="D14" s="8"/>
      <c r="F14" s="70" t="s">
        <v>352</v>
      </c>
      <c r="G14" s="51">
        <v>2</v>
      </c>
      <c r="H14" s="48" t="s">
        <v>12</v>
      </c>
      <c r="I14" s="25" t="s">
        <v>288</v>
      </c>
      <c r="J14" s="77">
        <v>50</v>
      </c>
      <c r="K14" s="78" t="s">
        <v>16</v>
      </c>
      <c r="L14" s="74" t="s">
        <v>56</v>
      </c>
      <c r="M14" s="82">
        <f>SUMIFS(M4:M13,N4:N13,"mL")</f>
        <v>1000</v>
      </c>
      <c r="N14" s="72" t="s">
        <v>57</v>
      </c>
    </row>
    <row r="15" spans="2:15" ht="18.600000000000001" thickBot="1" x14ac:dyDescent="0.4">
      <c r="B15" s="89" t="s">
        <v>51</v>
      </c>
      <c r="C15" s="90"/>
      <c r="D15" s="8"/>
      <c r="F15" s="70" t="s">
        <v>295</v>
      </c>
      <c r="G15" s="51">
        <v>2.5</v>
      </c>
      <c r="H15" s="48" t="s">
        <v>12</v>
      </c>
      <c r="I15" s="76" t="s">
        <v>53</v>
      </c>
      <c r="J15" s="77">
        <v>1000</v>
      </c>
      <c r="K15" s="78" t="s">
        <v>37</v>
      </c>
      <c r="L15" s="65"/>
      <c r="M15" s="67"/>
      <c r="N15" s="66"/>
    </row>
    <row r="16" spans="2:15" ht="18.600000000000001" thickBot="1" x14ac:dyDescent="0.4">
      <c r="F16" s="70" t="s">
        <v>48</v>
      </c>
      <c r="G16" s="51">
        <v>0.5</v>
      </c>
      <c r="H16" s="48" t="s">
        <v>37</v>
      </c>
      <c r="I16" s="65" t="s">
        <v>56</v>
      </c>
      <c r="J16" s="80">
        <f>SUMIFS(J5:J15,K5:K15,"mL")</f>
        <v>1000</v>
      </c>
      <c r="K16" s="66" t="s">
        <v>37</v>
      </c>
      <c r="L16" s="3"/>
      <c r="M16" s="3"/>
    </row>
    <row r="17" spans="6:17" ht="18" x14ac:dyDescent="0.35">
      <c r="F17" s="344" t="s">
        <v>52</v>
      </c>
      <c r="G17" s="345">
        <v>0</v>
      </c>
      <c r="H17" s="346" t="s">
        <v>12</v>
      </c>
      <c r="L17" s="3"/>
      <c r="M17" s="3"/>
    </row>
    <row r="18" spans="6:17" ht="18.600000000000001" thickBot="1" x14ac:dyDescent="0.4">
      <c r="F18" s="70" t="s">
        <v>347</v>
      </c>
      <c r="G18" s="51">
        <v>10</v>
      </c>
      <c r="H18" s="48" t="s">
        <v>37</v>
      </c>
      <c r="I18" s="7" t="s">
        <v>58</v>
      </c>
      <c r="L18" s="7" t="s">
        <v>349</v>
      </c>
      <c r="O18" s="7" t="s">
        <v>350</v>
      </c>
    </row>
    <row r="19" spans="6:17" ht="18" x14ac:dyDescent="0.35">
      <c r="F19" s="71" t="s">
        <v>297</v>
      </c>
      <c r="G19" s="51">
        <v>1</v>
      </c>
      <c r="H19" s="48" t="s">
        <v>37</v>
      </c>
      <c r="I19" s="60" t="s">
        <v>6</v>
      </c>
      <c r="J19" s="61" t="s">
        <v>7</v>
      </c>
      <c r="K19" s="62" t="s">
        <v>8</v>
      </c>
      <c r="L19" s="60" t="s">
        <v>6</v>
      </c>
      <c r="M19" s="61" t="s">
        <v>7</v>
      </c>
      <c r="N19" s="62" t="s">
        <v>8</v>
      </c>
      <c r="O19" s="60" t="s">
        <v>6</v>
      </c>
      <c r="P19" s="61" t="s">
        <v>7</v>
      </c>
      <c r="Q19" s="62" t="s">
        <v>8</v>
      </c>
    </row>
    <row r="20" spans="6:17" ht="18" x14ac:dyDescent="0.35">
      <c r="F20" s="70" t="s">
        <v>195</v>
      </c>
      <c r="G20" s="51">
        <v>0.3</v>
      </c>
      <c r="H20" s="48" t="s">
        <v>12</v>
      </c>
      <c r="I20" s="25" t="s">
        <v>59</v>
      </c>
      <c r="J20" s="51">
        <v>1</v>
      </c>
      <c r="K20" s="72" t="s">
        <v>12</v>
      </c>
      <c r="L20" s="25" t="s">
        <v>348</v>
      </c>
      <c r="M20" s="51">
        <v>4.9000000000000004</v>
      </c>
      <c r="N20" s="72" t="s">
        <v>12</v>
      </c>
      <c r="O20" s="25" t="s">
        <v>124</v>
      </c>
      <c r="P20" s="51">
        <v>295</v>
      </c>
      <c r="Q20" s="72" t="s">
        <v>12</v>
      </c>
    </row>
    <row r="21" spans="6:17" ht="18" x14ac:dyDescent="0.35">
      <c r="F21" s="70" t="s">
        <v>298</v>
      </c>
      <c r="G21" s="51">
        <v>0.3</v>
      </c>
      <c r="H21" s="48" t="s">
        <v>12</v>
      </c>
      <c r="I21" s="25" t="s">
        <v>62</v>
      </c>
      <c r="J21" s="51">
        <v>999</v>
      </c>
      <c r="K21" s="72" t="s">
        <v>37</v>
      </c>
      <c r="L21" s="25" t="s">
        <v>54</v>
      </c>
      <c r="M21" s="51">
        <v>1000</v>
      </c>
      <c r="N21" s="72" t="s">
        <v>37</v>
      </c>
      <c r="O21" s="25" t="s">
        <v>54</v>
      </c>
      <c r="P21" s="51">
        <v>1000</v>
      </c>
      <c r="Q21" s="72" t="s">
        <v>37</v>
      </c>
    </row>
    <row r="22" spans="6:17" ht="18" x14ac:dyDescent="0.35">
      <c r="F22" s="46" t="s">
        <v>53</v>
      </c>
      <c r="G22" s="124">
        <f>1000-SUMIF(H5:H21,"mL",G5:G21)</f>
        <v>985.5</v>
      </c>
      <c r="H22" s="48" t="s">
        <v>37</v>
      </c>
      <c r="I22" s="74" t="s">
        <v>56</v>
      </c>
      <c r="J22" s="82">
        <f>SUMIFS(J20:J21,K20:K21,"mL")</f>
        <v>999</v>
      </c>
      <c r="K22" s="72" t="s">
        <v>57</v>
      </c>
      <c r="L22" s="74" t="s">
        <v>56</v>
      </c>
      <c r="M22" s="82">
        <f>SUMIFS(M20:M21,N20:N21,"mL")</f>
        <v>1000</v>
      </c>
      <c r="N22" s="72" t="s">
        <v>57</v>
      </c>
      <c r="O22" s="74" t="s">
        <v>56</v>
      </c>
      <c r="P22" s="82">
        <f>SUMIFS(P20:P21,Q20:Q21,"mL")</f>
        <v>1000</v>
      </c>
      <c r="Q22" s="72" t="s">
        <v>57</v>
      </c>
    </row>
    <row r="23" spans="6:17" ht="18.600000000000001" thickBot="1" x14ac:dyDescent="0.4">
      <c r="F23" s="73" t="s">
        <v>56</v>
      </c>
      <c r="G23" s="81">
        <v>1000</v>
      </c>
      <c r="H23" s="49"/>
      <c r="I23" s="65"/>
      <c r="J23" s="67"/>
      <c r="K23" s="66"/>
      <c r="L23" s="65"/>
      <c r="M23" s="67"/>
      <c r="N23" s="66"/>
      <c r="O23" s="65"/>
      <c r="P23" s="67"/>
      <c r="Q23" s="66"/>
    </row>
    <row r="24" spans="6:17" ht="18" x14ac:dyDescent="0.35">
      <c r="I24" s="83"/>
      <c r="J24" s="84"/>
      <c r="K24" s="1"/>
    </row>
    <row r="25" spans="6:17" x14ac:dyDescent="0.3">
      <c r="F25" s="7"/>
      <c r="G25" s="97"/>
      <c r="I25" s="97"/>
      <c r="J25" s="97"/>
      <c r="K25" s="97"/>
      <c r="L25" s="42"/>
      <c r="M25" s="42"/>
      <c r="N25" s="7"/>
      <c r="O25" s="7"/>
      <c r="P25" s="7"/>
    </row>
    <row r="26" spans="6:17" x14ac:dyDescent="0.3">
      <c r="F26" s="7"/>
      <c r="G26" s="7"/>
      <c r="H26" s="7"/>
      <c r="I26" s="7"/>
      <c r="J26" s="97"/>
      <c r="K26" s="7"/>
      <c r="L26" s="7"/>
      <c r="M26" s="7"/>
      <c r="N26" s="7"/>
      <c r="O26" s="7"/>
      <c r="P26" s="7"/>
    </row>
    <row r="27" spans="6:17" x14ac:dyDescent="0.3">
      <c r="G27" s="1"/>
      <c r="H27" s="8"/>
      <c r="I27" s="8"/>
      <c r="J27" s="83"/>
    </row>
    <row r="28" spans="6:17" x14ac:dyDescent="0.3">
      <c r="G28" s="1"/>
      <c r="H28" s="8"/>
      <c r="I28" s="8"/>
      <c r="J28" s="83"/>
    </row>
    <row r="29" spans="6:17" x14ac:dyDescent="0.3">
      <c r="G29" s="1"/>
      <c r="H29" s="8"/>
      <c r="I29" s="8"/>
      <c r="J29" s="83"/>
    </row>
    <row r="30" spans="6:17" x14ac:dyDescent="0.3">
      <c r="G30" s="1"/>
      <c r="H30" s="8"/>
      <c r="I30" s="8"/>
      <c r="J30" s="83"/>
    </row>
    <row r="31" spans="6:17" x14ac:dyDescent="0.3">
      <c r="G31" s="1"/>
      <c r="H31" s="8"/>
      <c r="I31" s="8"/>
    </row>
    <row r="32" spans="6:17" x14ac:dyDescent="0.3">
      <c r="G32" s="1"/>
      <c r="H32" s="8"/>
      <c r="I32" s="8"/>
    </row>
    <row r="33" spans="3:9" x14ac:dyDescent="0.3">
      <c r="G33" s="1"/>
      <c r="H33" s="8"/>
      <c r="I33" s="8"/>
    </row>
    <row r="34" spans="3:9" x14ac:dyDescent="0.3">
      <c r="G34" s="1"/>
      <c r="H34" s="8"/>
      <c r="I34" s="8"/>
    </row>
    <row r="35" spans="3:9" x14ac:dyDescent="0.3">
      <c r="G35" s="1"/>
      <c r="H35" s="8"/>
      <c r="I35" s="8"/>
    </row>
    <row r="36" spans="3:9" x14ac:dyDescent="0.3">
      <c r="G36" s="1"/>
      <c r="H36" s="1"/>
      <c r="I36" s="8"/>
    </row>
    <row r="37" spans="3:9" x14ac:dyDescent="0.3">
      <c r="G37" s="1"/>
      <c r="H37" s="1"/>
      <c r="I37" s="8"/>
    </row>
    <row r="38" spans="3:9" x14ac:dyDescent="0.3">
      <c r="G38" s="1"/>
      <c r="H38" s="1"/>
      <c r="I38" s="8"/>
    </row>
    <row r="39" spans="3:9" x14ac:dyDescent="0.3">
      <c r="G39" s="1"/>
      <c r="H39" s="1"/>
      <c r="I39" s="8"/>
    </row>
    <row r="40" spans="3:9" x14ac:dyDescent="0.3">
      <c r="G40" s="1"/>
      <c r="H40" s="1"/>
      <c r="I40" s="8"/>
    </row>
    <row r="41" spans="3:9" x14ac:dyDescent="0.3">
      <c r="G41" s="1"/>
      <c r="H41" s="1"/>
      <c r="I41" s="8"/>
    </row>
    <row r="42" spans="3:9" x14ac:dyDescent="0.3">
      <c r="G42" s="1"/>
      <c r="H42" s="8"/>
      <c r="I42" s="8"/>
    </row>
    <row r="43" spans="3:9" x14ac:dyDescent="0.3">
      <c r="C43" t="s">
        <v>83</v>
      </c>
      <c r="G43" s="1"/>
      <c r="H43" s="8"/>
      <c r="I43" s="8"/>
    </row>
    <row r="44" spans="3:9" x14ac:dyDescent="0.3">
      <c r="G44" s="1"/>
      <c r="H44" s="8"/>
      <c r="I44" s="8"/>
    </row>
    <row r="45" spans="3:9" x14ac:dyDescent="0.3">
      <c r="G45" s="1"/>
      <c r="H45" s="8"/>
      <c r="I45" s="8"/>
    </row>
    <row r="46" spans="3:9" x14ac:dyDescent="0.3">
      <c r="G46" s="1"/>
      <c r="H46" s="8"/>
      <c r="I46" s="8"/>
    </row>
    <row r="47" spans="3:9" x14ac:dyDescent="0.3">
      <c r="G47" s="1"/>
      <c r="H47" s="8"/>
      <c r="I47" s="8"/>
    </row>
    <row r="48" spans="3:9" x14ac:dyDescent="0.3">
      <c r="G48" s="1"/>
      <c r="H48" s="8"/>
      <c r="I48" s="8"/>
    </row>
    <row r="49" spans="1:9" x14ac:dyDescent="0.3">
      <c r="I49" s="8"/>
    </row>
    <row r="50" spans="1:9" x14ac:dyDescent="0.3">
      <c r="I50" s="8"/>
    </row>
    <row r="51" spans="1:9" x14ac:dyDescent="0.3">
      <c r="I51" s="8"/>
    </row>
    <row r="52" spans="1:9" x14ac:dyDescent="0.3">
      <c r="I52" s="8"/>
    </row>
    <row r="53" spans="1:9" x14ac:dyDescent="0.3">
      <c r="I53" s="8"/>
    </row>
    <row r="54" spans="1:9" x14ac:dyDescent="0.3">
      <c r="I54" s="8"/>
    </row>
    <row r="55" spans="1:9" x14ac:dyDescent="0.3">
      <c r="I55" s="8"/>
    </row>
    <row r="59" spans="1:9" x14ac:dyDescent="0.3">
      <c r="A59">
        <v>61</v>
      </c>
      <c r="B59">
        <v>-0.13</v>
      </c>
      <c r="C59">
        <v>-0.13</v>
      </c>
      <c r="G59" s="83"/>
      <c r="H59" s="83"/>
    </row>
    <row r="60" spans="1:9" x14ac:dyDescent="0.3">
      <c r="A60">
        <v>33</v>
      </c>
      <c r="B60">
        <v>-6.95</v>
      </c>
      <c r="C60">
        <v>0.2</v>
      </c>
    </row>
    <row r="61" spans="1:9" x14ac:dyDescent="0.3">
      <c r="A61">
        <v>23</v>
      </c>
      <c r="B61">
        <v>-7.67</v>
      </c>
      <c r="C61">
        <v>0.57999999999999996</v>
      </c>
    </row>
    <row r="62" spans="1:9" x14ac:dyDescent="0.3">
      <c r="A62">
        <v>18</v>
      </c>
      <c r="B62">
        <v>-18.02</v>
      </c>
      <c r="C62">
        <v>-0.51</v>
      </c>
    </row>
    <row r="63" spans="1:9" x14ac:dyDescent="0.3">
      <c r="A63">
        <v>25</v>
      </c>
      <c r="B63">
        <v>-49.15</v>
      </c>
      <c r="C63">
        <v>-1.18</v>
      </c>
    </row>
  </sheetData>
  <mergeCells count="2">
    <mergeCell ref="F3:H3"/>
    <mergeCell ref="I3:K3"/>
  </mergeCells>
  <conditionalFormatting sqref="J27">
    <cfRule type="cellIs" dxfId="202" priority="19" operator="greaterThan">
      <formula>$H$27</formula>
    </cfRule>
  </conditionalFormatting>
  <conditionalFormatting sqref="J27:P27">
    <cfRule type="cellIs" dxfId="201" priority="18" operator="greaterThan">
      <formula>$H$27</formula>
    </cfRule>
  </conditionalFormatting>
  <conditionalFormatting sqref="J28:P28">
    <cfRule type="cellIs" dxfId="200" priority="17" operator="greaterThan">
      <formula>$H$28</formula>
    </cfRule>
  </conditionalFormatting>
  <conditionalFormatting sqref="J29:P29">
    <cfRule type="cellIs" dxfId="199" priority="16" operator="greaterThan">
      <formula>$H$29</formula>
    </cfRule>
  </conditionalFormatting>
  <conditionalFormatting sqref="J30:P30">
    <cfRule type="cellIs" dxfId="198" priority="15" operator="greaterThan">
      <formula>$H$30</formula>
    </cfRule>
  </conditionalFormatting>
  <conditionalFormatting sqref="J37:P37">
    <cfRule type="cellIs" dxfId="197" priority="14" operator="greaterThan">
      <formula>$H$37</formula>
    </cfRule>
  </conditionalFormatting>
  <conditionalFormatting sqref="J38:P38">
    <cfRule type="cellIs" dxfId="196" priority="13" operator="greaterThan">
      <formula>$H$38</formula>
    </cfRule>
  </conditionalFormatting>
  <conditionalFormatting sqref="J39:P39">
    <cfRule type="cellIs" dxfId="195" priority="12" operator="greaterThan">
      <formula>$H$39</formula>
    </cfRule>
  </conditionalFormatting>
  <conditionalFormatting sqref="J40:P40">
    <cfRule type="cellIs" dxfId="194" priority="11" operator="greaterThan">
      <formula>$H$40</formula>
    </cfRule>
  </conditionalFormatting>
  <conditionalFormatting sqref="J45:P45">
    <cfRule type="cellIs" dxfId="193" priority="10" operator="greaterThan">
      <formula>$H$45</formula>
    </cfRule>
  </conditionalFormatting>
  <conditionalFormatting sqref="J46:P46">
    <cfRule type="cellIs" dxfId="192" priority="9" operator="greaterThan">
      <formula>$H$46</formula>
    </cfRule>
  </conditionalFormatting>
  <conditionalFormatting sqref="J48:P48">
    <cfRule type="cellIs" dxfId="191" priority="8" operator="greaterThan">
      <formula>$H$48</formula>
    </cfRule>
  </conditionalFormatting>
  <conditionalFormatting sqref="J49:P49">
    <cfRule type="cellIs" dxfId="190" priority="7" operator="greaterThan">
      <formula>$H$49</formula>
    </cfRule>
  </conditionalFormatting>
  <conditionalFormatting sqref="J50:P50">
    <cfRule type="cellIs" dxfId="189" priority="6" operator="greaterThan">
      <formula>$H$50</formula>
    </cfRule>
  </conditionalFormatting>
  <conditionalFormatting sqref="J51:P51">
    <cfRule type="cellIs" dxfId="188" priority="5" operator="greaterThan">
      <formula>$H$51</formula>
    </cfRule>
  </conditionalFormatting>
  <conditionalFormatting sqref="J52:P52">
    <cfRule type="cellIs" dxfId="187" priority="4" operator="greaterThan">
      <formula>$H$52</formula>
    </cfRule>
  </conditionalFormatting>
  <conditionalFormatting sqref="J53:P53">
    <cfRule type="cellIs" dxfId="186" priority="3" operator="greaterThan">
      <formula>$H$53</formula>
    </cfRule>
  </conditionalFormatting>
  <conditionalFormatting sqref="J54:P54">
    <cfRule type="cellIs" dxfId="185" priority="2" operator="greaterThan">
      <formula>$H$54</formula>
    </cfRule>
  </conditionalFormatting>
  <conditionalFormatting sqref="J55:P55">
    <cfRule type="cellIs" dxfId="184" priority="1" operator="greaterThan">
      <formula>$H$55</formula>
    </cfRule>
  </conditionalFormatting>
  <pageMargins left="0.7" right="0.7" top="0.75" bottom="0.75" header="0.3" footer="0.3"/>
  <pageSetup scale="3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5CAD-CA49-4978-91FB-6DF5817DAD2C}">
  <sheetPr>
    <tabColor rgb="FFFF0000"/>
    <pageSetUpPr fitToPage="1"/>
  </sheetPr>
  <dimension ref="A1:AI109"/>
  <sheetViews>
    <sheetView workbookViewId="0">
      <selection activeCell="M35" sqref="M35"/>
    </sheetView>
  </sheetViews>
  <sheetFormatPr defaultColWidth="9.109375" defaultRowHeight="15" customHeight="1" x14ac:dyDescent="0.3"/>
  <cols>
    <col min="1" max="1" width="24.109375" customWidth="1"/>
    <col min="2" max="2" width="11.77734375" customWidth="1"/>
    <col min="3" max="3" width="12" bestFit="1" customWidth="1"/>
    <col min="4" max="4" width="12.88671875" customWidth="1"/>
    <col min="5" max="5" width="11.77734375" bestFit="1" customWidth="1"/>
    <col min="6" max="6" width="7.21875" bestFit="1" customWidth="1"/>
    <col min="7" max="7" width="8.77734375" customWidth="1"/>
    <col min="8" max="8" width="6.109375" bestFit="1" customWidth="1"/>
    <col min="9" max="9" width="11.77734375" bestFit="1" customWidth="1"/>
    <col min="10" max="10" width="9.77734375" bestFit="1" customWidth="1"/>
    <col min="11" max="11" width="9.77734375" customWidth="1"/>
    <col min="12" max="12" width="11.77734375" bestFit="1" customWidth="1"/>
    <col min="13" max="13" width="7.21875" bestFit="1" customWidth="1"/>
    <col min="14" max="14" width="8.77734375" customWidth="1"/>
    <col min="15" max="15" width="6.109375" bestFit="1" customWidth="1"/>
    <col min="16" max="16" width="11.77734375" bestFit="1" customWidth="1"/>
    <col min="17" max="17" width="9.77734375" bestFit="1" customWidth="1"/>
    <col min="18" max="18" width="11" customWidth="1"/>
    <col min="19" max="20" width="9.109375" bestFit="1" customWidth="1"/>
    <col min="21" max="31" width="9.109375" customWidth="1"/>
    <col min="32" max="32" width="12.109375" customWidth="1"/>
    <col min="33" max="33" width="11.88671875" customWidth="1"/>
  </cols>
  <sheetData>
    <row r="1" spans="1:35" ht="14.4" customHeight="1" x14ac:dyDescent="0.35">
      <c r="A1" s="47" t="s">
        <v>90</v>
      </c>
    </row>
    <row r="2" spans="1:35" ht="14.4" x14ac:dyDescent="0.3"/>
    <row r="3" spans="1:35" ht="14.4" x14ac:dyDescent="0.3">
      <c r="A3" s="7" t="s">
        <v>91</v>
      </c>
      <c r="B3" s="7" t="s">
        <v>92</v>
      </c>
      <c r="C3" s="7" t="s">
        <v>3</v>
      </c>
      <c r="D3" s="7" t="s">
        <v>93</v>
      </c>
    </row>
    <row r="4" spans="1:35" ht="14.4" x14ac:dyDescent="0.3">
      <c r="A4" t="s">
        <v>94</v>
      </c>
      <c r="B4">
        <v>995</v>
      </c>
      <c r="C4" s="8">
        <f>B66</f>
        <v>7.512015379685999E-2</v>
      </c>
      <c r="D4" s="9">
        <f>B4/1000</f>
        <v>0.995</v>
      </c>
    </row>
    <row r="5" spans="1:35" ht="14.4" x14ac:dyDescent="0.3">
      <c r="A5" t="s">
        <v>95</v>
      </c>
      <c r="B5">
        <v>5</v>
      </c>
      <c r="C5" s="8" t="e">
        <f>#REF!</f>
        <v>#REF!</v>
      </c>
      <c r="D5" s="9">
        <f>B5/1000</f>
        <v>5.0000000000000001E-3</v>
      </c>
    </row>
    <row r="6" spans="1:35" ht="18" x14ac:dyDescent="0.35">
      <c r="A6" s="10" t="s">
        <v>96</v>
      </c>
      <c r="B6" s="11" t="e">
        <f>B4/1000*C4+B5/1000*C5</f>
        <v>#REF!</v>
      </c>
      <c r="C6" s="12" t="s">
        <v>97</v>
      </c>
    </row>
    <row r="7" spans="1:35" ht="14.4" x14ac:dyDescent="0.3">
      <c r="A7" t="s">
        <v>13</v>
      </c>
      <c r="B7" t="e">
        <f>D4*SUM(#REF!,#REF!)+D5*SUM(#REF!,#REF!)</f>
        <v>#REF!</v>
      </c>
    </row>
    <row r="8" spans="1:35" ht="14.4" x14ac:dyDescent="0.3">
      <c r="A8" t="s">
        <v>18</v>
      </c>
      <c r="B8" t="e">
        <f>SUM(#REF!)*D4</f>
        <v>#REF!</v>
      </c>
    </row>
    <row r="9" spans="1:35" ht="14.4" x14ac:dyDescent="0.3">
      <c r="A9" t="s">
        <v>20</v>
      </c>
      <c r="B9" t="e">
        <f>SUM(#REF!)*D4</f>
        <v>#REF!</v>
      </c>
      <c r="I9" t="s">
        <v>313</v>
      </c>
      <c r="J9" t="s">
        <v>12</v>
      </c>
    </row>
    <row r="10" spans="1:35" ht="14.4" x14ac:dyDescent="0.3">
      <c r="A10" t="s">
        <v>24</v>
      </c>
      <c r="B10" t="e">
        <f>D5*SUM(#REF!,#REF!,#REF!,#REF!)</f>
        <v>#REF!</v>
      </c>
      <c r="I10" t="s">
        <v>314</v>
      </c>
      <c r="J10" t="s">
        <v>313</v>
      </c>
    </row>
    <row r="11" spans="1:35" ht="14.4" x14ac:dyDescent="0.3">
      <c r="A11" t="s">
        <v>28</v>
      </c>
      <c r="B11" t="e">
        <f>D5*SUM(#REF!,#REF!)</f>
        <v>#REF!</v>
      </c>
      <c r="T11" s="7"/>
    </row>
    <row r="12" spans="1:35" thickBot="1" x14ac:dyDescent="0.35">
      <c r="T12" s="7" t="s">
        <v>317</v>
      </c>
    </row>
    <row r="13" spans="1:35" ht="15" customHeight="1" thickBot="1" x14ac:dyDescent="0.35">
      <c r="F13" s="136" t="s">
        <v>98</v>
      </c>
      <c r="G13" s="137"/>
      <c r="H13" s="137"/>
      <c r="I13" s="137"/>
      <c r="J13" s="137"/>
      <c r="K13" s="137"/>
      <c r="L13" s="137"/>
      <c r="M13" s="194" t="s">
        <v>99</v>
      </c>
      <c r="N13" s="195"/>
      <c r="O13" s="196"/>
      <c r="P13" s="196"/>
      <c r="Q13" s="196"/>
      <c r="R13" s="196"/>
      <c r="S13" s="197"/>
      <c r="T13" s="52" t="s">
        <v>51</v>
      </c>
      <c r="U13" s="221" t="s">
        <v>47</v>
      </c>
      <c r="V13" s="221" t="s">
        <v>44</v>
      </c>
      <c r="W13" s="222" t="s">
        <v>196</v>
      </c>
      <c r="X13" s="52" t="s">
        <v>51</v>
      </c>
      <c r="Y13" s="221" t="s">
        <v>47</v>
      </c>
      <c r="Z13" s="221" t="s">
        <v>44</v>
      </c>
      <c r="AA13" s="222" t="s">
        <v>196</v>
      </c>
      <c r="AB13" s="52" t="s">
        <v>51</v>
      </c>
      <c r="AC13" s="221" t="s">
        <v>47</v>
      </c>
      <c r="AD13" s="221" t="s">
        <v>44</v>
      </c>
      <c r="AE13" s="222" t="s">
        <v>196</v>
      </c>
      <c r="AF13" s="7"/>
      <c r="AG13" s="7"/>
      <c r="AI13" s="7"/>
    </row>
    <row r="14" spans="1:35" ht="14.4" x14ac:dyDescent="0.3">
      <c r="A14" s="13" t="s">
        <v>101</v>
      </c>
      <c r="B14" s="14" t="s">
        <v>100</v>
      </c>
      <c r="C14" s="15" t="s">
        <v>102</v>
      </c>
      <c r="D14" s="16" t="s">
        <v>8</v>
      </c>
      <c r="E14" s="16" t="s">
        <v>103</v>
      </c>
      <c r="F14" s="17" t="s">
        <v>98</v>
      </c>
      <c r="G14" s="17" t="s">
        <v>104</v>
      </c>
      <c r="H14" s="17" t="s">
        <v>105</v>
      </c>
      <c r="I14" s="17" t="s">
        <v>106</v>
      </c>
      <c r="J14" s="179" t="s">
        <v>107</v>
      </c>
      <c r="K14" s="179" t="s">
        <v>318</v>
      </c>
      <c r="L14" s="37" t="s">
        <v>108</v>
      </c>
      <c r="M14" s="249" t="s">
        <v>99</v>
      </c>
      <c r="N14" s="184" t="s">
        <v>104</v>
      </c>
      <c r="O14" s="106" t="s">
        <v>105</v>
      </c>
      <c r="P14" s="40" t="s">
        <v>109</v>
      </c>
      <c r="Q14" s="40" t="s">
        <v>107</v>
      </c>
      <c r="R14" s="179" t="s">
        <v>318</v>
      </c>
      <c r="S14" s="199" t="s">
        <v>110</v>
      </c>
      <c r="T14" s="215" t="s">
        <v>104</v>
      </c>
      <c r="U14" s="184"/>
      <c r="V14" s="184"/>
      <c r="W14" s="216"/>
      <c r="X14" s="215" t="s">
        <v>61</v>
      </c>
      <c r="Y14" s="184"/>
      <c r="Z14" s="184"/>
      <c r="AA14" s="216"/>
      <c r="AB14" s="215" t="s">
        <v>334</v>
      </c>
      <c r="AC14" s="184"/>
      <c r="AD14" s="184"/>
      <c r="AE14" s="216"/>
      <c r="AG14" s="8"/>
    </row>
    <row r="15" spans="1:35" ht="14.4" x14ac:dyDescent="0.3">
      <c r="A15" s="25" t="s">
        <v>85</v>
      </c>
      <c r="B15" s="25">
        <f>VLOOKUP(A15,Library!$B$4:$C$57,2,FALSE)</f>
        <v>292.24</v>
      </c>
      <c r="C15" s="75">
        <f>VLOOKUP(A15,'Mod Wolfe v1'!$F$5:$G$16,2,FALSE)*(1000/'Mod Wolfe v1'!$G$19)</f>
        <v>0.2</v>
      </c>
      <c r="D15" s="26" t="s">
        <v>97</v>
      </c>
      <c r="E15" s="26">
        <f t="shared" ref="E15:E24" si="0">IF(D15="g/L",C15/B15,IF(D15="mg/L",C15/(1000*B15),IF(D15="ug/L",C15/(1000000*B15),"error")))</f>
        <v>6.8436901177114698E-4</v>
      </c>
      <c r="F15" s="25"/>
      <c r="G15" s="25"/>
      <c r="H15" s="25"/>
      <c r="I15" s="25"/>
      <c r="J15" s="178"/>
      <c r="K15" s="183"/>
      <c r="L15" s="28"/>
      <c r="M15" s="86" t="s">
        <v>299</v>
      </c>
      <c r="N15" s="22">
        <v>1</v>
      </c>
      <c r="O15" s="25">
        <f>VLOOKUP(M15,Library!$K$4:$M$36,3,FALSE)</f>
        <v>-2</v>
      </c>
      <c r="P15" s="25">
        <f>E15*N15</f>
        <v>6.8436901177114698E-4</v>
      </c>
      <c r="Q15" s="25">
        <f>IF(M15="N/A",0,VLOOKUP(M15,Library!$K$4:$N$36,2,FALSE))</f>
        <v>292.24380000000002</v>
      </c>
      <c r="R15" s="25">
        <f>P15*(O15^2)</f>
        <v>2.7374760470845879E-3</v>
      </c>
      <c r="S15" s="200">
        <f>P15*Q15</f>
        <v>0.20000260060224473</v>
      </c>
      <c r="T15" s="217">
        <f>VLOOKUP(A15,Library!$B$4:$G$69,3,FALSE)</f>
        <v>10</v>
      </c>
      <c r="U15" s="185">
        <f>VLOOKUP(A15,Library!$B$4:$G$69,4,FALSE)</f>
        <v>2</v>
      </c>
      <c r="V15" s="185">
        <f>VLOOKUP(A15,Library!$B$4:$G$69,5,FALSE)</f>
        <v>0</v>
      </c>
      <c r="W15" s="218">
        <f>VLOOKUP(A15,Library!$B$4:$G$69,6,FALSE)</f>
        <v>0</v>
      </c>
      <c r="X15" s="217">
        <f>T15*E15</f>
        <v>6.8436901177114703E-3</v>
      </c>
      <c r="Y15" s="185">
        <f>U15*E15</f>
        <v>1.368738023542294E-3</v>
      </c>
      <c r="Z15" s="185">
        <f>V15*E15</f>
        <v>0</v>
      </c>
      <c r="AA15" s="218">
        <f>W15*E15</f>
        <v>0</v>
      </c>
      <c r="AB15" s="217">
        <f>X15*VLOOKUP($AB$13,Library!$T$4:$U$7,2,FALSE)</f>
        <v>8.219271831371476E-2</v>
      </c>
      <c r="AC15" s="185">
        <f>Y15*VLOOKUP($AC$13,Library!$T$4:$U$7,2,FALSE)</f>
        <v>1.917601970982754E-2</v>
      </c>
      <c r="AD15" s="185">
        <f>Z15*VLOOKUP($AD$13,Library!$T$4:$U$7,2,FALSE)</f>
        <v>0</v>
      </c>
      <c r="AE15" s="218">
        <f>AA15*VLOOKUP($AE$13,Library!$T$4:$U$7,2,FALSE)</f>
        <v>0</v>
      </c>
      <c r="AG15" s="8"/>
    </row>
    <row r="16" spans="1:35" ht="14.4" x14ac:dyDescent="0.3">
      <c r="A16" s="25" t="s">
        <v>307</v>
      </c>
      <c r="B16" s="25">
        <f>VLOOKUP(A16,Library!$B$4:$C$57,2,FALSE)</f>
        <v>136.09</v>
      </c>
      <c r="C16" s="75">
        <f>VLOOKUP(A16,'Mod Wolfe v1'!$F$5:$G$16,2,FALSE)*(1000/'Mod Wolfe v1'!$G$19)</f>
        <v>0.3</v>
      </c>
      <c r="D16" s="26" t="s">
        <v>97</v>
      </c>
      <c r="E16" s="26">
        <f t="shared" si="0"/>
        <v>2.2044235432434416E-3</v>
      </c>
      <c r="F16" s="25" t="s">
        <v>66</v>
      </c>
      <c r="G16" s="25">
        <v>1</v>
      </c>
      <c r="H16" s="25">
        <f>VLOOKUP(F16,Library!$K$4:$M$36,3,FALSE)</f>
        <v>1</v>
      </c>
      <c r="I16" s="25">
        <f>E16*G16</f>
        <v>2.2044235432434416E-3</v>
      </c>
      <c r="J16" s="178">
        <f>IF(F16="N/A",0,VLOOKUP(F16,Library!$K$4:$M$36,2,FALSE))</f>
        <v>39.093800000000002</v>
      </c>
      <c r="K16" s="183">
        <f>I16*(H16^2)</f>
        <v>2.2044235432434416E-3</v>
      </c>
      <c r="L16" s="28">
        <f>I16*J16</f>
        <v>8.6179293114850467E-2</v>
      </c>
      <c r="M16" s="86" t="s">
        <v>82</v>
      </c>
      <c r="N16" s="22">
        <v>1</v>
      </c>
      <c r="O16" s="25">
        <f>VLOOKUP(M16,Library!$K$4:$M$36,3,FALSE)</f>
        <v>-3</v>
      </c>
      <c r="P16" s="25">
        <f>E16*N16</f>
        <v>2.2044235432434416E-3</v>
      </c>
      <c r="Q16" s="25">
        <f>IF(M16="N/A",0,VLOOKUP(M16,Library!$K$4:$N$36,2,FALSE))</f>
        <v>94.97</v>
      </c>
      <c r="R16" s="25">
        <f>P16*(O16^2)</f>
        <v>1.9839811889190973E-2</v>
      </c>
      <c r="S16" s="200">
        <f>P16*Q16</f>
        <v>0.20935410390182965</v>
      </c>
      <c r="T16" s="217">
        <f>VLOOKUP(A16,Library!$B$4:$G$69,3,FALSE)</f>
        <v>0</v>
      </c>
      <c r="U16" s="185">
        <f>VLOOKUP(A16,Library!$B$4:$G$69,4,FALSE)</f>
        <v>0</v>
      </c>
      <c r="V16" s="185">
        <f>VLOOKUP(A16,Library!$B$4:$G$69,5,FALSE)</f>
        <v>1</v>
      </c>
      <c r="W16" s="218">
        <f>VLOOKUP(A16,Library!$B$4:$G$69,6,FALSE)</f>
        <v>0</v>
      </c>
      <c r="X16" s="217">
        <f>T16*E16</f>
        <v>0</v>
      </c>
      <c r="Y16" s="185">
        <f>U16*E16</f>
        <v>0</v>
      </c>
      <c r="Z16" s="185">
        <f>V16*E16</f>
        <v>2.2044235432434416E-3</v>
      </c>
      <c r="AA16" s="218">
        <f>W16*E16</f>
        <v>0</v>
      </c>
      <c r="AB16" s="217">
        <f>X16*VLOOKUP($AB$13,Library!$T$4:$U$7,2,FALSE)</f>
        <v>0</v>
      </c>
      <c r="AC16" s="185">
        <f>Y16*VLOOKUP($AC$13,Library!$T$4:$U$7,2,FALSE)</f>
        <v>0</v>
      </c>
      <c r="AD16" s="185">
        <f>Z16*VLOOKUP($AD$13,Library!$T$4:$U$7,2,FALSE)</f>
        <v>6.8270997134249389E-2</v>
      </c>
      <c r="AE16" s="218">
        <f>AA16*VLOOKUP($AE$13,Library!$T$4:$U$7,2,FALSE)</f>
        <v>0</v>
      </c>
      <c r="AG16" s="8"/>
    </row>
    <row r="17" spans="1:33" ht="14.4" x14ac:dyDescent="0.3">
      <c r="A17" s="25" t="s">
        <v>308</v>
      </c>
      <c r="B17" s="25">
        <f>VLOOKUP(A17,Library!$B$4:$C$57,2,FALSE)</f>
        <v>174.18</v>
      </c>
      <c r="C17" s="75">
        <f>VLOOKUP(A17,'Mod Wolfe v1'!$F$5:$G$16,2,FALSE)*(1000/'Mod Wolfe v1'!$G$19)</f>
        <v>0.3</v>
      </c>
      <c r="D17" s="26" t="s">
        <v>97</v>
      </c>
      <c r="E17" s="26">
        <f t="shared" si="0"/>
        <v>1.7223561832586977E-3</v>
      </c>
      <c r="F17" s="25" t="s">
        <v>66</v>
      </c>
      <c r="G17" s="25">
        <v>2</v>
      </c>
      <c r="H17" s="25">
        <f>VLOOKUP(F17,Library!$K$4:$M$36,3,FALSE)</f>
        <v>1</v>
      </c>
      <c r="I17" s="25">
        <f t="shared" ref="I17:I37" si="1">E17*G17</f>
        <v>3.4447123665173954E-3</v>
      </c>
      <c r="J17" s="178">
        <f>IF(F17="N/A",0,VLOOKUP(F17,Library!$K$4:$M$36,2,FALSE))</f>
        <v>39.093800000000002</v>
      </c>
      <c r="K17" s="183">
        <f t="shared" ref="K17:K37" si="2">I17*(H17^2)</f>
        <v>3.4447123665173954E-3</v>
      </c>
      <c r="L17" s="28">
        <f t="shared" ref="L17:L37" si="3">I17*J17</f>
        <v>0.13466689631415776</v>
      </c>
      <c r="M17" s="86" t="s">
        <v>82</v>
      </c>
      <c r="N17" s="27">
        <v>1</v>
      </c>
      <c r="O17" s="25">
        <f>VLOOKUP(M17,Library!$K$4:$M$36,3,FALSE)</f>
        <v>-3</v>
      </c>
      <c r="P17" s="25">
        <f t="shared" ref="P17:P37" si="4">E17*N17</f>
        <v>1.7223561832586977E-3</v>
      </c>
      <c r="Q17" s="25">
        <f>IF(M17="N/A",0,VLOOKUP(M17,Library!$K$4:$N$36,2,FALSE))</f>
        <v>94.97</v>
      </c>
      <c r="R17" s="25">
        <f t="shared" ref="R17:R37" si="5">P17*(O17^2)</f>
        <v>1.5501205649328279E-2</v>
      </c>
      <c r="S17" s="200">
        <f t="shared" ref="S17:S37" si="6">P17*Q17</f>
        <v>0.16357216672407851</v>
      </c>
      <c r="T17" s="217">
        <f>VLOOKUP(A17,Library!$B$4:$G$69,3,FALSE)</f>
        <v>0</v>
      </c>
      <c r="U17" s="185">
        <f>VLOOKUP(A17,Library!$B$4:$G$69,4,FALSE)</f>
        <v>0</v>
      </c>
      <c r="V17" s="185">
        <f>VLOOKUP(A17,Library!$B$4:$G$69,5,FALSE)</f>
        <v>1</v>
      </c>
      <c r="W17" s="218">
        <f>VLOOKUP(A17,Library!$B$4:$G$69,6,FALSE)</f>
        <v>0</v>
      </c>
      <c r="X17" s="217">
        <f t="shared" ref="X17:X24" si="7">T17*E17</f>
        <v>0</v>
      </c>
      <c r="Y17" s="185">
        <f t="shared" ref="Y17:Y24" si="8">U17*E17</f>
        <v>0</v>
      </c>
      <c r="Z17" s="185">
        <f t="shared" ref="Z17:Z24" si="9">V17*E17</f>
        <v>1.7223561832586977E-3</v>
      </c>
      <c r="AA17" s="218">
        <f t="shared" ref="AA17:AA24" si="10">W17*E17</f>
        <v>0</v>
      </c>
      <c r="AB17" s="217">
        <f>X17*VLOOKUP($AB$13,Library!$T$4:$U$7,2,FALSE)</f>
        <v>0</v>
      </c>
      <c r="AC17" s="185">
        <f>Y17*VLOOKUP($AC$13,Library!$T$4:$U$7,2,FALSE)</f>
        <v>0</v>
      </c>
      <c r="AD17" s="185">
        <f>Z17*VLOOKUP($AD$13,Library!$T$4:$U$7,2,FALSE)</f>
        <v>5.3341370995521865E-2</v>
      </c>
      <c r="AE17" s="218">
        <f>AA17*VLOOKUP($AE$13,Library!$T$4:$U$7,2,FALSE)</f>
        <v>0</v>
      </c>
      <c r="AG17" s="8"/>
    </row>
    <row r="18" spans="1:33" ht="14.4" x14ac:dyDescent="0.3">
      <c r="A18" s="25" t="s">
        <v>21</v>
      </c>
      <c r="B18" s="25">
        <f>VLOOKUP(A18,Library!$B$4:$C$57,2,FALSE)</f>
        <v>53.49</v>
      </c>
      <c r="C18" s="75">
        <f>VLOOKUP(A18,'Mod Wolfe v1'!$F$5:$G$16,2,FALSE)*(1000/'Mod Wolfe v1'!$G$19)</f>
        <v>1</v>
      </c>
      <c r="D18" s="26" t="s">
        <v>97</v>
      </c>
      <c r="E18" s="26">
        <f t="shared" si="0"/>
        <v>1.8695083193120209E-2</v>
      </c>
      <c r="F18" s="25" t="s">
        <v>78</v>
      </c>
      <c r="G18" s="25">
        <v>1</v>
      </c>
      <c r="H18" s="25">
        <f>VLOOKUP(F18,Library!$K$4:$M$36,3,FALSE)</f>
        <v>1</v>
      </c>
      <c r="I18" s="25">
        <f t="shared" si="1"/>
        <v>1.8695083193120209E-2</v>
      </c>
      <c r="J18" s="178">
        <f>IF(F18="N/A",0,VLOOKUP(F18,Library!$K$4:$M$36,2,FALSE))</f>
        <v>18.04</v>
      </c>
      <c r="K18" s="183">
        <f t="shared" si="2"/>
        <v>1.8695083193120209E-2</v>
      </c>
      <c r="L18" s="28">
        <f t="shared" si="3"/>
        <v>0.33725930080388855</v>
      </c>
      <c r="M18" s="86" t="s">
        <v>70</v>
      </c>
      <c r="N18" s="27">
        <v>1</v>
      </c>
      <c r="O18" s="25">
        <f>VLOOKUP(M18,Library!$K$4:$M$36,3,FALSE)</f>
        <v>-1</v>
      </c>
      <c r="P18" s="25">
        <f t="shared" si="4"/>
        <v>1.8695083193120209E-2</v>
      </c>
      <c r="Q18" s="25">
        <f>IF(M18="N/A",0,VLOOKUP(M18,Library!$K$4:$N$36,2,FALSE))</f>
        <v>35.453000000000003</v>
      </c>
      <c r="R18" s="25">
        <f t="shared" si="5"/>
        <v>1.8695083193120209E-2</v>
      </c>
      <c r="S18" s="200">
        <f t="shared" si="6"/>
        <v>0.66279678444569079</v>
      </c>
      <c r="T18" s="217">
        <f>VLOOKUP(A18,Library!$B$4:$G$69,3,FALSE)</f>
        <v>0</v>
      </c>
      <c r="U18" s="185">
        <f>VLOOKUP(A18,Library!$B$4:$G$69,4,FALSE)</f>
        <v>1</v>
      </c>
      <c r="V18" s="185">
        <f>VLOOKUP(A18,Library!$B$4:$G$69,5,FALSE)</f>
        <v>0</v>
      </c>
      <c r="W18" s="218">
        <f>VLOOKUP(A18,Library!$B$4:$G$69,6,FALSE)</f>
        <v>0</v>
      </c>
      <c r="X18" s="217">
        <f t="shared" si="7"/>
        <v>0</v>
      </c>
      <c r="Y18" s="185">
        <f t="shared" si="8"/>
        <v>1.8695083193120209E-2</v>
      </c>
      <c r="Z18" s="185">
        <f t="shared" si="9"/>
        <v>0</v>
      </c>
      <c r="AA18" s="218">
        <f t="shared" si="10"/>
        <v>0</v>
      </c>
      <c r="AB18" s="217">
        <f>X18*VLOOKUP($AB$13,Library!$T$4:$U$7,2,FALSE)</f>
        <v>0</v>
      </c>
      <c r="AC18" s="185">
        <f>Y18*VLOOKUP($AC$13,Library!$T$4:$U$7,2,FALSE)</f>
        <v>0.26191811553561412</v>
      </c>
      <c r="AD18" s="185">
        <f>Z18*VLOOKUP($AD$13,Library!$T$4:$U$7,2,FALSE)</f>
        <v>0</v>
      </c>
      <c r="AE18" s="218">
        <f>AA18*VLOOKUP($AE$13,Library!$T$4:$U$7,2,FALSE)</f>
        <v>0</v>
      </c>
      <c r="AG18" s="8"/>
    </row>
    <row r="19" spans="1:33" ht="14.4" x14ac:dyDescent="0.3">
      <c r="A19" s="25" t="s">
        <v>25</v>
      </c>
      <c r="B19" s="25">
        <f>VLOOKUP(A19,Library!$B$4:$C$57,2,FALSE)</f>
        <v>203.3</v>
      </c>
      <c r="C19" s="75">
        <f>VLOOKUP(A19,'Mod Wolfe v1'!$F$5:$G$16,2,FALSE)*(1000/'Mod Wolfe v1'!$G$19)</f>
        <v>0.16</v>
      </c>
      <c r="D19" s="26" t="s">
        <v>97</v>
      </c>
      <c r="E19" s="26">
        <f t="shared" si="0"/>
        <v>7.8701426463354646E-4</v>
      </c>
      <c r="F19" s="25" t="s">
        <v>64</v>
      </c>
      <c r="G19" s="25">
        <v>1</v>
      </c>
      <c r="H19" s="25">
        <f>VLOOKUP(F19,Library!$K$4:$M$36,3,FALSE)</f>
        <v>2</v>
      </c>
      <c r="I19" s="25">
        <f t="shared" si="1"/>
        <v>7.8701426463354646E-4</v>
      </c>
      <c r="J19" s="178">
        <f>IF(F19="N/A",0,VLOOKUP(F19,Library!$K$4:$M$36,2,FALSE))</f>
        <v>24.305</v>
      </c>
      <c r="K19" s="183">
        <f t="shared" si="2"/>
        <v>3.1480570585341859E-3</v>
      </c>
      <c r="L19" s="28">
        <f t="shared" si="3"/>
        <v>1.9128381701918346E-2</v>
      </c>
      <c r="M19" s="86" t="s">
        <v>70</v>
      </c>
      <c r="N19" s="27">
        <v>2</v>
      </c>
      <c r="O19" s="25">
        <f>VLOOKUP(M19,Library!$K$4:$M$36,3,FALSE)</f>
        <v>-1</v>
      </c>
      <c r="P19" s="25">
        <f t="shared" si="4"/>
        <v>1.5740285292670929E-3</v>
      </c>
      <c r="Q19" s="25">
        <f>IF(M19="N/A",0,VLOOKUP(M19,Library!$K$4:$N$36,2,FALSE))</f>
        <v>35.453000000000003</v>
      </c>
      <c r="R19" s="25">
        <f t="shared" si="5"/>
        <v>1.5740285292670929E-3</v>
      </c>
      <c r="S19" s="200">
        <f t="shared" si="6"/>
        <v>5.5804033448106249E-2</v>
      </c>
      <c r="T19" s="217">
        <f>VLOOKUP(A19,Library!$B$4:$G$69,3,FALSE)</f>
        <v>0</v>
      </c>
      <c r="U19" s="185">
        <f>VLOOKUP(A19,Library!$B$4:$G$69,4,FALSE)</f>
        <v>0</v>
      </c>
      <c r="V19" s="185">
        <f>VLOOKUP(A19,Library!$B$4:$G$69,5,FALSE)</f>
        <v>0</v>
      </c>
      <c r="W19" s="218">
        <f>VLOOKUP(A19,Library!$B$4:$G$69,6,FALSE)</f>
        <v>0</v>
      </c>
      <c r="X19" s="217">
        <f t="shared" si="7"/>
        <v>0</v>
      </c>
      <c r="Y19" s="185">
        <f t="shared" si="8"/>
        <v>0</v>
      </c>
      <c r="Z19" s="185">
        <f t="shared" si="9"/>
        <v>0</v>
      </c>
      <c r="AA19" s="218">
        <f t="shared" si="10"/>
        <v>0</v>
      </c>
      <c r="AB19" s="217">
        <f>X19*VLOOKUP($AB$13,Library!$T$4:$U$7,2,FALSE)</f>
        <v>0</v>
      </c>
      <c r="AC19" s="185">
        <f>Y19*VLOOKUP($AC$13,Library!$T$4:$U$7,2,FALSE)</f>
        <v>0</v>
      </c>
      <c r="AD19" s="185">
        <f>Z19*VLOOKUP($AD$13,Library!$T$4:$U$7,2,FALSE)</f>
        <v>0</v>
      </c>
      <c r="AE19" s="218">
        <f>AA19*VLOOKUP($AE$13,Library!$T$4:$U$7,2,FALSE)</f>
        <v>0</v>
      </c>
      <c r="AG19" s="8"/>
    </row>
    <row r="20" spans="1:33" ht="14.4" x14ac:dyDescent="0.3">
      <c r="A20" s="25" t="s">
        <v>29</v>
      </c>
      <c r="B20" s="25">
        <f>VLOOKUP(A20,Library!$B$4:$C$57,2,FALSE)</f>
        <v>147.01</v>
      </c>
      <c r="C20" s="75">
        <f>VLOOKUP(A20,'Mod Wolfe v1'!$F$5:$G$16,2,FALSE)*(1000/'Mod Wolfe v1'!$G$19)</f>
        <v>8.9999999999999993E-3</v>
      </c>
      <c r="D20" s="26" t="s">
        <v>97</v>
      </c>
      <c r="E20" s="26">
        <f t="shared" si="0"/>
        <v>6.122032514794912E-5</v>
      </c>
      <c r="F20" s="25" t="s">
        <v>65</v>
      </c>
      <c r="G20" s="25">
        <v>1</v>
      </c>
      <c r="H20" s="25">
        <f>VLOOKUP(F20,Library!$K$4:$M$36,3,FALSE)</f>
        <v>2</v>
      </c>
      <c r="I20" s="25">
        <f t="shared" si="1"/>
        <v>6.122032514794912E-5</v>
      </c>
      <c r="J20" s="178">
        <f>IF(F20="N/A",0,VLOOKUP(F20,Library!$K$4:$M$36,2,FALSE))</f>
        <v>40.078000000000003</v>
      </c>
      <c r="K20" s="183">
        <f t="shared" si="2"/>
        <v>2.4488130059179648E-4</v>
      </c>
      <c r="L20" s="28">
        <f t="shared" si="3"/>
        <v>2.4535881912795049E-3</v>
      </c>
      <c r="M20" s="86" t="s">
        <v>70</v>
      </c>
      <c r="N20" s="27">
        <v>2</v>
      </c>
      <c r="O20" s="25">
        <f>VLOOKUP(M20,Library!$K$4:$M$36,3,FALSE)</f>
        <v>-1</v>
      </c>
      <c r="P20" s="25">
        <f t="shared" si="4"/>
        <v>1.2244065029589824E-4</v>
      </c>
      <c r="Q20" s="25">
        <f>IF(M20="N/A",0,VLOOKUP(M20,Library!$K$4:$N$36,2,FALSE))</f>
        <v>35.453000000000003</v>
      </c>
      <c r="R20" s="25">
        <f t="shared" si="5"/>
        <v>1.2244065029589824E-4</v>
      </c>
      <c r="S20" s="200">
        <f t="shared" si="6"/>
        <v>4.3408883749404808E-3</v>
      </c>
      <c r="T20" s="217">
        <f>VLOOKUP(A20,Library!$B$4:$G$69,3,FALSE)</f>
        <v>0</v>
      </c>
      <c r="U20" s="185">
        <f>VLOOKUP(A20,Library!$B$4:$G$69,4,FALSE)</f>
        <v>0</v>
      </c>
      <c r="V20" s="185">
        <f>VLOOKUP(A20,Library!$B$4:$G$69,5,FALSE)</f>
        <v>0</v>
      </c>
      <c r="W20" s="218">
        <f>VLOOKUP(A20,Library!$B$4:$G$69,6,FALSE)</f>
        <v>0</v>
      </c>
      <c r="X20" s="217">
        <f t="shared" si="7"/>
        <v>0</v>
      </c>
      <c r="Y20" s="185">
        <f t="shared" si="8"/>
        <v>0</v>
      </c>
      <c r="Z20" s="185">
        <f t="shared" si="9"/>
        <v>0</v>
      </c>
      <c r="AA20" s="218">
        <f t="shared" si="10"/>
        <v>0</v>
      </c>
      <c r="AB20" s="217">
        <f>X20*VLOOKUP($AB$13,Library!$T$4:$U$7,2,FALSE)</f>
        <v>0</v>
      </c>
      <c r="AC20" s="185">
        <f>Y20*VLOOKUP($AC$13,Library!$T$4:$U$7,2,FALSE)</f>
        <v>0</v>
      </c>
      <c r="AD20" s="185">
        <f>Z20*VLOOKUP($AD$13,Library!$T$4:$U$7,2,FALSE)</f>
        <v>0</v>
      </c>
      <c r="AE20" s="218">
        <f>AA20*VLOOKUP($AE$13,Library!$T$4:$U$7,2,FALSE)</f>
        <v>0</v>
      </c>
      <c r="AG20" s="8"/>
    </row>
    <row r="21" spans="1:33" ht="14.4" x14ac:dyDescent="0.3">
      <c r="A21" s="25" t="s">
        <v>33</v>
      </c>
      <c r="B21" s="25">
        <f>VLOOKUP(A21,Library!$B$4:$C$57,2,FALSE)</f>
        <v>58.44</v>
      </c>
      <c r="C21" s="75">
        <f>VLOOKUP(A21,'Mod Wolfe v1'!$F$5:$G$16,2,FALSE)*(1000/'Mod Wolfe v1'!$G$19)</f>
        <v>0.6</v>
      </c>
      <c r="D21" s="26" t="s">
        <v>97</v>
      </c>
      <c r="E21" s="26">
        <f t="shared" si="0"/>
        <v>1.0266940451745379E-2</v>
      </c>
      <c r="F21" s="25" t="s">
        <v>63</v>
      </c>
      <c r="G21" s="25">
        <v>1</v>
      </c>
      <c r="H21" s="25">
        <f>VLOOKUP(F21,Library!$K$4:$M$36,3,FALSE)</f>
        <v>1</v>
      </c>
      <c r="I21" s="25">
        <f t="shared" si="1"/>
        <v>1.0266940451745379E-2</v>
      </c>
      <c r="J21" s="178">
        <f>IF(F21="N/A",0,VLOOKUP(F21,Library!$K$4:$M$36,2,FALSE))</f>
        <v>28.989768999999999</v>
      </c>
      <c r="K21" s="183">
        <f t="shared" si="2"/>
        <v>1.0266940451745379E-2</v>
      </c>
      <c r="L21" s="28">
        <f t="shared" si="3"/>
        <v>0.29763623203285416</v>
      </c>
      <c r="M21" s="86" t="s">
        <v>70</v>
      </c>
      <c r="N21" s="27">
        <v>1</v>
      </c>
      <c r="O21" s="25">
        <f>VLOOKUP(M21,Library!$K$4:$M$36,3,FALSE)</f>
        <v>-1</v>
      </c>
      <c r="P21" s="25">
        <f t="shared" si="4"/>
        <v>1.0266940451745379E-2</v>
      </c>
      <c r="Q21" s="25">
        <f>IF(M21="N/A",0,VLOOKUP(M21,Library!$K$4:$N$36,2,FALSE))</f>
        <v>35.453000000000003</v>
      </c>
      <c r="R21" s="25">
        <f t="shared" si="5"/>
        <v>1.0266940451745379E-2</v>
      </c>
      <c r="S21" s="200">
        <f t="shared" si="6"/>
        <v>0.36399383983572897</v>
      </c>
      <c r="T21" s="217">
        <f>VLOOKUP(A21,Library!$B$4:$G$69,3,FALSE)</f>
        <v>0</v>
      </c>
      <c r="U21" s="185">
        <f>VLOOKUP(A21,Library!$B$4:$G$69,4,FALSE)</f>
        <v>0</v>
      </c>
      <c r="V21" s="185">
        <f>VLOOKUP(A21,Library!$B$4:$G$69,5,FALSE)</f>
        <v>0</v>
      </c>
      <c r="W21" s="218">
        <f>VLOOKUP(A21,Library!$B$4:$G$69,6,FALSE)</f>
        <v>0</v>
      </c>
      <c r="X21" s="217">
        <f t="shared" si="7"/>
        <v>0</v>
      </c>
      <c r="Y21" s="185">
        <f t="shared" si="8"/>
        <v>0</v>
      </c>
      <c r="Z21" s="185">
        <f t="shared" si="9"/>
        <v>0</v>
      </c>
      <c r="AA21" s="218">
        <f t="shared" si="10"/>
        <v>0</v>
      </c>
      <c r="AB21" s="217">
        <f>X21*VLOOKUP($AB$13,Library!$T$4:$U$7,2,FALSE)</f>
        <v>0</v>
      </c>
      <c r="AC21" s="185">
        <f>Y21*VLOOKUP($AC$13,Library!$T$4:$U$7,2,FALSE)</f>
        <v>0</v>
      </c>
      <c r="AD21" s="185">
        <f>Z21*VLOOKUP($AD$13,Library!$T$4:$U$7,2,FALSE)</f>
        <v>0</v>
      </c>
      <c r="AE21" s="218">
        <f>AA21*VLOOKUP($AE$13,Library!$T$4:$U$7,2,FALSE)</f>
        <v>0</v>
      </c>
      <c r="AG21" s="8"/>
    </row>
    <row r="22" spans="1:33" ht="14.4" x14ac:dyDescent="0.3">
      <c r="A22" s="25" t="s">
        <v>52</v>
      </c>
      <c r="B22" s="25">
        <f>VLOOKUP(A22,Library!$B$4:$C$57,2,FALSE)</f>
        <v>84.01</v>
      </c>
      <c r="C22" s="75">
        <f>VLOOKUP(A22,'Mod Wolfe v1'!$F$6:$G$16,2,FALSE)*(1000/'Mod Wolfe v1'!$G$19)</f>
        <v>0</v>
      </c>
      <c r="D22" s="26" t="s">
        <v>97</v>
      </c>
      <c r="E22" s="26">
        <f t="shared" si="0"/>
        <v>0</v>
      </c>
      <c r="F22" s="25" t="s">
        <v>63</v>
      </c>
      <c r="G22" s="25">
        <v>1</v>
      </c>
      <c r="H22" s="25">
        <f>VLOOKUP(F22,Library!$K$4:$M$36,3,FALSE)</f>
        <v>1</v>
      </c>
      <c r="I22" s="25">
        <f t="shared" si="1"/>
        <v>0</v>
      </c>
      <c r="J22" s="178">
        <f>IF(F22="N/A",0,VLOOKUP(F22,Library!$K$4:$M$36,2,FALSE))</f>
        <v>28.989768999999999</v>
      </c>
      <c r="K22" s="183">
        <f t="shared" si="2"/>
        <v>0</v>
      </c>
      <c r="L22" s="28">
        <f t="shared" si="3"/>
        <v>0</v>
      </c>
      <c r="M22" s="86" t="s">
        <v>67</v>
      </c>
      <c r="N22" s="27">
        <v>1</v>
      </c>
      <c r="O22" s="25">
        <f>VLOOKUP(M22,Library!$K$4:$M$36,3,FALSE)</f>
        <v>-1</v>
      </c>
      <c r="P22" s="25">
        <f t="shared" si="4"/>
        <v>0</v>
      </c>
      <c r="Q22" s="25">
        <f>IF(M22="N/A",0,VLOOKUP(M22,Library!$K$4:$N$36,2,FALSE))</f>
        <v>61.016800000000003</v>
      </c>
      <c r="R22" s="25">
        <f t="shared" si="5"/>
        <v>0</v>
      </c>
      <c r="S22" s="200">
        <f t="shared" si="6"/>
        <v>0</v>
      </c>
      <c r="T22" s="217">
        <f>VLOOKUP(A22,Library!$B$4:$G$69,3,FALSE)</f>
        <v>1</v>
      </c>
      <c r="U22" s="185">
        <f>VLOOKUP(A22,Library!$B$4:$G$69,4,FALSE)</f>
        <v>0</v>
      </c>
      <c r="V22" s="185">
        <f>VLOOKUP(A22,Library!$B$4:$G$69,5,FALSE)</f>
        <v>0</v>
      </c>
      <c r="W22" s="218">
        <f>VLOOKUP(A22,Library!$B$4:$G$69,6,FALSE)</f>
        <v>0</v>
      </c>
      <c r="X22" s="217">
        <f t="shared" si="7"/>
        <v>0</v>
      </c>
      <c r="Y22" s="185">
        <f t="shared" si="8"/>
        <v>0</v>
      </c>
      <c r="Z22" s="185">
        <f t="shared" si="9"/>
        <v>0</v>
      </c>
      <c r="AA22" s="218">
        <f t="shared" si="10"/>
        <v>0</v>
      </c>
      <c r="AB22" s="217">
        <f>X22*VLOOKUP($AB$13,Library!$T$4:$U$7,2,FALSE)</f>
        <v>0</v>
      </c>
      <c r="AC22" s="185">
        <f>Y22*VLOOKUP($AC$13,Library!$T$4:$U$7,2,FALSE)</f>
        <v>0</v>
      </c>
      <c r="AD22" s="185">
        <f>Z22*VLOOKUP($AD$13,Library!$T$4:$U$7,2,FALSE)</f>
        <v>0</v>
      </c>
      <c r="AE22" s="218">
        <f>AA22*VLOOKUP($AE$13,Library!$T$4:$U$7,2,FALSE)</f>
        <v>0</v>
      </c>
      <c r="AG22" s="8"/>
    </row>
    <row r="23" spans="1:33" ht="14.4" x14ac:dyDescent="0.3">
      <c r="A23" s="86" t="s">
        <v>298</v>
      </c>
      <c r="B23" s="25">
        <f>VLOOKUP(A23,Library!$B$4:$C$57,2,FALSE)</f>
        <v>240.18</v>
      </c>
      <c r="C23" s="75">
        <f>VLOOKUP(A23,'Mod Wolfe v1'!$I$20:$J$21,2,FALSE)*('Mod Wolfe v1'!$G$12/'Mod Wolfe v1'!$G$19)</f>
        <v>0.08</v>
      </c>
      <c r="D23" s="26" t="s">
        <v>97</v>
      </c>
      <c r="E23" s="26">
        <f t="shared" si="0"/>
        <v>3.330835206928137E-4</v>
      </c>
      <c r="F23" s="25" t="s">
        <v>63</v>
      </c>
      <c r="G23" s="25">
        <v>2</v>
      </c>
      <c r="H23" s="25">
        <f>VLOOKUP(F23,Library!$K$4:$M$36,3,FALSE)</f>
        <v>1</v>
      </c>
      <c r="I23" s="25">
        <f t="shared" si="1"/>
        <v>6.6616704138562741E-4</v>
      </c>
      <c r="J23" s="178">
        <f>IF(F23="N/A",0,VLOOKUP(F23,Library!$K$4:$M$36,2,FALSE))</f>
        <v>28.989768999999999</v>
      </c>
      <c r="K23" s="183">
        <f t="shared" ref="K23" si="11">I23*(H23^2)</f>
        <v>6.6616704138562741E-4</v>
      </c>
      <c r="L23" s="28">
        <f t="shared" ref="L23" si="12">I23*J23</f>
        <v>1.9312028645182777E-2</v>
      </c>
      <c r="M23" s="86" t="s">
        <v>84</v>
      </c>
      <c r="N23" s="27">
        <v>1</v>
      </c>
      <c r="O23" s="25">
        <f>VLOOKUP(M23,Library!$K$4:$M$36,3,FALSE)</f>
        <v>-2</v>
      </c>
      <c r="P23" s="25">
        <f t="shared" si="4"/>
        <v>3.330835206928137E-4</v>
      </c>
      <c r="Q23" s="25">
        <f>IF(M23="N/A",0,VLOOKUP(M23,Library!$K$4:$N$36,2,FALSE))</f>
        <v>32.064999999999998</v>
      </c>
      <c r="R23" s="25">
        <f t="shared" si="5"/>
        <v>1.3323340827712548E-3</v>
      </c>
      <c r="S23" s="200">
        <f t="shared" si="6"/>
        <v>1.0680323091015071E-2</v>
      </c>
      <c r="T23" s="217">
        <f>VLOOKUP(A23,Library!$B$4:$G$69,3,FALSE)</f>
        <v>0</v>
      </c>
      <c r="U23" s="185">
        <f>VLOOKUP(A23,Library!$B$4:$G$69,4,FALSE)</f>
        <v>0</v>
      </c>
      <c r="V23" s="185">
        <f>VLOOKUP(A23,Library!$B$4:$G$69,5,FALSE)</f>
        <v>0</v>
      </c>
      <c r="W23" s="218">
        <f>VLOOKUP(A23,Library!$B$4:$G$69,6,FALSE)</f>
        <v>1</v>
      </c>
      <c r="X23" s="217">
        <f t="shared" si="7"/>
        <v>0</v>
      </c>
      <c r="Y23" s="185">
        <f t="shared" si="8"/>
        <v>0</v>
      </c>
      <c r="Z23" s="185">
        <f t="shared" si="9"/>
        <v>0</v>
      </c>
      <c r="AA23" s="218">
        <f t="shared" si="10"/>
        <v>3.330835206928137E-4</v>
      </c>
      <c r="AB23" s="217">
        <f>X23*VLOOKUP($AB$13,Library!$T$4:$U$7,2,FALSE)</f>
        <v>0</v>
      </c>
      <c r="AC23" s="185">
        <f>Y23*VLOOKUP($AC$13,Library!$T$4:$U$7,2,FALSE)</f>
        <v>0</v>
      </c>
      <c r="AD23" s="185">
        <f>Z23*VLOOKUP($AD$13,Library!$T$4:$U$7,2,FALSE)</f>
        <v>0</v>
      </c>
      <c r="AE23" s="218">
        <f>AA23*VLOOKUP($AE$13,Library!$T$4:$U$7,2,FALSE)</f>
        <v>1.0681988508618536E-2</v>
      </c>
      <c r="AG23" s="8"/>
    </row>
    <row r="24" spans="1:33" ht="14.4" x14ac:dyDescent="0.3">
      <c r="A24" s="86" t="s">
        <v>195</v>
      </c>
      <c r="B24" s="25">
        <f>VLOOKUP(A24,Library!$B$4:$C$57,2,FALSE)</f>
        <v>175.63</v>
      </c>
      <c r="C24" s="75">
        <f>VLOOKUP(A24,'Mod Wolfe v1'!$I$26:$J$28,2,FALSE)*('Mod Wolfe v1'!$J$26/'Mod Wolfe v1'!$J$28)*('Mod Wolfe v1'!$G$13/'Mod Wolfe v1'!$G$19)</f>
        <v>1.8511753500000002E-2</v>
      </c>
      <c r="D24" s="26" t="s">
        <v>97</v>
      </c>
      <c r="E24" s="26">
        <f t="shared" si="0"/>
        <v>1.0540200136650915E-4</v>
      </c>
      <c r="F24" s="25" t="s">
        <v>339</v>
      </c>
      <c r="G24" s="25">
        <v>1</v>
      </c>
      <c r="H24" s="25">
        <v>1</v>
      </c>
      <c r="I24" s="25">
        <f t="shared" si="1"/>
        <v>1.0540200136650915E-4</v>
      </c>
      <c r="J24" s="178">
        <f>IF(F24="N/A",0,VLOOKUP(F24,Library!$K$4:$M$36,2,FALSE))</f>
        <v>1.0078400000000001</v>
      </c>
      <c r="K24" s="183">
        <f t="shared" ref="K24" si="13">I24*(H24^2)</f>
        <v>1.0540200136650915E-4</v>
      </c>
      <c r="L24" s="28"/>
      <c r="M24" s="86" t="s">
        <v>70</v>
      </c>
      <c r="N24" s="27">
        <v>1</v>
      </c>
      <c r="O24" s="25">
        <f>VLOOKUP(M24,Library!$K$4:$M$36,3,FALSE)</f>
        <v>-1</v>
      </c>
      <c r="P24" s="25">
        <f t="shared" si="4"/>
        <v>1.0540200136650915E-4</v>
      </c>
      <c r="Q24" s="25">
        <f>IF(M24="N/A",0,VLOOKUP(M24,Library!$K$4:$N$36,2,FALSE))</f>
        <v>35.453000000000003</v>
      </c>
      <c r="R24" s="25">
        <f t="shared" si="5"/>
        <v>1.0540200136650915E-4</v>
      </c>
      <c r="S24" s="200">
        <f t="shared" si="6"/>
        <v>3.7368171544468493E-3</v>
      </c>
      <c r="T24" s="217">
        <f>VLOOKUP(A24,Library!$B$4:$G$69,3,FALSE)</f>
        <v>3</v>
      </c>
      <c r="U24" s="185">
        <f>VLOOKUP(A24,Library!$B$4:$G$69,4,FALSE)</f>
        <v>1</v>
      </c>
      <c r="V24" s="185">
        <f>VLOOKUP(A24,Library!$B$4:$G$69,5,FALSE)</f>
        <v>0</v>
      </c>
      <c r="W24" s="218">
        <f>VLOOKUP(A24,Library!$B$4:$G$69,6,FALSE)</f>
        <v>1</v>
      </c>
      <c r="X24" s="217">
        <f t="shared" si="7"/>
        <v>3.1620600409952744E-4</v>
      </c>
      <c r="Y24" s="185">
        <f t="shared" si="8"/>
        <v>1.0540200136650915E-4</v>
      </c>
      <c r="Z24" s="185">
        <f t="shared" si="9"/>
        <v>0</v>
      </c>
      <c r="AA24" s="218">
        <f t="shared" si="10"/>
        <v>1.0540200136650915E-4</v>
      </c>
      <c r="AB24" s="217">
        <f>X24*VLOOKUP($AB$13,Library!$T$4:$U$7,2,FALSE)</f>
        <v>3.7976341092353246E-3</v>
      </c>
      <c r="AC24" s="185">
        <f>Y24*VLOOKUP($AC$13,Library!$T$4:$U$7,2,FALSE)</f>
        <v>1.4766820391447931E-3</v>
      </c>
      <c r="AD24" s="185">
        <f>Z24*VLOOKUP($AD$13,Library!$T$4:$U$7,2,FALSE)</f>
        <v>0</v>
      </c>
      <c r="AE24" s="218">
        <f>AA24*VLOOKUP($AE$13,Library!$T$4:$U$7,2,FALSE)</f>
        <v>3.3802421838239486E-3</v>
      </c>
      <c r="AG24" s="8"/>
    </row>
    <row r="25" spans="1:33" ht="14.4" x14ac:dyDescent="0.3">
      <c r="A25" s="20" t="s">
        <v>2</v>
      </c>
      <c r="B25" s="234"/>
      <c r="C25" s="235"/>
      <c r="D25" s="235"/>
      <c r="E25" s="235"/>
      <c r="F25" s="234"/>
      <c r="G25" s="234"/>
      <c r="H25" s="234"/>
      <c r="I25" s="234"/>
      <c r="J25" s="236"/>
      <c r="K25" s="237"/>
      <c r="L25" s="238"/>
      <c r="M25" s="239"/>
      <c r="N25" s="234"/>
      <c r="O25" s="234"/>
      <c r="P25" s="234"/>
      <c r="Q25" s="234" t="e">
        <f>IF(M25="N/A",0,VLOOKUP(M25,Library!$K$4:$N$36,2,FALSE))</f>
        <v>#N/A</v>
      </c>
      <c r="R25" s="234"/>
      <c r="S25" s="240"/>
      <c r="T25" s="241"/>
      <c r="U25" s="242"/>
      <c r="V25" s="242"/>
      <c r="W25" s="243"/>
      <c r="X25" s="241"/>
      <c r="Y25" s="242"/>
      <c r="Z25" s="242"/>
      <c r="AA25" s="243"/>
      <c r="AB25" s="241"/>
      <c r="AC25" s="242"/>
      <c r="AD25" s="242"/>
      <c r="AE25" s="243"/>
      <c r="AG25" s="8"/>
    </row>
    <row r="26" spans="1:33" ht="14.4" x14ac:dyDescent="0.3">
      <c r="A26" s="25" t="s">
        <v>312</v>
      </c>
      <c r="B26" s="25">
        <f>VLOOKUP(A26,Library!$B$4:$C$57,2,FALSE)</f>
        <v>191.14</v>
      </c>
      <c r="C26" s="177">
        <f>VLOOKUP(A26,'Mod Wolfe v1'!$L$4:$M$14,2, FALSE)*'Mod Wolfe v1'!$G$14/'Mod Wolfe v1'!$G$19*1000</f>
        <v>11.15</v>
      </c>
      <c r="D26" s="26" t="s">
        <v>16</v>
      </c>
      <c r="E26" s="26">
        <f t="shared" ref="E26:E48" si="14">IF(D26="g/L",C26/B26,IF(D26="mg/L",C26/(1000*B26),IF(D26="ug/L",C26/(1000000*B26),"error")))</f>
        <v>5.8334205294548499E-5</v>
      </c>
      <c r="F26" s="25" t="s">
        <v>63</v>
      </c>
      <c r="G26" s="25">
        <v>3</v>
      </c>
      <c r="H26" s="25">
        <f>VLOOKUP(F26,Library!$K$4:$M$36,3,FALSE)</f>
        <v>1</v>
      </c>
      <c r="I26" s="25">
        <f t="shared" si="1"/>
        <v>1.7500261588364549E-4</v>
      </c>
      <c r="J26" s="178">
        <f>IF(F26="N/A",0,VLOOKUP(F26,Library!$K$4:$M$36,2,FALSE))</f>
        <v>28.989768999999999</v>
      </c>
      <c r="K26" s="183">
        <f t="shared" si="2"/>
        <v>1.7500261588364549E-4</v>
      </c>
      <c r="L26" s="28">
        <f t="shared" si="3"/>
        <v>5.0732854088626133E-3</v>
      </c>
      <c r="M26" s="86" t="s">
        <v>111</v>
      </c>
      <c r="N26" s="27">
        <v>1</v>
      </c>
      <c r="O26" s="25">
        <f>VLOOKUP(M26,Library!$K$4:$M$36,3,FALSE)</f>
        <v>-3</v>
      </c>
      <c r="P26" s="25">
        <f t="shared" si="4"/>
        <v>5.8334205294548499E-5</v>
      </c>
      <c r="Q26" s="25">
        <f>IF(M26="N/A",0,VLOOKUP(M26,Library!$K$4:$N$36,2,FALSE))</f>
        <v>191.14</v>
      </c>
      <c r="R26" s="25">
        <f t="shared" si="5"/>
        <v>5.250078476509365E-4</v>
      </c>
      <c r="S26" s="200">
        <f t="shared" si="6"/>
        <v>1.115E-2</v>
      </c>
      <c r="T26" s="217">
        <f>VLOOKUP(A26,Library!$B$4:$G$69,3,FALSE)</f>
        <v>6</v>
      </c>
      <c r="U26" s="185">
        <f>VLOOKUP(A26,Library!$B$4:$G$69,4,FALSE)</f>
        <v>1</v>
      </c>
      <c r="V26" s="185">
        <f>VLOOKUP(A26,Library!$B$4:$G$69,5,FALSE)</f>
        <v>0</v>
      </c>
      <c r="W26" s="218">
        <f>VLOOKUP(A26,Library!$B$4:$G$69,6,FALSE)</f>
        <v>0</v>
      </c>
      <c r="X26" s="217">
        <f t="shared" ref="X26:X48" si="15">T26*E26</f>
        <v>3.5000523176729098E-4</v>
      </c>
      <c r="Y26" s="185">
        <f t="shared" ref="Y26:Y48" si="16">U26*E26</f>
        <v>5.8334205294548499E-5</v>
      </c>
      <c r="Z26" s="185">
        <f t="shared" ref="Z26:Z48" si="17">V26*E26</f>
        <v>0</v>
      </c>
      <c r="AA26" s="218">
        <f t="shared" ref="AA26:AA48" si="18">W26*E26</f>
        <v>0</v>
      </c>
      <c r="AB26" s="217">
        <f>X26*VLOOKUP($AB$13,Library!$T$4:$U$7,2,FALSE)</f>
        <v>4.2035628335251648E-3</v>
      </c>
      <c r="AC26" s="185">
        <f>Y26*VLOOKUP($AC$13,Library!$T$4:$U$7,2,FALSE)</f>
        <v>8.1726221617662448E-4</v>
      </c>
      <c r="AD26" s="185">
        <f>Z26*VLOOKUP($AD$13,Library!$T$4:$U$7,2,FALSE)</f>
        <v>0</v>
      </c>
      <c r="AE26" s="218">
        <f>AA26*VLOOKUP($AE$13,Library!$T$4:$U$7,2,FALSE)</f>
        <v>0</v>
      </c>
      <c r="AG26" s="8"/>
    </row>
    <row r="27" spans="1:33" ht="14.4" x14ac:dyDescent="0.3">
      <c r="A27" s="25" t="s">
        <v>17</v>
      </c>
      <c r="B27" s="25">
        <f>VLOOKUP(A27,Library!$B$4:$C$57,2,FALSE)</f>
        <v>392.14</v>
      </c>
      <c r="C27" s="177">
        <f>VLOOKUP(A27,'Mod Wolfe v1'!$L$4:$M$14,2, FALSE)*'Mod Wolfe v1'!$G$14/'Mod Wolfe v1'!$G$19*1000</f>
        <v>8</v>
      </c>
      <c r="D27" s="26" t="s">
        <v>16</v>
      </c>
      <c r="E27" s="26">
        <f t="shared" si="14"/>
        <v>2.0400877237721223E-5</v>
      </c>
      <c r="F27" s="25" t="s">
        <v>80</v>
      </c>
      <c r="G27" s="25">
        <v>2</v>
      </c>
      <c r="H27" s="25">
        <f>VLOOKUP(F27,Library!$K$4:$M$36,3,FALSE)</f>
        <v>2</v>
      </c>
      <c r="I27" s="25">
        <f t="shared" si="1"/>
        <v>4.0801754475442447E-5</v>
      </c>
      <c r="J27" s="178">
        <f>IF(F27="N/A",0,VLOOKUP(F27,Library!$K$4:$M$36,2,FALSE))</f>
        <v>55.844999999999999</v>
      </c>
      <c r="K27" s="183">
        <f t="shared" si="2"/>
        <v>1.6320701790176979E-4</v>
      </c>
      <c r="L27" s="28">
        <f t="shared" si="3"/>
        <v>2.2785739786810835E-3</v>
      </c>
      <c r="M27" s="86" t="s">
        <v>69</v>
      </c>
      <c r="N27" s="27">
        <v>2</v>
      </c>
      <c r="O27" s="25">
        <f>VLOOKUP(M27,Library!$K$4:$M$36,3,FALSE)</f>
        <v>-2</v>
      </c>
      <c r="P27" s="25">
        <f t="shared" si="4"/>
        <v>4.0801754475442447E-5</v>
      </c>
      <c r="Q27" s="25">
        <f>IF(M27="N/A",0,VLOOKUP(M27,Library!$K$4:$N$36,2,FALSE))</f>
        <v>96.06</v>
      </c>
      <c r="R27" s="25">
        <f t="shared" si="5"/>
        <v>1.6320701790176979E-4</v>
      </c>
      <c r="S27" s="200">
        <f t="shared" si="6"/>
        <v>3.9194165349110011E-3</v>
      </c>
      <c r="T27" s="217">
        <f>VLOOKUP(A27,Library!$B$4:$G$69,3,FALSE)</f>
        <v>0</v>
      </c>
      <c r="U27" s="185">
        <f>VLOOKUP(A27,Library!$B$4:$G$69,4,FALSE)</f>
        <v>2</v>
      </c>
      <c r="V27" s="185">
        <f>VLOOKUP(A27,Library!$B$4:$G$69,5,FALSE)</f>
        <v>0</v>
      </c>
      <c r="W27" s="218">
        <f>VLOOKUP(A27,Library!$B$4:$G$69,6,FALSE)</f>
        <v>2</v>
      </c>
      <c r="X27" s="217">
        <f t="shared" si="15"/>
        <v>0</v>
      </c>
      <c r="Y27" s="185">
        <f t="shared" si="16"/>
        <v>4.0801754475442447E-5</v>
      </c>
      <c r="Z27" s="185">
        <f t="shared" si="17"/>
        <v>0</v>
      </c>
      <c r="AA27" s="218">
        <f t="shared" si="18"/>
        <v>4.0801754475442447E-5</v>
      </c>
      <c r="AB27" s="217">
        <f>X27*VLOOKUP($AB$13,Library!$T$4:$U$7,2,FALSE)</f>
        <v>0</v>
      </c>
      <c r="AC27" s="185">
        <f>Y27*VLOOKUP($AC$13,Library!$T$4:$U$7,2,FALSE)</f>
        <v>5.7163258020094868E-4</v>
      </c>
      <c r="AD27" s="185">
        <f>Z27*VLOOKUP($AD$13,Library!$T$4:$U$7,2,FALSE)</f>
        <v>0</v>
      </c>
      <c r="AE27" s="218">
        <f>AA27*VLOOKUP($AE$13,Library!$T$4:$U$7,2,FALSE)</f>
        <v>1.3085122660274392E-3</v>
      </c>
      <c r="AG27" s="8"/>
    </row>
    <row r="28" spans="1:33" ht="14.4" x14ac:dyDescent="0.3">
      <c r="A28" s="25" t="s">
        <v>17</v>
      </c>
      <c r="B28" s="25">
        <f>VLOOKUP(A28,Library!$B$4:$C$57,2,FALSE)</f>
        <v>392.14</v>
      </c>
      <c r="C28" s="177">
        <f>VLOOKUP(A28,'Mod Wolfe v1'!$L$4:$M$14,2, FALSE)*'Mod Wolfe v1'!$G$14/'Mod Wolfe v1'!$G$19*1000</f>
        <v>8</v>
      </c>
      <c r="D28" s="26" t="s">
        <v>16</v>
      </c>
      <c r="E28" s="26">
        <f t="shared" si="14"/>
        <v>2.0400877237721223E-5</v>
      </c>
      <c r="F28" s="25" t="s">
        <v>78</v>
      </c>
      <c r="G28" s="25">
        <v>2</v>
      </c>
      <c r="H28" s="25">
        <f>VLOOKUP(F28,Library!$K$4:$M$36,3,FALSE)</f>
        <v>1</v>
      </c>
      <c r="I28" s="25">
        <f t="shared" si="1"/>
        <v>4.0801754475442447E-5</v>
      </c>
      <c r="J28" s="178">
        <f>IF(F28="N/A",0,VLOOKUP(F28,Library!$K$4:$M$36,2,FALSE))</f>
        <v>18.04</v>
      </c>
      <c r="K28" s="183">
        <f t="shared" si="2"/>
        <v>4.0801754475442447E-5</v>
      </c>
      <c r="L28" s="28">
        <f t="shared" si="3"/>
        <v>7.3606365073698168E-4</v>
      </c>
      <c r="M28" s="86"/>
      <c r="N28" s="27"/>
      <c r="O28" s="25"/>
      <c r="P28" s="25">
        <f t="shared" si="4"/>
        <v>0</v>
      </c>
      <c r="Q28" s="25"/>
      <c r="R28" s="25">
        <f t="shared" si="5"/>
        <v>0</v>
      </c>
      <c r="S28" s="200">
        <f t="shared" si="6"/>
        <v>0</v>
      </c>
      <c r="T28" s="241"/>
      <c r="U28" s="242"/>
      <c r="V28" s="242"/>
      <c r="W28" s="243"/>
      <c r="X28" s="241"/>
      <c r="Y28" s="242"/>
      <c r="Z28" s="242"/>
      <c r="AA28" s="243"/>
      <c r="AB28" s="241"/>
      <c r="AC28" s="242"/>
      <c r="AD28" s="242"/>
      <c r="AE28" s="243"/>
      <c r="AG28" s="8"/>
    </row>
    <row r="29" spans="1:33" ht="14.4" x14ac:dyDescent="0.3">
      <c r="A29" s="25" t="s">
        <v>336</v>
      </c>
      <c r="B29" s="25">
        <f>VLOOKUP(A29,Library!$B$4:$C$57,2,FALSE)</f>
        <v>172.94</v>
      </c>
      <c r="C29" s="177">
        <f>VLOOKUP(A29,'Mod Wolfe v1'!$L$4:$M$14,2, FALSE)*'Mod Wolfe v1'!$G$14/'Mod Wolfe v1'!$G$19*1000</f>
        <v>2</v>
      </c>
      <c r="D29" s="26" t="s">
        <v>16</v>
      </c>
      <c r="E29" s="26">
        <f t="shared" si="14"/>
        <v>1.1564704521799469E-5</v>
      </c>
      <c r="F29" s="25" t="s">
        <v>63</v>
      </c>
      <c r="G29" s="25">
        <v>1</v>
      </c>
      <c r="H29" s="25">
        <f>VLOOKUP(F29,Library!$K$4:$M$36,3,FALSE)</f>
        <v>1</v>
      </c>
      <c r="I29" s="25">
        <f t="shared" si="1"/>
        <v>1.1564704521799469E-5</v>
      </c>
      <c r="J29" s="178">
        <f>IF(F29="N/A",0,VLOOKUP(F29,Library!$K$4:$M$36,2,FALSE))</f>
        <v>28.989768999999999</v>
      </c>
      <c r="K29" s="183">
        <f t="shared" si="2"/>
        <v>1.1564704521799469E-5</v>
      </c>
      <c r="L29" s="28">
        <f t="shared" si="3"/>
        <v>3.3525811264022208E-4</v>
      </c>
      <c r="M29" s="86" t="s">
        <v>115</v>
      </c>
      <c r="N29" s="27">
        <v>1</v>
      </c>
      <c r="O29" s="25">
        <f>VLOOKUP(M29,Library!$K$4:$M$36,3,FALSE)</f>
        <v>-2</v>
      </c>
      <c r="P29" s="25">
        <f t="shared" si="4"/>
        <v>1.1564704521799469E-5</v>
      </c>
      <c r="Q29" s="25">
        <f>IF(M29="N/A",0,VLOOKUP(M29,Library!$K$4:$N$36,2,FALSE))</f>
        <v>126.968</v>
      </c>
      <c r="R29" s="25">
        <f t="shared" si="5"/>
        <v>4.6258818087197875E-5</v>
      </c>
      <c r="S29" s="200">
        <f t="shared" si="6"/>
        <v>1.468347403723835E-3</v>
      </c>
      <c r="T29" s="217">
        <f>VLOOKUP(A29,Library!$B$4:$G$69,3,FALSE)</f>
        <v>0</v>
      </c>
      <c r="U29" s="185">
        <f>VLOOKUP(A29,Library!$B$4:$G$69,4,FALSE)</f>
        <v>0</v>
      </c>
      <c r="V29" s="185">
        <f>VLOOKUP(A29,Library!$B$4:$G$69,5,FALSE)</f>
        <v>0</v>
      </c>
      <c r="W29" s="218">
        <f>VLOOKUP(A29,Library!$B$4:$G$69,6,FALSE)</f>
        <v>0</v>
      </c>
      <c r="X29" s="217">
        <f t="shared" si="15"/>
        <v>0</v>
      </c>
      <c r="Y29" s="185">
        <f t="shared" si="16"/>
        <v>0</v>
      </c>
      <c r="Z29" s="185">
        <f t="shared" si="17"/>
        <v>0</v>
      </c>
      <c r="AA29" s="218">
        <f t="shared" si="18"/>
        <v>0</v>
      </c>
      <c r="AB29" s="217">
        <f>X29*VLOOKUP($AB$13,Library!$T$4:$U$7,2,FALSE)</f>
        <v>0</v>
      </c>
      <c r="AC29" s="185">
        <f>Y29*VLOOKUP($AC$13,Library!$T$4:$U$7,2,FALSE)</f>
        <v>0</v>
      </c>
      <c r="AD29" s="185">
        <f>Z29*VLOOKUP($AD$13,Library!$T$4:$U$7,2,FALSE)</f>
        <v>0</v>
      </c>
      <c r="AE29" s="218">
        <f>AA29*VLOOKUP($AE$13,Library!$T$4:$U$7,2,FALSE)</f>
        <v>0</v>
      </c>
      <c r="AG29" s="8"/>
    </row>
    <row r="30" spans="1:33" ht="14.4" x14ac:dyDescent="0.3">
      <c r="A30" s="25" t="s">
        <v>23</v>
      </c>
      <c r="B30" s="25">
        <f>VLOOKUP(A30,Library!$B$4:$C$57,2,FALSE)</f>
        <v>287.52999999999997</v>
      </c>
      <c r="C30" s="177">
        <f>VLOOKUP(A30,'Mod Wolfe v1'!$L$4:$M$14,2, FALSE)*'Mod Wolfe v1'!$G$14/'Mod Wolfe v1'!$G$19*1000</f>
        <v>1</v>
      </c>
      <c r="D30" s="26" t="s">
        <v>16</v>
      </c>
      <c r="E30" s="26">
        <f t="shared" si="14"/>
        <v>3.4778979584738982E-6</v>
      </c>
      <c r="F30" s="25" t="s">
        <v>73</v>
      </c>
      <c r="G30" s="25">
        <v>1</v>
      </c>
      <c r="H30" s="25">
        <f>VLOOKUP(F30,Library!$K$4:$M$36,3,FALSE)</f>
        <v>2</v>
      </c>
      <c r="I30" s="25">
        <f t="shared" si="1"/>
        <v>3.4778979584738982E-6</v>
      </c>
      <c r="J30" s="178">
        <f>IF(F30="N/A",0,VLOOKUP(F30,Library!$K$4:$M$36,2,FALSE))</f>
        <v>65.926034000000001</v>
      </c>
      <c r="K30" s="183">
        <f t="shared" si="2"/>
        <v>1.3911591833895593E-5</v>
      </c>
      <c r="L30" s="28">
        <f t="shared" si="3"/>
        <v>2.2928401905888081E-4</v>
      </c>
      <c r="M30" s="86" t="s">
        <v>69</v>
      </c>
      <c r="N30" s="27">
        <v>1</v>
      </c>
      <c r="O30" s="25">
        <f>VLOOKUP(M30,Library!$K$4:$M$36,3,FALSE)</f>
        <v>-2</v>
      </c>
      <c r="P30" s="25">
        <f t="shared" si="4"/>
        <v>3.4778979584738982E-6</v>
      </c>
      <c r="Q30" s="25">
        <f>IF(M30="N/A",0,VLOOKUP(M30,Library!$K$4:$N$36,2,FALSE))</f>
        <v>96.06</v>
      </c>
      <c r="R30" s="25">
        <f t="shared" si="5"/>
        <v>1.3911591833895593E-5</v>
      </c>
      <c r="S30" s="200">
        <f t="shared" si="6"/>
        <v>3.3408687789100266E-4</v>
      </c>
      <c r="T30" s="217">
        <f>VLOOKUP(A30,Library!$B$4:$G$69,3,FALSE)</f>
        <v>0</v>
      </c>
      <c r="U30" s="185">
        <f>VLOOKUP(A30,Library!$B$4:$G$69,4,FALSE)</f>
        <v>0</v>
      </c>
      <c r="V30" s="185">
        <f>VLOOKUP(A30,Library!$B$4:$G$69,5,FALSE)</f>
        <v>0</v>
      </c>
      <c r="W30" s="218">
        <f>VLOOKUP(A30,Library!$B$4:$G$69,6,FALSE)</f>
        <v>1</v>
      </c>
      <c r="X30" s="217">
        <f t="shared" si="15"/>
        <v>0</v>
      </c>
      <c r="Y30" s="185">
        <f t="shared" si="16"/>
        <v>0</v>
      </c>
      <c r="Z30" s="185">
        <f t="shared" si="17"/>
        <v>0</v>
      </c>
      <c r="AA30" s="218">
        <f t="shared" si="18"/>
        <v>3.4778979584738982E-6</v>
      </c>
      <c r="AB30" s="217">
        <f>X30*VLOOKUP($AB$13,Library!$T$4:$U$7,2,FALSE)</f>
        <v>0</v>
      </c>
      <c r="AC30" s="185">
        <f>Y30*VLOOKUP($AC$13,Library!$T$4:$U$7,2,FALSE)</f>
        <v>0</v>
      </c>
      <c r="AD30" s="185">
        <f>Z30*VLOOKUP($AD$13,Library!$T$4:$U$7,2,FALSE)</f>
        <v>0</v>
      </c>
      <c r="AE30" s="218">
        <f>AA30*VLOOKUP($AE$13,Library!$T$4:$U$7,2,FALSE)</f>
        <v>1.1153618752825792E-4</v>
      </c>
      <c r="AG30" s="8"/>
    </row>
    <row r="31" spans="1:33" ht="14.4" x14ac:dyDescent="0.3">
      <c r="A31" s="25" t="s">
        <v>27</v>
      </c>
      <c r="B31" s="25">
        <f>VLOOKUP(A31,Library!$B$4:$C$57,2,FALSE)</f>
        <v>329.85</v>
      </c>
      <c r="C31" s="177">
        <f>VLOOKUP(A31,'Mod Wolfe v1'!$L$4:$M$14,2, FALSE)*'Mod Wolfe v1'!$G$14/'Mod Wolfe v1'!$G$19*1000</f>
        <v>1</v>
      </c>
      <c r="D31" s="26" t="s">
        <v>16</v>
      </c>
      <c r="E31" s="26">
        <f t="shared" si="14"/>
        <v>3.0316810671517355E-6</v>
      </c>
      <c r="F31" s="25" t="s">
        <v>63</v>
      </c>
      <c r="G31" s="25">
        <v>1</v>
      </c>
      <c r="H31" s="25">
        <f>VLOOKUP(F31,Library!$K$4:$M$36,3,FALSE)</f>
        <v>1</v>
      </c>
      <c r="I31" s="25">
        <f t="shared" si="1"/>
        <v>3.0316810671517355E-6</v>
      </c>
      <c r="J31" s="178">
        <f>IF(F31="N/A",0,VLOOKUP(F31,Library!$K$4:$M$36,2,FALSE))</f>
        <v>28.989768999999999</v>
      </c>
      <c r="K31" s="183">
        <f t="shared" si="2"/>
        <v>3.0316810671517355E-6</v>
      </c>
      <c r="L31" s="28">
        <f t="shared" si="3"/>
        <v>8.7887733818402304E-5</v>
      </c>
      <c r="M31" s="86" t="s">
        <v>112</v>
      </c>
      <c r="N31" s="27">
        <v>1</v>
      </c>
      <c r="O31" s="25">
        <f>VLOOKUP(M31,Library!$K$4:$M$36,3,FALSE)</f>
        <v>-1</v>
      </c>
      <c r="P31" s="25">
        <f t="shared" si="4"/>
        <v>3.0316810671517355E-6</v>
      </c>
      <c r="Q31" s="25">
        <f>IF(M31="N/A",0,VLOOKUP(M31,Library!$K$4:$N$36,2,FALSE))</f>
        <v>247.84</v>
      </c>
      <c r="R31" s="25">
        <f t="shared" si="5"/>
        <v>3.0316810671517355E-6</v>
      </c>
      <c r="S31" s="200">
        <f t="shared" si="6"/>
        <v>7.5137183568288609E-4</v>
      </c>
      <c r="T31" s="217">
        <f>VLOOKUP(A31,Library!$B$4:$G$69,3,FALSE)</f>
        <v>0</v>
      </c>
      <c r="U31" s="185">
        <f>VLOOKUP(A31,Library!$B$4:$G$69,4,FALSE)</f>
        <v>0</v>
      </c>
      <c r="V31" s="185">
        <f>VLOOKUP(A31,Library!$B$4:$G$69,5,FALSE)</f>
        <v>0</v>
      </c>
      <c r="W31" s="218">
        <f>VLOOKUP(A31,Library!$B$4:$G$69,6,FALSE)</f>
        <v>0</v>
      </c>
      <c r="X31" s="217">
        <f t="shared" si="15"/>
        <v>0</v>
      </c>
      <c r="Y31" s="185">
        <f t="shared" si="16"/>
        <v>0</v>
      </c>
      <c r="Z31" s="185">
        <f t="shared" si="17"/>
        <v>0</v>
      </c>
      <c r="AA31" s="218">
        <f t="shared" si="18"/>
        <v>0</v>
      </c>
      <c r="AB31" s="217">
        <f>X31*VLOOKUP($AB$13,Library!$T$4:$U$7,2,FALSE)</f>
        <v>0</v>
      </c>
      <c r="AC31" s="185">
        <f>Y31*VLOOKUP($AC$13,Library!$T$4:$U$7,2,FALSE)</f>
        <v>0</v>
      </c>
      <c r="AD31" s="185">
        <f>Z31*VLOOKUP($AD$13,Library!$T$4:$U$7,2,FALSE)</f>
        <v>0</v>
      </c>
      <c r="AE31" s="218">
        <f>AA31*VLOOKUP($AE$13,Library!$T$4:$U$7,2,FALSE)</f>
        <v>0</v>
      </c>
      <c r="AG31" s="8"/>
    </row>
    <row r="32" spans="1:33" ht="14.4" x14ac:dyDescent="0.3">
      <c r="A32" s="25" t="s">
        <v>31</v>
      </c>
      <c r="B32" s="25">
        <f>VLOOKUP(A32,Library!$B$4:$C$57,2,FALSE)</f>
        <v>61.83</v>
      </c>
      <c r="C32" s="177">
        <f>VLOOKUP(A32,'Mod Wolfe v1'!$L$4:$M$14,2, FALSE)*'Mod Wolfe v1'!$G$14/'Mod Wolfe v1'!$G$19*1000</f>
        <v>0.1</v>
      </c>
      <c r="D32" s="26" t="s">
        <v>16</v>
      </c>
      <c r="E32" s="26">
        <f t="shared" si="14"/>
        <v>1.6173378618793466E-6</v>
      </c>
      <c r="F32" s="25" t="s">
        <v>339</v>
      </c>
      <c r="G32" s="25">
        <v>0</v>
      </c>
      <c r="H32" s="25">
        <f>VLOOKUP(F32,Library!$K$4:$M$36,3,FALSE)</f>
        <v>1</v>
      </c>
      <c r="I32" s="25">
        <f t="shared" si="1"/>
        <v>0</v>
      </c>
      <c r="J32" s="178">
        <f>IF(F32="N/A",0,VLOOKUP(F32,Library!$K$4:$M$36,2,FALSE))</f>
        <v>1.0078400000000001</v>
      </c>
      <c r="K32" s="183">
        <f t="shared" si="2"/>
        <v>0</v>
      </c>
      <c r="L32" s="28">
        <f t="shared" si="3"/>
        <v>0</v>
      </c>
      <c r="M32" s="86" t="s">
        <v>113</v>
      </c>
      <c r="N32" s="27">
        <v>1</v>
      </c>
      <c r="O32" s="25">
        <f>VLOOKUP(M32,Library!$K$4:$M$36,3,FALSE)</f>
        <v>-3</v>
      </c>
      <c r="P32" s="25">
        <f t="shared" si="4"/>
        <v>1.6173378618793466E-6</v>
      </c>
      <c r="Q32" s="25">
        <f>IF(M32="N/A",0,VLOOKUP(M32,Library!$K$4:$N$36,2,FALSE))</f>
        <v>58.81</v>
      </c>
      <c r="R32" s="25">
        <f t="shared" si="5"/>
        <v>1.4556040756914119E-5</v>
      </c>
      <c r="S32" s="200">
        <f t="shared" si="6"/>
        <v>9.5115639657124374E-5</v>
      </c>
      <c r="T32" s="217">
        <f>VLOOKUP(A32,Library!$B$4:$G$69,3,FALSE)</f>
        <v>0</v>
      </c>
      <c r="U32" s="185">
        <f>VLOOKUP(A32,Library!$B$4:$G$69,4,FALSE)</f>
        <v>0</v>
      </c>
      <c r="V32" s="185">
        <f>VLOOKUP(A32,Library!$B$4:$G$69,5,FALSE)</f>
        <v>0</v>
      </c>
      <c r="W32" s="218">
        <f>VLOOKUP(A32,Library!$B$4:$G$69,6,FALSE)</f>
        <v>0</v>
      </c>
      <c r="X32" s="217">
        <f t="shared" si="15"/>
        <v>0</v>
      </c>
      <c r="Y32" s="185">
        <f t="shared" si="16"/>
        <v>0</v>
      </c>
      <c r="Z32" s="185">
        <f t="shared" si="17"/>
        <v>0</v>
      </c>
      <c r="AA32" s="218">
        <f t="shared" si="18"/>
        <v>0</v>
      </c>
      <c r="AB32" s="217">
        <f>X32*VLOOKUP($AB$13,Library!$T$4:$U$7,2,FALSE)</f>
        <v>0</v>
      </c>
      <c r="AC32" s="185">
        <f>Y32*VLOOKUP($AC$13,Library!$T$4:$U$7,2,FALSE)</f>
        <v>0</v>
      </c>
      <c r="AD32" s="185">
        <f>Z32*VLOOKUP($AD$13,Library!$T$4:$U$7,2,FALSE)</f>
        <v>0</v>
      </c>
      <c r="AE32" s="218">
        <f>AA32*VLOOKUP($AE$13,Library!$T$4:$U$7,2,FALSE)</f>
        <v>0</v>
      </c>
      <c r="AG32" s="8"/>
    </row>
    <row r="33" spans="1:33" ht="14.4" x14ac:dyDescent="0.3">
      <c r="A33" s="25" t="s">
        <v>35</v>
      </c>
      <c r="B33" s="25">
        <f>VLOOKUP(A33,Library!$B$4:$C$57,2,FALSE)</f>
        <v>237.93</v>
      </c>
      <c r="C33" s="177">
        <f>VLOOKUP(A33,'Mod Wolfe v1'!$L$4:$M$14,2, FALSE)*'Mod Wolfe v1'!$G$14/'Mod Wolfe v1'!$G$19*1000</f>
        <v>1</v>
      </c>
      <c r="D33" s="26" t="s">
        <v>16</v>
      </c>
      <c r="E33" s="26">
        <f t="shared" si="14"/>
        <v>4.2029168242760473E-6</v>
      </c>
      <c r="F33" s="25" t="s">
        <v>75</v>
      </c>
      <c r="G33" s="25">
        <v>1</v>
      </c>
      <c r="H33" s="25">
        <f>VLOOKUP(F33,Library!$K$4:$M$36,3,FALSE)</f>
        <v>2</v>
      </c>
      <c r="I33" s="25">
        <f t="shared" si="1"/>
        <v>4.2029168242760473E-6</v>
      </c>
      <c r="J33" s="178">
        <f>IF(F33="N/A",0,VLOOKUP(F33,Library!$K$4:$M$36,2,FALSE))</f>
        <v>58.933190000000003</v>
      </c>
      <c r="K33" s="183">
        <f t="shared" si="2"/>
        <v>1.6811667297104189E-5</v>
      </c>
      <c r="L33" s="28">
        <f t="shared" si="3"/>
        <v>2.476912957592569E-4</v>
      </c>
      <c r="M33" s="86" t="s">
        <v>70</v>
      </c>
      <c r="N33" s="27">
        <v>2</v>
      </c>
      <c r="O33" s="25">
        <f>VLOOKUP(M33,Library!$K$4:$M$36,3,FALSE)</f>
        <v>-1</v>
      </c>
      <c r="P33" s="25">
        <f t="shared" si="4"/>
        <v>8.4058336485520945E-6</v>
      </c>
      <c r="Q33" s="25">
        <f>IF(M33="N/A",0,VLOOKUP(M33,Library!$K$4:$N$36,2,FALSE))</f>
        <v>35.453000000000003</v>
      </c>
      <c r="R33" s="25">
        <f t="shared" si="5"/>
        <v>8.4058336485520945E-6</v>
      </c>
      <c r="S33" s="200">
        <f t="shared" si="6"/>
        <v>2.9801202034211743E-4</v>
      </c>
      <c r="T33" s="217">
        <f>VLOOKUP(A33,Library!$B$4:$G$69,3,FALSE)</f>
        <v>0</v>
      </c>
      <c r="U33" s="185">
        <f>VLOOKUP(A33,Library!$B$4:$G$69,4,FALSE)</f>
        <v>0</v>
      </c>
      <c r="V33" s="185">
        <f>VLOOKUP(A33,Library!$B$4:$G$69,5,FALSE)</f>
        <v>0</v>
      </c>
      <c r="W33" s="218">
        <f>VLOOKUP(A33,Library!$B$4:$G$69,6,FALSE)</f>
        <v>0</v>
      </c>
      <c r="X33" s="217">
        <f t="shared" si="15"/>
        <v>0</v>
      </c>
      <c r="Y33" s="185">
        <f t="shared" si="16"/>
        <v>0</v>
      </c>
      <c r="Z33" s="185">
        <f t="shared" si="17"/>
        <v>0</v>
      </c>
      <c r="AA33" s="218">
        <f t="shared" si="18"/>
        <v>0</v>
      </c>
      <c r="AB33" s="217">
        <f>X33*VLOOKUP($AB$13,Library!$T$4:$U$7,2,FALSE)</f>
        <v>0</v>
      </c>
      <c r="AC33" s="185">
        <f>Y33*VLOOKUP($AC$13,Library!$T$4:$U$7,2,FALSE)</f>
        <v>0</v>
      </c>
      <c r="AD33" s="185">
        <f>Z33*VLOOKUP($AD$13,Library!$T$4:$U$7,2,FALSE)</f>
        <v>0</v>
      </c>
      <c r="AE33" s="218">
        <f>AA33*VLOOKUP($AE$13,Library!$T$4:$U$7,2,FALSE)</f>
        <v>0</v>
      </c>
      <c r="AG33" s="8"/>
    </row>
    <row r="34" spans="1:33" ht="14.4" x14ac:dyDescent="0.3">
      <c r="A34" s="25" t="s">
        <v>39</v>
      </c>
      <c r="B34" s="25">
        <f>VLOOKUP(A34,Library!$B$4:$C$57,2,FALSE)</f>
        <v>249.68</v>
      </c>
      <c r="C34" s="177">
        <f>VLOOKUP(A34,'Mod Wolfe v1'!$L$4:$M$14,2, FALSE)*'Mod Wolfe v1'!$G$14/'Mod Wolfe v1'!$G$19*1000</f>
        <v>0.1</v>
      </c>
      <c r="D34" s="26" t="s">
        <v>16</v>
      </c>
      <c r="E34" s="26">
        <f t="shared" si="14"/>
        <v>4.0051265619993596E-7</v>
      </c>
      <c r="F34" s="25" t="s">
        <v>81</v>
      </c>
      <c r="G34" s="25">
        <v>1</v>
      </c>
      <c r="H34" s="25">
        <f>VLOOKUP(F34,Library!$K$4:$M$36,3,FALSE)</f>
        <v>2</v>
      </c>
      <c r="I34" s="25">
        <f t="shared" si="1"/>
        <v>4.0051265619993596E-7</v>
      </c>
      <c r="J34" s="178">
        <f>IF(F34="N/A",0,VLOOKUP(F34,Library!$K$4:$M$36,2,FALSE))</f>
        <v>187.56</v>
      </c>
      <c r="K34" s="183">
        <f t="shared" si="2"/>
        <v>1.6020506247997439E-6</v>
      </c>
      <c r="L34" s="28">
        <f t="shared" si="3"/>
        <v>7.5120153796859985E-5</v>
      </c>
      <c r="M34" s="86" t="s">
        <v>69</v>
      </c>
      <c r="N34" s="27">
        <v>1</v>
      </c>
      <c r="O34" s="25">
        <f>VLOOKUP(M34,Library!$K$4:$M$36,3,FALSE)</f>
        <v>-2</v>
      </c>
      <c r="P34" s="25">
        <f t="shared" si="4"/>
        <v>4.0051265619993596E-7</v>
      </c>
      <c r="Q34" s="25">
        <f>IF(M34="N/A",0,VLOOKUP(M34,Library!$K$4:$N$36,2,FALSE))</f>
        <v>96.06</v>
      </c>
      <c r="R34" s="25">
        <f t="shared" si="5"/>
        <v>1.6020506247997439E-6</v>
      </c>
      <c r="S34" s="200">
        <f t="shared" si="6"/>
        <v>3.8473245754565849E-5</v>
      </c>
      <c r="T34" s="217">
        <f>VLOOKUP(A34,Library!$B$4:$G$69,3,FALSE)</f>
        <v>0</v>
      </c>
      <c r="U34" s="185">
        <f>VLOOKUP(A34,Library!$B$4:$G$69,4,FALSE)</f>
        <v>0</v>
      </c>
      <c r="V34" s="185">
        <f>VLOOKUP(A34,Library!$B$4:$G$69,5,FALSE)</f>
        <v>0</v>
      </c>
      <c r="W34" s="218">
        <f>VLOOKUP(A34,Library!$B$4:$G$69,6,FALSE)</f>
        <v>1</v>
      </c>
      <c r="X34" s="217">
        <f t="shared" si="15"/>
        <v>0</v>
      </c>
      <c r="Y34" s="185">
        <f t="shared" si="16"/>
        <v>0</v>
      </c>
      <c r="Z34" s="185">
        <f t="shared" si="17"/>
        <v>0</v>
      </c>
      <c r="AA34" s="218">
        <f t="shared" si="18"/>
        <v>4.0051265619993596E-7</v>
      </c>
      <c r="AB34" s="217">
        <f>X34*VLOOKUP($AB$13,Library!$T$4:$U$7,2,FALSE)</f>
        <v>0</v>
      </c>
      <c r="AC34" s="185">
        <f>Y34*VLOOKUP($AC$13,Library!$T$4:$U$7,2,FALSE)</f>
        <v>0</v>
      </c>
      <c r="AD34" s="185">
        <f>Z34*VLOOKUP($AD$13,Library!$T$4:$U$7,2,FALSE)</f>
        <v>0</v>
      </c>
      <c r="AE34" s="218">
        <f>AA34*VLOOKUP($AE$13,Library!$T$4:$U$7,2,FALSE)</f>
        <v>1.2844440884331946E-5</v>
      </c>
      <c r="AG34" s="8"/>
    </row>
    <row r="35" spans="1:33" ht="14.4" x14ac:dyDescent="0.3">
      <c r="A35" s="25" t="s">
        <v>43</v>
      </c>
      <c r="B35" s="25">
        <f>VLOOKUP(A35,Library!$B$4:$C$57,2,FALSE)</f>
        <v>237.69</v>
      </c>
      <c r="C35" s="177">
        <f>VLOOKUP(A35,'Mod Wolfe v1'!$L$4:$M$14,2, FALSE)*'Mod Wolfe v1'!$G$14/'Mod Wolfe v1'!$G$19*1000</f>
        <v>1</v>
      </c>
      <c r="D35" s="26" t="s">
        <v>16</v>
      </c>
      <c r="E35" s="26">
        <f t="shared" si="14"/>
        <v>4.2071605873196181E-6</v>
      </c>
      <c r="F35" s="25" t="s">
        <v>72</v>
      </c>
      <c r="G35" s="25">
        <v>1</v>
      </c>
      <c r="H35" s="25">
        <f>VLOOKUP(F35,Library!$K$4:$M$36,3,FALSE)</f>
        <v>2</v>
      </c>
      <c r="I35" s="25">
        <f t="shared" si="1"/>
        <v>4.2071605873196181E-6</v>
      </c>
      <c r="J35" s="178">
        <f>IF(F35="N/A",0,VLOOKUP(F35,Library!$K$4:$M$36,2,FALSE))</f>
        <v>58.692999999999998</v>
      </c>
      <c r="K35" s="183">
        <f t="shared" si="2"/>
        <v>1.6828642349278473E-5</v>
      </c>
      <c r="L35" s="28">
        <f t="shared" si="3"/>
        <v>2.4693087635155032E-4</v>
      </c>
      <c r="M35" s="86" t="s">
        <v>70</v>
      </c>
      <c r="N35" s="27">
        <v>2</v>
      </c>
      <c r="O35" s="25">
        <f>VLOOKUP(M35,Library!$K$4:$M$36,3,FALSE)</f>
        <v>-1</v>
      </c>
      <c r="P35" s="25">
        <f t="shared" si="4"/>
        <v>8.4143211746392363E-6</v>
      </c>
      <c r="Q35" s="25">
        <f>IF(M35="N/A",0,VLOOKUP(M35,Library!$K$4:$N$36,2,FALSE))</f>
        <v>35.453000000000003</v>
      </c>
      <c r="R35" s="25">
        <f t="shared" si="5"/>
        <v>8.4143211746392363E-6</v>
      </c>
      <c r="S35" s="200">
        <f t="shared" si="6"/>
        <v>2.9831292860448488E-4</v>
      </c>
      <c r="T35" s="217">
        <f>VLOOKUP(A35,Library!$B$4:$G$69,3,FALSE)</f>
        <v>0</v>
      </c>
      <c r="U35" s="185">
        <f>VLOOKUP(A35,Library!$B$4:$G$69,4,FALSE)</f>
        <v>0</v>
      </c>
      <c r="V35" s="185">
        <f>VLOOKUP(A35,Library!$B$4:$G$69,5,FALSE)</f>
        <v>0</v>
      </c>
      <c r="W35" s="218">
        <f>VLOOKUP(A35,Library!$B$4:$G$69,6,FALSE)</f>
        <v>0</v>
      </c>
      <c r="X35" s="217">
        <f t="shared" si="15"/>
        <v>0</v>
      </c>
      <c r="Y35" s="185">
        <f t="shared" si="16"/>
        <v>0</v>
      </c>
      <c r="Z35" s="185">
        <f t="shared" si="17"/>
        <v>0</v>
      </c>
      <c r="AA35" s="218">
        <f t="shared" si="18"/>
        <v>0</v>
      </c>
      <c r="AB35" s="217">
        <f>X35*VLOOKUP($AB$13,Library!$T$4:$U$7,2,FALSE)</f>
        <v>0</v>
      </c>
      <c r="AC35" s="185">
        <f>Y35*VLOOKUP($AC$13,Library!$T$4:$U$7,2,FALSE)</f>
        <v>0</v>
      </c>
      <c r="AD35" s="185">
        <f>Z35*VLOOKUP($AD$13,Library!$T$4:$U$7,2,FALSE)</f>
        <v>0</v>
      </c>
      <c r="AE35" s="218">
        <f>AA35*VLOOKUP($AE$13,Library!$T$4:$U$7,2,FALSE)</f>
        <v>0</v>
      </c>
      <c r="AG35" s="8"/>
    </row>
    <row r="36" spans="1:33" ht="14.4" x14ac:dyDescent="0.3">
      <c r="A36" s="25" t="s">
        <v>46</v>
      </c>
      <c r="B36" s="25">
        <f>VLOOKUP(A36,Library!$B$4:$C$57,2,FALSE)</f>
        <v>169.02</v>
      </c>
      <c r="C36" s="177">
        <f>VLOOKUP(A36,'Mod Wolfe v1'!$L$4:$M$14,2, FALSE)*'Mod Wolfe v1'!$G$14/'Mod Wolfe v1'!$G$19*1000</f>
        <v>1</v>
      </c>
      <c r="D36" s="26" t="s">
        <v>16</v>
      </c>
      <c r="E36" s="26">
        <f t="shared" si="14"/>
        <v>5.9164595905809962E-6</v>
      </c>
      <c r="F36" s="25" t="s">
        <v>74</v>
      </c>
      <c r="G36" s="25">
        <v>1</v>
      </c>
      <c r="H36" s="25">
        <f>VLOOKUP(F36,Library!$K$4:$M$36,3,FALSE)</f>
        <v>2</v>
      </c>
      <c r="I36" s="25">
        <f t="shared" si="1"/>
        <v>5.9164595905809962E-6</v>
      </c>
      <c r="J36" s="178">
        <f>IF(F36="N/A",0,VLOOKUP(F36,Library!$K$4:$M$36,2,FALSE))</f>
        <v>54.94</v>
      </c>
      <c r="K36" s="183">
        <f t="shared" si="2"/>
        <v>2.3665838362323985E-5</v>
      </c>
      <c r="L36" s="28">
        <f t="shared" si="3"/>
        <v>3.2505028990651992E-4</v>
      </c>
      <c r="M36" s="86" t="s">
        <v>69</v>
      </c>
      <c r="N36" s="27">
        <v>1</v>
      </c>
      <c r="O36" s="25">
        <f>VLOOKUP(M36,Library!$K$4:$M$36,3,FALSE)</f>
        <v>-2</v>
      </c>
      <c r="P36" s="25">
        <f t="shared" si="4"/>
        <v>5.9164595905809962E-6</v>
      </c>
      <c r="Q36" s="25">
        <f>IF(M36="N/A",0,VLOOKUP(M36,Library!$K$4:$N$36,2,FALSE))</f>
        <v>96.06</v>
      </c>
      <c r="R36" s="25">
        <f t="shared" si="5"/>
        <v>2.3665838362323985E-5</v>
      </c>
      <c r="S36" s="200">
        <f t="shared" si="6"/>
        <v>5.6833510827121046E-4</v>
      </c>
      <c r="T36" s="217">
        <f>VLOOKUP(A36,Library!$B$4:$G$69,3,FALSE)</f>
        <v>0</v>
      </c>
      <c r="U36" s="185">
        <f>VLOOKUP(A36,Library!$B$4:$G$69,4,FALSE)</f>
        <v>0</v>
      </c>
      <c r="V36" s="185">
        <f>VLOOKUP(A36,Library!$B$4:$G$69,5,FALSE)</f>
        <v>0</v>
      </c>
      <c r="W36" s="218">
        <f>VLOOKUP(A36,Library!$B$4:$G$69,6,FALSE)</f>
        <v>0</v>
      </c>
      <c r="X36" s="217">
        <f t="shared" si="15"/>
        <v>0</v>
      </c>
      <c r="Y36" s="185">
        <f t="shared" si="16"/>
        <v>0</v>
      </c>
      <c r="Z36" s="185">
        <f t="shared" si="17"/>
        <v>0</v>
      </c>
      <c r="AA36" s="218">
        <f t="shared" si="18"/>
        <v>0</v>
      </c>
      <c r="AB36" s="217">
        <f>X36*VLOOKUP($AB$13,Library!$T$4:$U$7,2,FALSE)</f>
        <v>0</v>
      </c>
      <c r="AC36" s="185">
        <f>Y36*VLOOKUP($AC$13,Library!$T$4:$U$7,2,FALSE)</f>
        <v>0</v>
      </c>
      <c r="AD36" s="185">
        <f>Z36*VLOOKUP($AD$13,Library!$T$4:$U$7,2,FALSE)</f>
        <v>0</v>
      </c>
      <c r="AE36" s="218">
        <f>AA36*VLOOKUP($AE$13,Library!$T$4:$U$7,2,FALSE)</f>
        <v>0</v>
      </c>
      <c r="AG36" s="8"/>
    </row>
    <row r="37" spans="1:33" thickBot="1" x14ac:dyDescent="0.35">
      <c r="A37" s="25" t="s">
        <v>50</v>
      </c>
      <c r="B37" s="25">
        <v>170.48</v>
      </c>
      <c r="C37" s="177">
        <f>VLOOKUP(A37,'Mod Wolfe v1'!$L$4:$M$14,2, FALSE)*'Mod Wolfe v1'!$G$14/'Mod Wolfe v1'!$G$19*1000</f>
        <v>1</v>
      </c>
      <c r="D37" s="26" t="s">
        <v>16</v>
      </c>
      <c r="E37" s="26">
        <f t="shared" si="14"/>
        <v>5.8657907085875177E-6</v>
      </c>
      <c r="F37" s="25" t="s">
        <v>63</v>
      </c>
      <c r="G37" s="25">
        <v>2</v>
      </c>
      <c r="H37" s="25">
        <f>VLOOKUP(F37,Library!$K$4:$M$36,3,FALSE)</f>
        <v>1</v>
      </c>
      <c r="I37" s="25">
        <f t="shared" si="1"/>
        <v>1.1731581417175035E-5</v>
      </c>
      <c r="J37" s="178">
        <f>IF(F37="N/A",0,VLOOKUP(F37,Library!$K$4:$M$36,2,FALSE))</f>
        <v>28.989768999999999</v>
      </c>
      <c r="K37" s="183">
        <f t="shared" si="2"/>
        <v>1.1731581417175035E-5</v>
      </c>
      <c r="L37" s="28">
        <f t="shared" si="3"/>
        <v>3.4009583528859692E-4</v>
      </c>
      <c r="M37" s="201" t="s">
        <v>76</v>
      </c>
      <c r="N37" s="202">
        <v>1</v>
      </c>
      <c r="O37" s="203">
        <f>VLOOKUP(M37,Library!$K$4:$M$36,3,FALSE)</f>
        <v>-2</v>
      </c>
      <c r="P37" s="203">
        <f t="shared" si="4"/>
        <v>5.8657907085875177E-6</v>
      </c>
      <c r="Q37" s="25">
        <f>IF(M37="N/A",0,VLOOKUP(M37,Library!$K$4:$N$36,2,FALSE))</f>
        <v>159.94999999999999</v>
      </c>
      <c r="R37" s="203">
        <f t="shared" si="5"/>
        <v>2.3463162834350071E-5</v>
      </c>
      <c r="S37" s="204">
        <f t="shared" si="6"/>
        <v>9.3823322383857334E-4</v>
      </c>
      <c r="T37" s="217">
        <f>VLOOKUP(A37,Library!$B$4:$G$69,3,FALSE)</f>
        <v>0</v>
      </c>
      <c r="U37" s="185">
        <f>VLOOKUP(A37,Library!$B$4:$G$69,4,FALSE)</f>
        <v>0</v>
      </c>
      <c r="V37" s="185">
        <f>VLOOKUP(A37,Library!$B$4:$G$69,5,FALSE)</f>
        <v>0</v>
      </c>
      <c r="W37" s="218">
        <f>VLOOKUP(A37,Library!$B$4:$G$69,6,FALSE)</f>
        <v>0</v>
      </c>
      <c r="X37" s="217">
        <f t="shared" si="15"/>
        <v>0</v>
      </c>
      <c r="Y37" s="185">
        <f t="shared" si="16"/>
        <v>0</v>
      </c>
      <c r="Z37" s="185">
        <f t="shared" si="17"/>
        <v>0</v>
      </c>
      <c r="AA37" s="218">
        <f t="shared" si="18"/>
        <v>0</v>
      </c>
      <c r="AB37" s="217">
        <f>X37*VLOOKUP($AB$13,Library!$T$4:$U$7,2,FALSE)</f>
        <v>0</v>
      </c>
      <c r="AC37" s="185">
        <f>Y37*VLOOKUP($AC$13,Library!$T$4:$U$7,2,FALSE)</f>
        <v>0</v>
      </c>
      <c r="AD37" s="185">
        <f>Z37*VLOOKUP($AD$13,Library!$T$4:$U$7,2,FALSE)</f>
        <v>0</v>
      </c>
      <c r="AE37" s="218">
        <f>AA37*VLOOKUP($AE$13,Library!$T$4:$U$7,2,FALSE)</f>
        <v>0</v>
      </c>
      <c r="AG37" s="8"/>
    </row>
    <row r="38" spans="1:33" ht="14.4" x14ac:dyDescent="0.3">
      <c r="A38" s="94" t="s">
        <v>320</v>
      </c>
      <c r="B38" s="244"/>
      <c r="C38" s="245"/>
      <c r="D38" s="246"/>
      <c r="E38" s="235"/>
      <c r="F38" s="244"/>
      <c r="G38" s="244"/>
      <c r="H38" s="244"/>
      <c r="I38" s="244"/>
      <c r="J38" s="247"/>
      <c r="K38" s="245"/>
      <c r="L38" s="244"/>
      <c r="M38" s="248"/>
      <c r="N38" s="248"/>
      <c r="O38" s="248"/>
      <c r="P38" s="248"/>
      <c r="Q38" s="248"/>
      <c r="R38" s="248"/>
      <c r="S38" s="248"/>
      <c r="T38" s="241"/>
      <c r="U38" s="242"/>
      <c r="V38" s="242"/>
      <c r="W38" s="243"/>
      <c r="X38" s="241"/>
      <c r="Y38" s="242"/>
      <c r="Z38" s="242"/>
      <c r="AA38" s="243"/>
      <c r="AB38" s="241"/>
      <c r="AC38" s="242"/>
      <c r="AD38" s="242"/>
      <c r="AE38" s="243"/>
      <c r="AG38" s="8"/>
    </row>
    <row r="39" spans="1:33" ht="14.4" x14ac:dyDescent="0.3">
      <c r="A39" s="25" t="s">
        <v>15</v>
      </c>
      <c r="B39">
        <f>VLOOKUP(A39,Library!$P$4:$Q$18,2,FALSE)</f>
        <v>244.31</v>
      </c>
      <c r="C39" s="117">
        <f>VLOOKUP(A39,'Mod Wolfe v1'!$I$5:$K$14,2,FALSE)*'Mod Wolfe v1'!$G$17/'Mod Wolfe v1'!$G$19</f>
        <v>0.05</v>
      </c>
      <c r="D39" s="6" t="str">
        <f>VLOOKUP(A39,'Mod Wolfe v1'!$I$5:$K$14,3,FALSE)</f>
        <v>mg/L</v>
      </c>
      <c r="E39" s="26">
        <f t="shared" si="14"/>
        <v>2.0465801645450452E-7</v>
      </c>
      <c r="J39" s="205"/>
      <c r="K39" s="205"/>
      <c r="T39" s="217">
        <f>VLOOKUP(A39,Library!$B$4:$G$69,3,FALSE)</f>
        <v>10</v>
      </c>
      <c r="U39" s="185">
        <f>VLOOKUP(A39,Library!$B$4:$G$69,4,FALSE)</f>
        <v>2</v>
      </c>
      <c r="V39" s="185">
        <f>VLOOKUP(A39,Library!$B$4:$G$69,5,FALSE)</f>
        <v>0</v>
      </c>
      <c r="W39" s="218">
        <f>VLOOKUP(A39,Library!$B$4:$G$69,6,FALSE)</f>
        <v>1</v>
      </c>
      <c r="X39" s="217">
        <f t="shared" si="15"/>
        <v>2.046580164545045E-6</v>
      </c>
      <c r="Y39" s="185">
        <f t="shared" si="16"/>
        <v>4.0931603290900905E-7</v>
      </c>
      <c r="Z39" s="185">
        <f t="shared" si="17"/>
        <v>0</v>
      </c>
      <c r="AA39" s="218">
        <f t="shared" si="18"/>
        <v>2.0465801645450452E-7</v>
      </c>
      <c r="AB39" s="217">
        <f>X39*VLOOKUP($AB$13,Library!$T$4:$U$7,2,FALSE)</f>
        <v>2.4579427776185991E-5</v>
      </c>
      <c r="AC39" s="185">
        <f>Y39*VLOOKUP($AC$13,Library!$T$4:$U$7,2,FALSE)</f>
        <v>5.7345176210552166E-6</v>
      </c>
      <c r="AD39" s="185">
        <f>Z39*VLOOKUP($AD$13,Library!$T$4:$U$7,2,FALSE)</f>
        <v>0</v>
      </c>
      <c r="AE39" s="218">
        <f>AA39*VLOOKUP($AE$13,Library!$T$4:$U$7,2,FALSE)</f>
        <v>6.5633825876959597E-6</v>
      </c>
      <c r="AG39" s="8"/>
    </row>
    <row r="40" spans="1:33" ht="14.4" x14ac:dyDescent="0.3">
      <c r="A40" s="25" t="s">
        <v>19</v>
      </c>
      <c r="B40">
        <f>VLOOKUP(A40,Library!$P$4:$Q$18,2,FALSE)</f>
        <v>441.4</v>
      </c>
      <c r="C40" s="117">
        <f>VLOOKUP(A40,'Mod Wolfe v1'!$I$5:$K$14,2,FALSE)*'Mod Wolfe v1'!$G$17/'Mod Wolfe v1'!$G$19</f>
        <v>0.05</v>
      </c>
      <c r="D40" s="6" t="str">
        <f>VLOOKUP(A40,'Mod Wolfe v1'!$I$5:$K$14,3,FALSE)</f>
        <v>mg/L</v>
      </c>
      <c r="E40" s="26">
        <f t="shared" si="14"/>
        <v>1.1327594019030359E-7</v>
      </c>
      <c r="J40" s="205"/>
      <c r="K40" s="205"/>
      <c r="T40" s="217">
        <f>VLOOKUP(A40,Library!$B$4:$G$69,3,FALSE)</f>
        <v>19</v>
      </c>
      <c r="U40" s="185">
        <f>VLOOKUP(A40,Library!$B$4:$G$69,4,FALSE)</f>
        <v>7</v>
      </c>
      <c r="V40" s="185">
        <f>VLOOKUP(A40,Library!$B$4:$G$69,5,FALSE)</f>
        <v>0</v>
      </c>
      <c r="W40" s="218">
        <f>VLOOKUP(A40,Library!$B$4:$G$69,6,FALSE)</f>
        <v>0</v>
      </c>
      <c r="X40" s="217">
        <f t="shared" si="15"/>
        <v>2.152242863615768E-6</v>
      </c>
      <c r="Y40" s="185">
        <f t="shared" si="16"/>
        <v>7.9293158133212518E-7</v>
      </c>
      <c r="Z40" s="185">
        <f t="shared" si="17"/>
        <v>0</v>
      </c>
      <c r="AA40" s="218">
        <f t="shared" si="18"/>
        <v>0</v>
      </c>
      <c r="AB40" s="217">
        <f>X40*VLOOKUP($AB$13,Library!$T$4:$U$7,2,FALSE)</f>
        <v>2.5848436792025374E-5</v>
      </c>
      <c r="AC40" s="185">
        <f>Y40*VLOOKUP($AC$13,Library!$T$4:$U$7,2,FALSE)</f>
        <v>1.1108971454463074E-5</v>
      </c>
      <c r="AD40" s="185">
        <f>Z40*VLOOKUP($AD$13,Library!$T$4:$U$7,2,FALSE)</f>
        <v>0</v>
      </c>
      <c r="AE40" s="218">
        <f>AA40*VLOOKUP($AE$13,Library!$T$4:$U$7,2,FALSE)</f>
        <v>0</v>
      </c>
      <c r="AG40" s="8"/>
    </row>
    <row r="41" spans="1:33" ht="14.4" x14ac:dyDescent="0.3">
      <c r="A41" s="25" t="s">
        <v>22</v>
      </c>
      <c r="B41">
        <f>VLOOKUP(A41,Library!$P$4:$Q$18,2,FALSE)</f>
        <v>169.18</v>
      </c>
      <c r="C41" s="117">
        <f>VLOOKUP(A41,'Mod Wolfe v1'!$I$5:$K$14,2,FALSE)*'Mod Wolfe v1'!$G$17/'Mod Wolfe v1'!$G$19</f>
        <v>0.1</v>
      </c>
      <c r="D41" s="6" t="str">
        <f>VLOOKUP(A41,'Mod Wolfe v1'!$I$5:$K$14,3,FALSE)</f>
        <v>mg/L</v>
      </c>
      <c r="E41" s="26">
        <f t="shared" si="14"/>
        <v>5.9108641683414121E-7</v>
      </c>
      <c r="J41" s="205"/>
      <c r="K41" s="205"/>
      <c r="T41" s="217">
        <f>VLOOKUP(A41,Library!$B$4:$G$69,3,FALSE)</f>
        <v>8</v>
      </c>
      <c r="U41" s="185">
        <f>VLOOKUP(A41,Library!$B$4:$G$69,4,FALSE)</f>
        <v>1</v>
      </c>
      <c r="V41" s="185">
        <f>VLOOKUP(A41,Library!$B$4:$G$69,5,FALSE)</f>
        <v>0</v>
      </c>
      <c r="W41" s="218">
        <f>VLOOKUP(A41,Library!$B$4:$G$69,6,FALSE)</f>
        <v>0</v>
      </c>
      <c r="X41" s="217">
        <f t="shared" si="15"/>
        <v>4.7286913346731297E-6</v>
      </c>
      <c r="Y41" s="185">
        <f t="shared" si="16"/>
        <v>5.9108641683414121E-7</v>
      </c>
      <c r="Z41" s="185">
        <f t="shared" si="17"/>
        <v>0</v>
      </c>
      <c r="AA41" s="218">
        <f t="shared" si="18"/>
        <v>0</v>
      </c>
      <c r="AB41" s="217">
        <f>X41*VLOOKUP($AB$13,Library!$T$4:$U$7,2,FALSE)</f>
        <v>5.6791582929424287E-5</v>
      </c>
      <c r="AC41" s="185">
        <f>Y41*VLOOKUP($AC$13,Library!$T$4:$U$7,2,FALSE)</f>
        <v>8.2811206998463181E-6</v>
      </c>
      <c r="AD41" s="185">
        <f>Z41*VLOOKUP($AD$13,Library!$T$4:$U$7,2,FALSE)</f>
        <v>0</v>
      </c>
      <c r="AE41" s="218">
        <f>AA41*VLOOKUP($AE$13,Library!$T$4:$U$7,2,FALSE)</f>
        <v>0</v>
      </c>
      <c r="AG41" s="8"/>
    </row>
    <row r="42" spans="1:33" ht="14.4" x14ac:dyDescent="0.3">
      <c r="A42" s="25" t="s">
        <v>26</v>
      </c>
      <c r="B42">
        <f>VLOOKUP(A42,Library!$P$4:$Q$18,2,FALSE)</f>
        <v>265.36</v>
      </c>
      <c r="C42" s="117">
        <f>VLOOKUP(A42,'Mod Wolfe v1'!$I$5:$K$14,2,FALSE)*'Mod Wolfe v1'!$G$17/'Mod Wolfe v1'!$G$19</f>
        <v>0.1</v>
      </c>
      <c r="D42" s="6" t="str">
        <f>VLOOKUP(A42,'Mod Wolfe v1'!$I$5:$K$14,3,FALSE)</f>
        <v>mg/L</v>
      </c>
      <c r="E42" s="26">
        <f t="shared" si="14"/>
        <v>3.7684654808561953E-7</v>
      </c>
      <c r="J42" s="205"/>
      <c r="K42" s="205"/>
      <c r="T42" s="217">
        <f>VLOOKUP(A42,Library!$B$4:$G$69,3,FALSE)</f>
        <v>12</v>
      </c>
      <c r="U42" s="185">
        <f>VLOOKUP(A42,Library!$B$4:$G$69,4,FALSE)</f>
        <v>2</v>
      </c>
      <c r="V42" s="185">
        <f>VLOOKUP(A42,Library!$B$4:$G$69,5,FALSE)</f>
        <v>0</v>
      </c>
      <c r="W42" s="218">
        <f>VLOOKUP(A42,Library!$B$4:$G$69,6,FALSE)</f>
        <v>1</v>
      </c>
      <c r="X42" s="217">
        <f t="shared" si="15"/>
        <v>4.5221585770274342E-6</v>
      </c>
      <c r="Y42" s="185">
        <f t="shared" si="16"/>
        <v>7.5369309617123907E-7</v>
      </c>
      <c r="Z42" s="185">
        <f t="shared" si="17"/>
        <v>0</v>
      </c>
      <c r="AA42" s="218">
        <f t="shared" si="18"/>
        <v>3.7684654808561953E-7</v>
      </c>
      <c r="AB42" s="217">
        <f>X42*VLOOKUP($AB$13,Library!$T$4:$U$7,2,FALSE)</f>
        <v>5.4311124510099485E-5</v>
      </c>
      <c r="AC42" s="185">
        <f>Y42*VLOOKUP($AC$13,Library!$T$4:$U$7,2,FALSE)</f>
        <v>1.055924027735906E-5</v>
      </c>
      <c r="AD42" s="185">
        <f>Z42*VLOOKUP($AD$13,Library!$T$4:$U$7,2,FALSE)</f>
        <v>0</v>
      </c>
      <c r="AE42" s="218">
        <f>AA42*VLOOKUP($AE$13,Library!$T$4:$U$7,2,FALSE)</f>
        <v>1.2085468797105819E-5</v>
      </c>
      <c r="AG42" s="8"/>
    </row>
    <row r="43" spans="1:33" ht="14.4" x14ac:dyDescent="0.3">
      <c r="A43" s="25" t="s">
        <v>30</v>
      </c>
      <c r="B43">
        <f>VLOOKUP(A43,Library!$P$4:$Q$18,2,FALSE)</f>
        <v>376.37</v>
      </c>
      <c r="C43" s="117">
        <f>VLOOKUP(A43,'Mod Wolfe v1'!$I$5:$K$14,2,FALSE)*'Mod Wolfe v1'!$G$17/'Mod Wolfe v1'!$G$19</f>
        <v>0.1</v>
      </c>
      <c r="D43" s="6" t="str">
        <f>VLOOKUP(A43,'Mod Wolfe v1'!$I$5:$K$14,3,FALSE)</f>
        <v>mg/L</v>
      </c>
      <c r="E43" s="26">
        <f t="shared" si="14"/>
        <v>2.6569599064750117E-7</v>
      </c>
      <c r="J43" s="205"/>
      <c r="K43" s="205"/>
      <c r="T43" s="217">
        <f>VLOOKUP(A43,Library!$B$4:$G$69,3,FALSE)</f>
        <v>17</v>
      </c>
      <c r="U43" s="185">
        <f>VLOOKUP(A43,Library!$B$4:$G$69,4,FALSE)</f>
        <v>4</v>
      </c>
      <c r="V43" s="185">
        <f>VLOOKUP(A43,Library!$B$4:$G$69,5,FALSE)</f>
        <v>0</v>
      </c>
      <c r="W43" s="218">
        <f>VLOOKUP(A43,Library!$B$4:$G$69,6,FALSE)</f>
        <v>0</v>
      </c>
      <c r="X43" s="217">
        <f t="shared" si="15"/>
        <v>4.5168318410075203E-6</v>
      </c>
      <c r="Y43" s="185">
        <f t="shared" si="16"/>
        <v>1.0627839625900047E-6</v>
      </c>
      <c r="Z43" s="185">
        <f t="shared" si="17"/>
        <v>0</v>
      </c>
      <c r="AA43" s="218">
        <f t="shared" si="18"/>
        <v>0</v>
      </c>
      <c r="AB43" s="217">
        <f>X43*VLOOKUP($AB$13,Library!$T$4:$U$7,2,FALSE)</f>
        <v>5.4247150410500316E-5</v>
      </c>
      <c r="AC43" s="185">
        <f>Y43*VLOOKUP($AC$13,Library!$T$4:$U$7,2,FALSE)</f>
        <v>1.4889603315885966E-5</v>
      </c>
      <c r="AD43" s="185">
        <f>Z43*VLOOKUP($AD$13,Library!$T$4:$U$7,2,FALSE)</f>
        <v>0</v>
      </c>
      <c r="AE43" s="218">
        <f>AA43*VLOOKUP($AE$13,Library!$T$4:$U$7,2,FALSE)</f>
        <v>0</v>
      </c>
      <c r="AG43" s="8"/>
    </row>
    <row r="44" spans="1:33" ht="14.4" x14ac:dyDescent="0.3">
      <c r="A44" s="25" t="s">
        <v>34</v>
      </c>
      <c r="B44">
        <f>VLOOKUP(A44,Library!$P$4:$Q$18,2,FALSE)</f>
        <v>123.11</v>
      </c>
      <c r="C44" s="117">
        <f>VLOOKUP(A44,'Mod Wolfe v1'!$I$5:$K$14,2,FALSE)*'Mod Wolfe v1'!$G$17/'Mod Wolfe v1'!$G$19</f>
        <v>0.1</v>
      </c>
      <c r="D44" s="6" t="str">
        <f>VLOOKUP(A44,'Mod Wolfe v1'!$I$5:$K$14,3,FALSE)</f>
        <v>mg/L</v>
      </c>
      <c r="E44" s="26">
        <f t="shared" si="14"/>
        <v>8.1228169929331495E-7</v>
      </c>
      <c r="J44" s="205"/>
      <c r="K44" s="205"/>
      <c r="T44" s="217">
        <f>VLOOKUP(A44,Library!$B$4:$G$69,3,FALSE)</f>
        <v>6</v>
      </c>
      <c r="U44" s="185">
        <f>VLOOKUP(A44,Library!$B$4:$G$69,4,FALSE)</f>
        <v>1</v>
      </c>
      <c r="V44" s="185">
        <f>VLOOKUP(A44,Library!$B$4:$G$69,5,FALSE)</f>
        <v>0</v>
      </c>
      <c r="W44" s="218">
        <f>VLOOKUP(A44,Library!$B$4:$G$69,6,FALSE)</f>
        <v>0</v>
      </c>
      <c r="X44" s="217">
        <f t="shared" si="15"/>
        <v>4.8736901957598899E-6</v>
      </c>
      <c r="Y44" s="185">
        <f t="shared" si="16"/>
        <v>8.1228169929331495E-7</v>
      </c>
      <c r="Z44" s="185">
        <f t="shared" si="17"/>
        <v>0</v>
      </c>
      <c r="AA44" s="218">
        <f t="shared" si="18"/>
        <v>0</v>
      </c>
      <c r="AB44" s="217">
        <f>X44*VLOOKUP($AB$13,Library!$T$4:$U$7,2,FALSE)</f>
        <v>5.8533019251076275E-5</v>
      </c>
      <c r="AC44" s="185">
        <f>Y44*VLOOKUP($AC$13,Library!$T$4:$U$7,2,FALSE)</f>
        <v>1.1380066607099342E-5</v>
      </c>
      <c r="AD44" s="185">
        <f>Z44*VLOOKUP($AD$13,Library!$T$4:$U$7,2,FALSE)</f>
        <v>0</v>
      </c>
      <c r="AE44" s="218">
        <f>AA44*VLOOKUP($AE$13,Library!$T$4:$U$7,2,FALSE)</f>
        <v>0</v>
      </c>
    </row>
    <row r="45" spans="1:33" ht="14.4" x14ac:dyDescent="0.3">
      <c r="A45" s="25" t="s">
        <v>38</v>
      </c>
      <c r="B45">
        <f>VLOOKUP(A45,Library!$P$4:$Q$18,2,FALSE)</f>
        <v>476.53</v>
      </c>
      <c r="C45" s="117">
        <f>VLOOKUP(A45,'Mod Wolfe v1'!$I$5:$K$14,2,FALSE)*'Mod Wolfe v1'!$G$17/'Mod Wolfe v1'!$G$19</f>
        <v>0.1</v>
      </c>
      <c r="D45" s="6" t="str">
        <f>VLOOKUP(A45,'Mod Wolfe v1'!$I$5:$K$14,3,FALSE)</f>
        <v>mg/L</v>
      </c>
      <c r="E45" s="26">
        <f t="shared" si="14"/>
        <v>2.0985037668142615E-7</v>
      </c>
      <c r="J45" s="205"/>
      <c r="K45" s="205"/>
      <c r="T45" s="217">
        <f>VLOOKUP(A45,Library!$B$4:$G$69,3,FALSE)</f>
        <v>9</v>
      </c>
      <c r="U45" s="185">
        <f>VLOOKUP(A45,Library!$B$4:$G$69,4,FALSE)</f>
        <v>1</v>
      </c>
      <c r="V45" s="185">
        <f>VLOOKUP(A45,Library!$B$4:$G$69,5,FALSE)</f>
        <v>0</v>
      </c>
      <c r="W45" s="218">
        <f>VLOOKUP(A45,Library!$B$4:$G$69,6,FALSE)</f>
        <v>0</v>
      </c>
      <c r="X45" s="217">
        <f t="shared" si="15"/>
        <v>1.8886533901328354E-6</v>
      </c>
      <c r="Y45" s="185">
        <f t="shared" si="16"/>
        <v>2.0985037668142615E-7</v>
      </c>
      <c r="Z45" s="185">
        <f t="shared" si="17"/>
        <v>0</v>
      </c>
      <c r="AA45" s="218">
        <f t="shared" si="18"/>
        <v>0</v>
      </c>
      <c r="AB45" s="217">
        <f>X45*VLOOKUP($AB$13,Library!$T$4:$U$7,2,FALSE)</f>
        <v>2.2682727215495352E-5</v>
      </c>
      <c r="AC45" s="185">
        <f>Y45*VLOOKUP($AC$13,Library!$T$4:$U$7,2,FALSE)</f>
        <v>2.9400037773067804E-6</v>
      </c>
      <c r="AD45" s="185">
        <f>Z45*VLOOKUP($AD$13,Library!$T$4:$U$7,2,FALSE)</f>
        <v>0</v>
      </c>
      <c r="AE45" s="218">
        <f>AA45*VLOOKUP($AE$13,Library!$T$4:$U$7,2,FALSE)</f>
        <v>0</v>
      </c>
    </row>
    <row r="46" spans="1:33" ht="14.4" x14ac:dyDescent="0.3">
      <c r="A46" s="25" t="s">
        <v>42</v>
      </c>
      <c r="B46">
        <f>VLOOKUP(A46,Library!$P$4:$Q$18,2,FALSE)</f>
        <v>1355.37</v>
      </c>
      <c r="C46" s="117">
        <f>VLOOKUP(A46,'Mod Wolfe v1'!$I$5:$K$14,2,FALSE)*'Mod Wolfe v1'!$G$17/'Mod Wolfe v1'!$G$19</f>
        <v>0.05</v>
      </c>
      <c r="D46" s="6" t="str">
        <f>VLOOKUP(A46,'Mod Wolfe v1'!$I$5:$K$14,3,FALSE)</f>
        <v>mg/L</v>
      </c>
      <c r="E46" s="26">
        <f t="shared" si="14"/>
        <v>3.6890295638829251E-8</v>
      </c>
      <c r="J46" s="205"/>
      <c r="K46" s="205"/>
      <c r="T46" s="217">
        <f>VLOOKUP(A46,Library!$B$4:$G$69,3,FALSE)</f>
        <v>70</v>
      </c>
      <c r="U46" s="185">
        <f>VLOOKUP(A46,Library!$B$4:$G$69,4,FALSE)</f>
        <v>14</v>
      </c>
      <c r="V46" s="185">
        <f>VLOOKUP(A46,Library!$B$4:$G$69,5,FALSE)</f>
        <v>0</v>
      </c>
      <c r="W46" s="218">
        <f>VLOOKUP(A46,Library!$B$4:$G$69,6,FALSE)</f>
        <v>1</v>
      </c>
      <c r="X46" s="217">
        <f t="shared" si="15"/>
        <v>2.5823206947180473E-6</v>
      </c>
      <c r="Y46" s="185">
        <f t="shared" si="16"/>
        <v>5.1646413894360951E-7</v>
      </c>
      <c r="Z46" s="185">
        <f t="shared" si="17"/>
        <v>0</v>
      </c>
      <c r="AA46" s="218">
        <f t="shared" si="18"/>
        <v>3.6890295638829251E-8</v>
      </c>
      <c r="AB46" s="217">
        <f>X46*VLOOKUP($AB$13,Library!$T$4:$U$7,2,FALSE)</f>
        <v>3.1013671543563748E-5</v>
      </c>
      <c r="AC46" s="185">
        <f>Y46*VLOOKUP($AC$13,Library!$T$4:$U$7,2,FALSE)</f>
        <v>7.2356625865999692E-6</v>
      </c>
      <c r="AD46" s="185">
        <f>Z46*VLOOKUP($AD$13,Library!$T$4:$U$7,2,FALSE)</f>
        <v>0</v>
      </c>
      <c r="AE46" s="218">
        <f>AA46*VLOOKUP($AE$13,Library!$T$4:$U$7,2,FALSE)</f>
        <v>1.183071781137254E-6</v>
      </c>
    </row>
    <row r="47" spans="1:33" ht="14.4" x14ac:dyDescent="0.3">
      <c r="A47" s="25" t="s">
        <v>45</v>
      </c>
      <c r="B47">
        <f>VLOOKUP(A47,Library!$P$4:$Q$18,2,FALSE)</f>
        <v>137.13999999999999</v>
      </c>
      <c r="C47" s="117">
        <f>VLOOKUP(A47,'Mod Wolfe v1'!$I$5:$K$14,2,FALSE)*'Mod Wolfe v1'!$G$17/'Mod Wolfe v1'!$G$19</f>
        <v>0.1</v>
      </c>
      <c r="D47" s="6" t="str">
        <f>VLOOKUP(A47,'Mod Wolfe v1'!$I$5:$K$14,3,FALSE)</f>
        <v>mg/L</v>
      </c>
      <c r="E47" s="26">
        <f t="shared" si="14"/>
        <v>7.2918185795537416E-7</v>
      </c>
      <c r="J47" s="205"/>
      <c r="K47" s="205"/>
      <c r="T47" s="217">
        <f>VLOOKUP(A47,Library!$B$4:$G$69,3,FALSE)</f>
        <v>7</v>
      </c>
      <c r="U47" s="185">
        <f>VLOOKUP(A47,Library!$B$4:$G$69,4,FALSE)</f>
        <v>1</v>
      </c>
      <c r="V47" s="185">
        <f>VLOOKUP(A47,Library!$B$4:$G$69,5,FALSE)</f>
        <v>0</v>
      </c>
      <c r="W47" s="218">
        <f>VLOOKUP(A47,Library!$B$4:$G$69,6,FALSE)</f>
        <v>0</v>
      </c>
      <c r="X47" s="217">
        <f t="shared" si="15"/>
        <v>5.1042730056876194E-6</v>
      </c>
      <c r="Y47" s="185">
        <f t="shared" si="16"/>
        <v>7.2918185795537416E-7</v>
      </c>
      <c r="Z47" s="185">
        <f t="shared" si="17"/>
        <v>0</v>
      </c>
      <c r="AA47" s="218">
        <f t="shared" si="18"/>
        <v>0</v>
      </c>
      <c r="AB47" s="217">
        <f>X47*VLOOKUP($AB$13,Library!$T$4:$U$7,2,FALSE)</f>
        <v>6.1302318798308312E-5</v>
      </c>
      <c r="AC47" s="185">
        <f>Y47*VLOOKUP($AC$13,Library!$T$4:$U$7,2,FALSE)</f>
        <v>1.0215837829954792E-5</v>
      </c>
      <c r="AD47" s="185">
        <f>Z47*VLOOKUP($AD$13,Library!$T$4:$U$7,2,FALSE)</f>
        <v>0</v>
      </c>
      <c r="AE47" s="218">
        <f>AA47*VLOOKUP($AE$13,Library!$T$4:$U$7,2,FALSE)</f>
        <v>0</v>
      </c>
    </row>
    <row r="48" spans="1:33" ht="14.4" x14ac:dyDescent="0.3">
      <c r="A48" s="25" t="s">
        <v>288</v>
      </c>
      <c r="B48">
        <f>VLOOKUP(A48,Library!$P$4:$Q$18,2,FALSE)</f>
        <v>206.33</v>
      </c>
      <c r="C48" s="117">
        <f>VLOOKUP(A48,'Mod Wolfe v1'!$I$5:$K$14,2,FALSE)*'Mod Wolfe v1'!$G$17/'Mod Wolfe v1'!$G$19</f>
        <v>0.05</v>
      </c>
      <c r="D48" s="6" t="str">
        <f>VLOOKUP(A48,'Mod Wolfe v1'!$I$5:$K$14,3,FALSE)</f>
        <v>mg/L</v>
      </c>
      <c r="E48" s="26">
        <f t="shared" si="14"/>
        <v>2.4233024766151311E-7</v>
      </c>
      <c r="J48" s="205"/>
      <c r="K48" s="205"/>
      <c r="T48" s="217">
        <f>VLOOKUP(A48,Library!$B$4:$G$69,3,FALSE)</f>
        <v>8</v>
      </c>
      <c r="U48" s="185">
        <f>VLOOKUP(A48,Library!$B$4:$G$69,4,FALSE)</f>
        <v>0</v>
      </c>
      <c r="V48" s="185">
        <f>VLOOKUP(A48,Library!$B$4:$G$69,5,FALSE)</f>
        <v>0</v>
      </c>
      <c r="W48" s="218">
        <f>VLOOKUP(A48,Library!$B$4:$G$69,6,FALSE)</f>
        <v>2</v>
      </c>
      <c r="X48" s="217">
        <f t="shared" si="15"/>
        <v>1.9386419812921049E-6</v>
      </c>
      <c r="Y48" s="185">
        <f t="shared" si="16"/>
        <v>0</v>
      </c>
      <c r="Z48" s="185">
        <f t="shared" si="17"/>
        <v>0</v>
      </c>
      <c r="AA48" s="218">
        <f t="shared" si="18"/>
        <v>4.8466049532302623E-7</v>
      </c>
      <c r="AB48" s="217">
        <f>X48*VLOOKUP($AB$13,Library!$T$4:$U$7,2,FALSE)</f>
        <v>2.3283090195318181E-5</v>
      </c>
      <c r="AC48" s="185">
        <f>Y48*VLOOKUP($AC$13,Library!$T$4:$U$7,2,FALSE)</f>
        <v>0</v>
      </c>
      <c r="AD48" s="185">
        <f>Z48*VLOOKUP($AD$13,Library!$T$4:$U$7,2,FALSE)</f>
        <v>0</v>
      </c>
      <c r="AE48" s="218">
        <f>AA48*VLOOKUP($AE$13,Library!$T$4:$U$7,2,FALSE)</f>
        <v>1.5543062085009453E-5</v>
      </c>
    </row>
    <row r="49" spans="1:33" thickBot="1" x14ac:dyDescent="0.35">
      <c r="C49" s="6"/>
      <c r="D49" s="6"/>
      <c r="E49" s="6"/>
      <c r="J49" s="205"/>
      <c r="K49" s="205"/>
      <c r="T49" s="219"/>
      <c r="U49" s="192"/>
      <c r="V49" s="192"/>
      <c r="W49" s="220"/>
      <c r="X49" s="219"/>
      <c r="Y49" s="192"/>
      <c r="Z49" s="192"/>
      <c r="AA49" s="220"/>
      <c r="AB49" s="219"/>
      <c r="AC49" s="192"/>
      <c r="AD49" s="192"/>
      <c r="AE49" s="220"/>
    </row>
    <row r="50" spans="1:33" ht="14.4" x14ac:dyDescent="0.3">
      <c r="C50" s="6"/>
      <c r="D50" s="6"/>
      <c r="E50" s="6"/>
      <c r="J50" s="205"/>
      <c r="K50" s="205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</row>
    <row r="51" spans="1:33" ht="14.4" x14ac:dyDescent="0.3">
      <c r="A51" s="7" t="s">
        <v>278</v>
      </c>
      <c r="B51" s="97"/>
      <c r="E51" s="6"/>
      <c r="J51" s="205"/>
      <c r="K51" s="205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</row>
    <row r="52" spans="1:33" ht="14.4" x14ac:dyDescent="0.3">
      <c r="A52" s="71" t="s">
        <v>98</v>
      </c>
      <c r="B52" s="71" t="s">
        <v>322</v>
      </c>
      <c r="C52" s="71" t="s">
        <v>103</v>
      </c>
      <c r="D52" s="71" t="s">
        <v>321</v>
      </c>
      <c r="J52" s="7"/>
      <c r="L52" s="6"/>
      <c r="M52" s="6"/>
      <c r="N52" s="6"/>
      <c r="AG52" s="6"/>
    </row>
    <row r="53" spans="1:33" ht="14.4" x14ac:dyDescent="0.3">
      <c r="A53" s="71" t="s">
        <v>339</v>
      </c>
      <c r="B53" s="70">
        <f>SUMIF($F$15:$F$37,A53,$L$15:$L$37)*1000</f>
        <v>0</v>
      </c>
      <c r="C53" s="70">
        <f>SUMIF($F$15:$F$37,A53,$I$15:$I$37)</f>
        <v>1.0540200136650915E-4</v>
      </c>
      <c r="D53" s="70">
        <f>SUMIF($F$15:$F$37,A53,$K$15:$K$37)</f>
        <v>1.0540200136650915E-4</v>
      </c>
      <c r="J53" s="7"/>
      <c r="L53" s="6"/>
      <c r="M53" s="6"/>
      <c r="N53" s="6"/>
      <c r="AG53" s="6"/>
    </row>
    <row r="54" spans="1:33" ht="14.4" x14ac:dyDescent="0.3">
      <c r="A54" s="70" t="s">
        <v>63</v>
      </c>
      <c r="B54" s="70">
        <f t="shared" ref="B54:B66" si="19">SUMIF($F$15:$F$37,A54,$L$15:$L$37)*1000</f>
        <v>322.78478776864677</v>
      </c>
      <c r="C54" s="70">
        <f t="shared" ref="C54:C66" si="20">SUMIF($F$15:$F$37,A54,$I$15:$I$37)</f>
        <v>1.1134438076020778E-2</v>
      </c>
      <c r="D54" s="70">
        <f t="shared" ref="D54:D66" si="21">SUMIF($F$15:$F$37,A54,$K$15:$K$37)</f>
        <v>1.1134438076020778E-2</v>
      </c>
      <c r="L54" s="6"/>
      <c r="M54" s="6"/>
      <c r="N54" s="6"/>
      <c r="AG54" s="6"/>
    </row>
    <row r="55" spans="1:33" ht="14.4" x14ac:dyDescent="0.3">
      <c r="A55" s="70" t="s">
        <v>64</v>
      </c>
      <c r="B55" s="70">
        <f t="shared" si="19"/>
        <v>19.128381701918347</v>
      </c>
      <c r="C55" s="70">
        <f t="shared" si="20"/>
        <v>7.8701426463354646E-4</v>
      </c>
      <c r="D55" s="70">
        <f t="shared" si="21"/>
        <v>3.1480570585341859E-3</v>
      </c>
      <c r="L55" s="6"/>
      <c r="M55" s="6"/>
      <c r="N55" s="6"/>
      <c r="AG55" s="6"/>
    </row>
    <row r="56" spans="1:33" ht="14.4" x14ac:dyDescent="0.3">
      <c r="A56" s="70" t="s">
        <v>65</v>
      </c>
      <c r="B56" s="70">
        <f t="shared" si="19"/>
        <v>2.453588191279505</v>
      </c>
      <c r="C56" s="70">
        <f t="shared" si="20"/>
        <v>6.122032514794912E-5</v>
      </c>
      <c r="D56" s="70">
        <f t="shared" si="21"/>
        <v>2.4488130059179648E-4</v>
      </c>
      <c r="L56" s="6"/>
      <c r="M56" s="6"/>
      <c r="N56" s="6"/>
      <c r="AG56" s="6"/>
    </row>
    <row r="57" spans="1:33" ht="14.4" x14ac:dyDescent="0.3">
      <c r="A57" s="70" t="s">
        <v>66</v>
      </c>
      <c r="B57" s="70">
        <f t="shared" si="19"/>
        <v>220.84618942900823</v>
      </c>
      <c r="C57" s="70">
        <f t="shared" si="20"/>
        <v>5.6491359097608374E-3</v>
      </c>
      <c r="D57" s="70">
        <f t="shared" si="21"/>
        <v>5.6491359097608374E-3</v>
      </c>
      <c r="L57" s="6"/>
      <c r="M57" s="6"/>
      <c r="N57" s="6"/>
      <c r="AG57" s="6"/>
    </row>
    <row r="58" spans="1:33" ht="14.4" x14ac:dyDescent="0.3">
      <c r="A58" s="70" t="s">
        <v>71</v>
      </c>
      <c r="B58" s="70">
        <f t="shared" si="19"/>
        <v>0</v>
      </c>
      <c r="C58" s="70">
        <f t="shared" si="20"/>
        <v>0</v>
      </c>
      <c r="D58" s="70">
        <f t="shared" si="21"/>
        <v>0</v>
      </c>
      <c r="L58" s="6"/>
      <c r="M58" s="6"/>
      <c r="N58" s="6"/>
      <c r="AG58" s="6"/>
    </row>
    <row r="59" spans="1:33" ht="14.4" x14ac:dyDescent="0.3">
      <c r="A59" s="70" t="s">
        <v>72</v>
      </c>
      <c r="B59" s="70">
        <f t="shared" si="19"/>
        <v>0.24693087635155031</v>
      </c>
      <c r="C59" s="70">
        <f t="shared" si="20"/>
        <v>4.2071605873196181E-6</v>
      </c>
      <c r="D59" s="70">
        <f t="shared" si="21"/>
        <v>1.6828642349278473E-5</v>
      </c>
      <c r="L59" s="6"/>
      <c r="M59" s="6"/>
      <c r="N59" s="6"/>
      <c r="AG59" s="6"/>
    </row>
    <row r="60" spans="1:33" ht="14.4" x14ac:dyDescent="0.3">
      <c r="A60" s="70" t="s">
        <v>73</v>
      </c>
      <c r="B60" s="70">
        <f t="shared" si="19"/>
        <v>0.22928401905888082</v>
      </c>
      <c r="C60" s="70">
        <f t="shared" si="20"/>
        <v>3.4778979584738982E-6</v>
      </c>
      <c r="D60" s="70">
        <f t="shared" si="21"/>
        <v>1.3911591833895593E-5</v>
      </c>
      <c r="L60" s="6"/>
      <c r="M60" s="6"/>
      <c r="N60" s="6"/>
      <c r="AG60" s="6"/>
    </row>
    <row r="61" spans="1:33" ht="14.4" x14ac:dyDescent="0.3">
      <c r="A61" s="70" t="s">
        <v>74</v>
      </c>
      <c r="B61" s="70">
        <f t="shared" si="19"/>
        <v>0.32505028990651991</v>
      </c>
      <c r="C61" s="70">
        <f t="shared" si="20"/>
        <v>5.9164595905809962E-6</v>
      </c>
      <c r="D61" s="70">
        <f t="shared" si="21"/>
        <v>2.3665838362323985E-5</v>
      </c>
      <c r="I61" s="3"/>
      <c r="L61" s="6"/>
      <c r="M61" s="6"/>
      <c r="N61" s="6"/>
      <c r="AG61" s="6"/>
    </row>
    <row r="62" spans="1:33" ht="14.4" x14ac:dyDescent="0.3">
      <c r="A62" s="70" t="s">
        <v>75</v>
      </c>
      <c r="B62" s="70">
        <f t="shared" si="19"/>
        <v>0.24769129575925691</v>
      </c>
      <c r="C62" s="70">
        <f t="shared" si="20"/>
        <v>4.2029168242760473E-6</v>
      </c>
      <c r="D62" s="70">
        <f t="shared" si="21"/>
        <v>1.6811667297104189E-5</v>
      </c>
      <c r="I62" s="3"/>
      <c r="L62" s="6"/>
      <c r="M62" s="6"/>
      <c r="N62" s="6"/>
      <c r="AG62" s="6"/>
    </row>
    <row r="63" spans="1:33" ht="14.4" x14ac:dyDescent="0.3">
      <c r="A63" s="70" t="s">
        <v>78</v>
      </c>
      <c r="B63" s="70">
        <f t="shared" si="19"/>
        <v>337.99536445462553</v>
      </c>
      <c r="C63" s="70">
        <f t="shared" si="20"/>
        <v>1.8735884947595653E-2</v>
      </c>
      <c r="D63" s="70">
        <f t="shared" si="21"/>
        <v>1.8735884947595653E-2</v>
      </c>
      <c r="I63" s="3"/>
      <c r="L63" s="6"/>
      <c r="M63" s="6"/>
      <c r="N63" s="6"/>
      <c r="AG63" s="6"/>
    </row>
    <row r="64" spans="1:33" ht="14.4" x14ac:dyDescent="0.3">
      <c r="A64" s="70" t="s">
        <v>80</v>
      </c>
      <c r="B64" s="70">
        <f t="shared" si="19"/>
        <v>2.2785739786810835</v>
      </c>
      <c r="C64" s="70">
        <f t="shared" si="20"/>
        <v>4.0801754475442447E-5</v>
      </c>
      <c r="D64" s="70">
        <f t="shared" si="21"/>
        <v>1.6320701790176979E-4</v>
      </c>
      <c r="I64" s="3"/>
      <c r="J64" s="3"/>
      <c r="K64" s="3"/>
      <c r="O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ht="14.4" x14ac:dyDescent="0.3">
      <c r="A65" s="70" t="s">
        <v>114</v>
      </c>
      <c r="B65" s="70">
        <f t="shared" si="19"/>
        <v>0</v>
      </c>
      <c r="C65" s="70">
        <f t="shared" si="20"/>
        <v>0</v>
      </c>
      <c r="D65" s="70">
        <f t="shared" si="21"/>
        <v>0</v>
      </c>
      <c r="I65" s="3"/>
      <c r="J65" s="3"/>
      <c r="K65" s="3"/>
      <c r="O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ht="14.4" x14ac:dyDescent="0.3">
      <c r="A66" s="70" t="s">
        <v>81</v>
      </c>
      <c r="B66" s="70">
        <f t="shared" si="19"/>
        <v>7.512015379685999E-2</v>
      </c>
      <c r="C66" s="70">
        <f t="shared" si="20"/>
        <v>4.0051265619993596E-7</v>
      </c>
      <c r="D66" s="70">
        <f t="shared" si="21"/>
        <v>1.6020506247997439E-6</v>
      </c>
      <c r="I66" s="3"/>
      <c r="J66" s="3"/>
      <c r="K66" s="3"/>
      <c r="O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14.4" x14ac:dyDescent="0.3">
      <c r="A67" s="71" t="s">
        <v>99</v>
      </c>
      <c r="B67" s="71" t="s">
        <v>322</v>
      </c>
      <c r="C67" s="71" t="s">
        <v>103</v>
      </c>
      <c r="D67" s="71" t="s">
        <v>321</v>
      </c>
      <c r="E67" s="6"/>
      <c r="F67" s="3"/>
      <c r="G67" s="3"/>
      <c r="H67" s="3"/>
      <c r="I67" s="3"/>
      <c r="M67" s="3"/>
      <c r="O67" s="3"/>
      <c r="P67" s="3"/>
      <c r="Q67" s="3"/>
      <c r="R67" s="3"/>
      <c r="S67" s="3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</row>
    <row r="68" spans="1:31" ht="14.4" x14ac:dyDescent="0.3">
      <c r="A68" s="71" t="s">
        <v>111</v>
      </c>
      <c r="B68" s="70">
        <f t="shared" ref="B68:B83" si="22">SUMIF($M$15:$M$37,A68,$S$15:$S$37)*1000</f>
        <v>11.15</v>
      </c>
      <c r="C68" s="70">
        <f>SUMIF($M$15:$M$37,A68,$P$15:$P$37)</f>
        <v>5.8334205294548499E-5</v>
      </c>
      <c r="D68" s="70">
        <f>SUMIF($M$15:$M$37,A68,$R$15:$R$37)</f>
        <v>5.250078476509365E-4</v>
      </c>
      <c r="E68" s="6"/>
      <c r="F68" s="3"/>
      <c r="G68" s="3"/>
      <c r="H68" s="3"/>
      <c r="I68" s="3"/>
      <c r="M68" s="3"/>
      <c r="O68" s="3"/>
      <c r="P68" s="3"/>
      <c r="Q68" s="3"/>
      <c r="R68" s="3"/>
      <c r="S68" s="3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  <c r="AE68" s="109"/>
    </row>
    <row r="69" spans="1:31" ht="14.4" x14ac:dyDescent="0.3">
      <c r="A69" s="70" t="s">
        <v>70</v>
      </c>
      <c r="B69" s="70">
        <f t="shared" si="22"/>
        <v>1091.2686882078601</v>
      </c>
      <c r="C69" s="70">
        <f t="shared" ref="C69:C83" si="23">SUMIF($M$15:$M$37,A69,$P$15:$P$37)</f>
        <v>3.0780714980618282E-2</v>
      </c>
      <c r="D69" s="70">
        <f t="shared" ref="D69:D83" si="24">SUMIF($M$15:$M$37,A69,$R$15:$R$37)</f>
        <v>3.0780714980618282E-2</v>
      </c>
      <c r="E69" s="6"/>
      <c r="F69" s="3"/>
      <c r="G69" s="3"/>
      <c r="H69" s="3"/>
      <c r="I69" s="3"/>
      <c r="M69" s="3"/>
      <c r="O69" s="3"/>
      <c r="P69" s="3"/>
      <c r="Q69" s="3"/>
      <c r="R69" s="3"/>
      <c r="S69" s="3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  <c r="AE69" s="109"/>
    </row>
    <row r="70" spans="1:31" ht="14.4" x14ac:dyDescent="0.3">
      <c r="A70" s="70" t="s">
        <v>69</v>
      </c>
      <c r="B70" s="70">
        <f t="shared" si="22"/>
        <v>4.8603117668277802</v>
      </c>
      <c r="C70" s="70">
        <f t="shared" si="23"/>
        <v>5.0596624680697274E-5</v>
      </c>
      <c r="D70" s="70">
        <f t="shared" si="24"/>
        <v>2.023864987227891E-4</v>
      </c>
      <c r="E70" s="6"/>
      <c r="F70" s="3"/>
      <c r="G70" s="3"/>
      <c r="H70" s="3"/>
      <c r="I70" s="3"/>
      <c r="M70" s="3"/>
      <c r="O70" s="3"/>
      <c r="P70" s="3"/>
      <c r="Q70" s="3"/>
      <c r="R70" s="3"/>
      <c r="S70" s="3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  <c r="AE70" s="109"/>
    </row>
    <row r="71" spans="1:31" ht="14.4" x14ac:dyDescent="0.3">
      <c r="A71" s="70" t="s">
        <v>67</v>
      </c>
      <c r="B71" s="70">
        <f t="shared" si="22"/>
        <v>0</v>
      </c>
      <c r="C71" s="70">
        <f t="shared" si="23"/>
        <v>0</v>
      </c>
      <c r="D71" s="70">
        <f t="shared" si="24"/>
        <v>0</v>
      </c>
      <c r="E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 spans="1:31" ht="14.4" x14ac:dyDescent="0.3">
      <c r="A72" s="70" t="s">
        <v>68</v>
      </c>
      <c r="B72" s="70">
        <f t="shared" si="22"/>
        <v>0</v>
      </c>
      <c r="C72" s="70">
        <f t="shared" si="23"/>
        <v>0</v>
      </c>
      <c r="D72" s="70">
        <f t="shared" si="24"/>
        <v>0</v>
      </c>
      <c r="E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 spans="1:31" ht="14.4" x14ac:dyDescent="0.3">
      <c r="A73" s="70" t="s">
        <v>79</v>
      </c>
      <c r="B73" s="70">
        <f t="shared" si="22"/>
        <v>0</v>
      </c>
      <c r="C73" s="70">
        <f t="shared" si="23"/>
        <v>0</v>
      </c>
      <c r="D73" s="70">
        <f t="shared" si="24"/>
        <v>0</v>
      </c>
      <c r="E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 spans="1:31" ht="14.4" x14ac:dyDescent="0.3">
      <c r="A74" s="70" t="s">
        <v>82</v>
      </c>
      <c r="B74" s="70">
        <f t="shared" si="22"/>
        <v>372.92627062590816</v>
      </c>
      <c r="C74" s="70">
        <f t="shared" si="23"/>
        <v>3.9267797265021397E-3</v>
      </c>
      <c r="D74" s="70">
        <f t="shared" si="24"/>
        <v>3.5341017538519252E-2</v>
      </c>
      <c r="E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 spans="1:31" ht="14.4" x14ac:dyDescent="0.3">
      <c r="A75" s="70" t="s">
        <v>113</v>
      </c>
      <c r="B75" s="70">
        <f t="shared" si="22"/>
        <v>9.5115639657124371E-2</v>
      </c>
      <c r="C75" s="70">
        <f t="shared" si="23"/>
        <v>1.6173378618793466E-6</v>
      </c>
      <c r="D75" s="70">
        <f t="shared" si="24"/>
        <v>1.4556040756914119E-5</v>
      </c>
      <c r="E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 spans="1:31" ht="14.4" x14ac:dyDescent="0.3">
      <c r="A76" s="70" t="s">
        <v>112</v>
      </c>
      <c r="B76" s="70">
        <f t="shared" si="22"/>
        <v>0.75137183568288612</v>
      </c>
      <c r="C76" s="70">
        <f t="shared" si="23"/>
        <v>3.0316810671517355E-6</v>
      </c>
      <c r="D76" s="70">
        <f t="shared" si="24"/>
        <v>3.0316810671517355E-6</v>
      </c>
    </row>
    <row r="77" spans="1:31" ht="14.4" x14ac:dyDescent="0.3">
      <c r="A77" s="70" t="s">
        <v>76</v>
      </c>
      <c r="B77" s="70">
        <f>SUMIF($M$15:$M$37,A77,$S$15:$S$37)*1000</f>
        <v>0.93823322383857333</v>
      </c>
      <c r="C77" s="70">
        <f t="shared" si="23"/>
        <v>5.8657907085875177E-6</v>
      </c>
      <c r="D77" s="70">
        <f t="shared" si="24"/>
        <v>2.3463162834350071E-5</v>
      </c>
    </row>
    <row r="78" spans="1:31" ht="14.4" x14ac:dyDescent="0.3">
      <c r="A78" s="70" t="s">
        <v>79</v>
      </c>
      <c r="B78" s="70">
        <f t="shared" si="22"/>
        <v>0</v>
      </c>
      <c r="C78" s="70">
        <f t="shared" si="23"/>
        <v>0</v>
      </c>
      <c r="D78" s="70">
        <f t="shared" si="24"/>
        <v>0</v>
      </c>
    </row>
    <row r="79" spans="1:31" ht="14.4" x14ac:dyDescent="0.3">
      <c r="A79" s="70" t="s">
        <v>115</v>
      </c>
      <c r="B79" s="70">
        <f t="shared" si="22"/>
        <v>1.4683474037238351</v>
      </c>
      <c r="C79" s="70">
        <f t="shared" si="23"/>
        <v>1.1564704521799469E-5</v>
      </c>
      <c r="D79" s="70">
        <f t="shared" si="24"/>
        <v>4.6258818087197875E-5</v>
      </c>
    </row>
    <row r="80" spans="1:31" ht="14.4" x14ac:dyDescent="0.3">
      <c r="A80" s="70" t="s">
        <v>84</v>
      </c>
      <c r="B80" s="70">
        <f t="shared" si="22"/>
        <v>10.680323091015071</v>
      </c>
      <c r="C80" s="70">
        <f t="shared" si="23"/>
        <v>3.330835206928137E-4</v>
      </c>
      <c r="D80" s="70">
        <f t="shared" si="24"/>
        <v>1.3323340827712548E-3</v>
      </c>
    </row>
    <row r="81" spans="1:4" ht="14.4" x14ac:dyDescent="0.3">
      <c r="A81" s="70" t="s">
        <v>119</v>
      </c>
      <c r="B81" s="70">
        <f t="shared" si="22"/>
        <v>0</v>
      </c>
      <c r="C81" s="70">
        <f t="shared" si="23"/>
        <v>0</v>
      </c>
      <c r="D81" s="70">
        <f t="shared" si="24"/>
        <v>0</v>
      </c>
    </row>
    <row r="82" spans="1:4" ht="14.4" x14ac:dyDescent="0.3">
      <c r="A82" s="70" t="s">
        <v>299</v>
      </c>
      <c r="B82" s="70">
        <f t="shared" si="22"/>
        <v>200.00260060224474</v>
      </c>
      <c r="C82" s="70">
        <f t="shared" si="23"/>
        <v>6.8436901177114698E-4</v>
      </c>
      <c r="D82" s="70">
        <f t="shared" si="24"/>
        <v>2.7374760470845879E-3</v>
      </c>
    </row>
    <row r="83" spans="1:4" ht="14.4" x14ac:dyDescent="0.3">
      <c r="A83" s="70" t="s">
        <v>128</v>
      </c>
      <c r="B83" s="70">
        <f t="shared" si="22"/>
        <v>0</v>
      </c>
      <c r="C83" s="70">
        <f t="shared" si="23"/>
        <v>0</v>
      </c>
      <c r="D83" s="70">
        <f t="shared" si="24"/>
        <v>0</v>
      </c>
    </row>
    <row r="84" spans="1:4" ht="14.4" x14ac:dyDescent="0.3">
      <c r="A84" s="71" t="s">
        <v>356</v>
      </c>
      <c r="B84" s="70" t="s">
        <v>322</v>
      </c>
      <c r="C84" s="70"/>
    </row>
    <row r="85" spans="1:4" ht="14.4" x14ac:dyDescent="0.3">
      <c r="A85" t="s">
        <v>116</v>
      </c>
      <c r="B85" s="70">
        <f>B79*78.96/126.96</f>
        <v>0.91320660836510725</v>
      </c>
      <c r="C85" s="70"/>
    </row>
    <row r="86" spans="1:4" ht="14.4" x14ac:dyDescent="0.3">
      <c r="A86" t="s">
        <v>87</v>
      </c>
      <c r="B86" s="70">
        <f>B77*95.95/159.95</f>
        <v>0.5628226184889723</v>
      </c>
      <c r="C86" s="70"/>
    </row>
    <row r="87" spans="1:4" ht="14.4" x14ac:dyDescent="0.3">
      <c r="A87" t="s">
        <v>88</v>
      </c>
      <c r="B87" s="70">
        <f>B75*10.911/58.81</f>
        <v>1.7646773410965547E-2</v>
      </c>
      <c r="C87" s="70"/>
    </row>
    <row r="88" spans="1:4" ht="14.4" x14ac:dyDescent="0.3">
      <c r="A88" t="s">
        <v>393</v>
      </c>
      <c r="B88" s="70">
        <f>C24*Library!C14/Library!C15*1000</f>
        <v>12.770506485566248</v>
      </c>
      <c r="C88" s="70"/>
    </row>
    <row r="89" spans="1:4" ht="14.4" x14ac:dyDescent="0.3">
      <c r="A89" s="71" t="s">
        <v>315</v>
      </c>
      <c r="B89" s="71" t="s">
        <v>322</v>
      </c>
      <c r="C89" s="71" t="s">
        <v>61</v>
      </c>
    </row>
    <row r="90" spans="1:4" ht="14.4" x14ac:dyDescent="0.3">
      <c r="A90" s="70" t="s">
        <v>44</v>
      </c>
      <c r="B90" s="70">
        <f>SUM(AD15:AD49)*1000</f>
        <v>121.61236812977124</v>
      </c>
      <c r="C90" s="70">
        <f>SUM(Z15:Z49)</f>
        <v>3.9267797265021397E-3</v>
      </c>
    </row>
    <row r="91" spans="1:4" ht="14.4" x14ac:dyDescent="0.3">
      <c r="A91" s="70" t="s">
        <v>47</v>
      </c>
      <c r="B91" s="70">
        <f>SUM(AC15:AC49)*1000</f>
        <v>284.04205710513355</v>
      </c>
      <c r="C91" s="70">
        <f>SUM(Y15:Y49)</f>
        <v>2.0274236766961707E-2</v>
      </c>
    </row>
    <row r="92" spans="1:4" ht="14.4" x14ac:dyDescent="0.3">
      <c r="A92" s="70" t="s">
        <v>196</v>
      </c>
      <c r="B92" s="70">
        <f>SUM(AE15:AE49)*1000</f>
        <v>15.530498572133459</v>
      </c>
      <c r="C92" s="70">
        <f>SUM(AA15:AA49)</f>
        <v>4.842687425049411E-4</v>
      </c>
    </row>
    <row r="93" spans="1:4" ht="14.4" x14ac:dyDescent="0.3">
      <c r="A93" s="70" t="s">
        <v>51</v>
      </c>
      <c r="B93" s="70">
        <f>SUM(AB15:AB49)*1000</f>
        <v>90.606507805897238</v>
      </c>
      <c r="C93" s="70">
        <f>SUM(X15:X49)</f>
        <v>7.5442554376267479E-3</v>
      </c>
    </row>
    <row r="94" spans="1:4" ht="14.4" x14ac:dyDescent="0.3">
      <c r="A94" s="71" t="s">
        <v>320</v>
      </c>
      <c r="B94" s="71" t="s">
        <v>325</v>
      </c>
      <c r="C94" s="7"/>
    </row>
    <row r="95" spans="1:4" ht="14.4" x14ac:dyDescent="0.3">
      <c r="A95" s="70" t="str">
        <f>'Mod Wolfe v1 calcs'!A39</f>
        <v>biotin</v>
      </c>
      <c r="B95" s="79">
        <f>VLOOKUP(A95,$A$39:$C$48,3,FALSE)*1000</f>
        <v>50</v>
      </c>
    </row>
    <row r="96" spans="1:4" ht="14.4" x14ac:dyDescent="0.3">
      <c r="A96" s="70" t="str">
        <f>'Mod Wolfe v1 calcs'!A40</f>
        <v>folic acid</v>
      </c>
      <c r="B96" s="79">
        <f t="shared" ref="B96:B106" si="25">VLOOKUP(A96,$A$39:$C$48,3,FALSE)*1000</f>
        <v>50</v>
      </c>
    </row>
    <row r="97" spans="1:3" ht="14.4" x14ac:dyDescent="0.3">
      <c r="A97" s="70" t="str">
        <f>'Mod Wolfe v1 calcs'!A41</f>
        <v>pyridoxine</v>
      </c>
      <c r="B97" s="79">
        <f t="shared" si="25"/>
        <v>100</v>
      </c>
    </row>
    <row r="98" spans="1:3" ht="14.4" x14ac:dyDescent="0.3">
      <c r="A98" s="70" t="str">
        <f>'Mod Wolfe v1 calcs'!A42</f>
        <v>thiamine</v>
      </c>
      <c r="B98" s="79">
        <f t="shared" si="25"/>
        <v>100</v>
      </c>
    </row>
    <row r="99" spans="1:3" ht="14.4" x14ac:dyDescent="0.3">
      <c r="A99" s="70" t="str">
        <f>'Mod Wolfe v1 calcs'!A43</f>
        <v>riboflavin</v>
      </c>
      <c r="B99" s="79">
        <f t="shared" si="25"/>
        <v>100</v>
      </c>
    </row>
    <row r="100" spans="1:3" ht="14.4" x14ac:dyDescent="0.3">
      <c r="A100" s="70" t="str">
        <f>'Mod Wolfe v1 calcs'!A44</f>
        <v>nicotinic acid</v>
      </c>
      <c r="B100" s="79">
        <f t="shared" si="25"/>
        <v>100</v>
      </c>
    </row>
    <row r="101" spans="1:3" ht="15" customHeight="1" x14ac:dyDescent="0.3">
      <c r="A101" s="70" t="str">
        <f>'Mod Wolfe v1 calcs'!A45</f>
        <v>Ca-pantothenate</v>
      </c>
      <c r="B101" s="79">
        <f t="shared" si="25"/>
        <v>100</v>
      </c>
    </row>
    <row r="102" spans="1:3" ht="15" customHeight="1" x14ac:dyDescent="0.3">
      <c r="A102" s="70" t="str">
        <f>'Mod Wolfe v1 calcs'!A46</f>
        <v>Vitamin B-12</v>
      </c>
      <c r="B102" s="79">
        <f t="shared" si="25"/>
        <v>50</v>
      </c>
    </row>
    <row r="103" spans="1:3" ht="15" customHeight="1" x14ac:dyDescent="0.3">
      <c r="A103" s="70" t="str">
        <f>'Mod Wolfe v1 calcs'!A47</f>
        <v>p-aminobenzoic acid</v>
      </c>
      <c r="B103" s="79">
        <f t="shared" si="25"/>
        <v>100</v>
      </c>
    </row>
    <row r="104" spans="1:3" ht="15" customHeight="1" x14ac:dyDescent="0.3">
      <c r="A104" s="70" t="str">
        <f>'Mod Wolfe v1 calcs'!A48</f>
        <v>lipoic acid</v>
      </c>
      <c r="B104" s="79">
        <f t="shared" si="25"/>
        <v>50</v>
      </c>
    </row>
    <row r="105" spans="1:3" ht="15" customHeight="1" x14ac:dyDescent="0.3">
      <c r="A105" s="181" t="s">
        <v>123</v>
      </c>
      <c r="B105" s="79" t="e">
        <f t="shared" si="25"/>
        <v>#N/A</v>
      </c>
    </row>
    <row r="106" spans="1:3" ht="15" customHeight="1" x14ac:dyDescent="0.3">
      <c r="A106" t="s">
        <v>288</v>
      </c>
      <c r="B106" s="79">
        <f t="shared" si="25"/>
        <v>50</v>
      </c>
    </row>
    <row r="107" spans="1:3" ht="15" customHeight="1" x14ac:dyDescent="0.3">
      <c r="A107" s="7" t="s">
        <v>279</v>
      </c>
      <c r="B107" s="269">
        <f>SUM(B54:B58,B69:B73)/1000</f>
        <v>1.6613419470655408</v>
      </c>
      <c r="C107" t="s">
        <v>97</v>
      </c>
    </row>
    <row r="108" spans="1:3" ht="15" customHeight="1" x14ac:dyDescent="0.3">
      <c r="A108" s="7" t="s">
        <v>4</v>
      </c>
      <c r="B108" s="269">
        <f>SUM(D53:D66,D68:D83)/2</f>
        <v>5.5130036400175816E-2</v>
      </c>
    </row>
    <row r="109" spans="1:3" ht="15" customHeight="1" x14ac:dyDescent="0.3">
      <c r="A109" s="70"/>
    </row>
  </sheetData>
  <phoneticPr fontId="10" type="noConversion"/>
  <pageMargins left="0.7" right="0.7" top="0.75" bottom="0.75" header="0.3" footer="0.3"/>
  <pageSetup scale="42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A2E16-5EB6-45B8-BCE5-B9FB59762D5A}">
  <sheetPr>
    <tabColor rgb="FFFF0000"/>
    <pageSetUpPr fitToPage="1"/>
  </sheetPr>
  <dimension ref="A1:AI113"/>
  <sheetViews>
    <sheetView topLeftCell="A77" workbookViewId="0">
      <selection activeCell="L59" sqref="L59"/>
    </sheetView>
  </sheetViews>
  <sheetFormatPr defaultColWidth="9.109375" defaultRowHeight="15" customHeight="1" x14ac:dyDescent="0.3"/>
  <cols>
    <col min="1" max="1" width="24.109375" customWidth="1"/>
    <col min="2" max="2" width="11.77734375" customWidth="1"/>
    <col min="3" max="3" width="10.88671875" customWidth="1"/>
    <col min="4" max="4" width="12.88671875" customWidth="1"/>
    <col min="5" max="5" width="18.21875" customWidth="1"/>
    <col min="6" max="6" width="7.21875" bestFit="1" customWidth="1"/>
    <col min="7" max="7" width="14.5546875" customWidth="1"/>
    <col min="8" max="8" width="6.109375" bestFit="1" customWidth="1"/>
    <col min="9" max="9" width="11.77734375" bestFit="1" customWidth="1"/>
    <col min="10" max="10" width="9.77734375" bestFit="1" customWidth="1"/>
    <col min="11" max="11" width="9.77734375" customWidth="1"/>
    <col min="12" max="12" width="11.77734375" bestFit="1" customWidth="1"/>
    <col min="13" max="13" width="7.21875" bestFit="1" customWidth="1"/>
    <col min="14" max="14" width="8.77734375" customWidth="1"/>
    <col min="15" max="15" width="6.109375" bestFit="1" customWidth="1"/>
    <col min="16" max="16" width="11.77734375" bestFit="1" customWidth="1"/>
    <col min="17" max="17" width="9.77734375" bestFit="1" customWidth="1"/>
    <col min="18" max="18" width="11" customWidth="1"/>
    <col min="19" max="20" width="9.109375" bestFit="1" customWidth="1"/>
    <col min="21" max="31" width="9.109375" customWidth="1"/>
    <col min="32" max="32" width="12.109375" customWidth="1"/>
    <col min="33" max="33" width="11.88671875" customWidth="1"/>
  </cols>
  <sheetData>
    <row r="1" spans="1:35" ht="14.4" customHeight="1" x14ac:dyDescent="0.35">
      <c r="A1" s="47" t="s">
        <v>90</v>
      </c>
    </row>
    <row r="2" spans="1:35" ht="14.4" x14ac:dyDescent="0.3"/>
    <row r="3" spans="1:35" ht="14.4" x14ac:dyDescent="0.3">
      <c r="A3" s="7" t="s">
        <v>91</v>
      </c>
      <c r="B3" s="7" t="s">
        <v>92</v>
      </c>
      <c r="C3" s="7" t="s">
        <v>3</v>
      </c>
      <c r="D3" s="7" t="s">
        <v>93</v>
      </c>
    </row>
    <row r="4" spans="1:35" ht="14.4" x14ac:dyDescent="0.3">
      <c r="A4" t="s">
        <v>94</v>
      </c>
      <c r="B4">
        <v>995</v>
      </c>
      <c r="C4" s="8">
        <f>B69</f>
        <v>7.512015379685999E-2</v>
      </c>
      <c r="D4" s="9">
        <f>B4/1000</f>
        <v>0.995</v>
      </c>
    </row>
    <row r="5" spans="1:35" ht="14.4" x14ac:dyDescent="0.3">
      <c r="A5" t="s">
        <v>95</v>
      </c>
      <c r="B5">
        <v>5</v>
      </c>
      <c r="C5" s="8" t="e">
        <f>#REF!</f>
        <v>#REF!</v>
      </c>
      <c r="D5" s="9">
        <f>B5/1000</f>
        <v>5.0000000000000001E-3</v>
      </c>
    </row>
    <row r="6" spans="1:35" ht="18" x14ac:dyDescent="0.35">
      <c r="A6" s="10" t="s">
        <v>96</v>
      </c>
      <c r="B6" s="11" t="e">
        <f>B4/1000*C4+B5/1000*C5</f>
        <v>#REF!</v>
      </c>
      <c r="C6" s="12" t="s">
        <v>97</v>
      </c>
    </row>
    <row r="7" spans="1:35" ht="14.4" x14ac:dyDescent="0.3">
      <c r="A7" t="s">
        <v>13</v>
      </c>
      <c r="B7" t="e">
        <f>D4*SUM(#REF!,#REF!)+D5*SUM(#REF!,#REF!)</f>
        <v>#REF!</v>
      </c>
    </row>
    <row r="8" spans="1:35" ht="14.4" x14ac:dyDescent="0.3">
      <c r="A8" t="s">
        <v>18</v>
      </c>
      <c r="B8" t="e">
        <f>SUM(#REF!)*D4</f>
        <v>#REF!</v>
      </c>
    </row>
    <row r="9" spans="1:35" ht="14.4" x14ac:dyDescent="0.3">
      <c r="A9" t="s">
        <v>20</v>
      </c>
      <c r="B9" t="e">
        <f>SUM(#REF!)*D4</f>
        <v>#REF!</v>
      </c>
      <c r="I9" t="s">
        <v>313</v>
      </c>
      <c r="J9" t="s">
        <v>12</v>
      </c>
    </row>
    <row r="10" spans="1:35" ht="14.4" x14ac:dyDescent="0.3">
      <c r="A10" t="s">
        <v>24</v>
      </c>
      <c r="B10" t="e">
        <f>D5*SUM(#REF!,#REF!,#REF!,#REF!)</f>
        <v>#REF!</v>
      </c>
      <c r="I10" t="s">
        <v>314</v>
      </c>
      <c r="J10" t="s">
        <v>313</v>
      </c>
    </row>
    <row r="11" spans="1:35" ht="14.4" x14ac:dyDescent="0.3">
      <c r="A11" t="s">
        <v>28</v>
      </c>
      <c r="B11" t="e">
        <f>D5*SUM(#REF!,#REF!)</f>
        <v>#REF!</v>
      </c>
      <c r="T11" s="7"/>
    </row>
    <row r="12" spans="1:35" thickBot="1" x14ac:dyDescent="0.35">
      <c r="T12" s="7" t="s">
        <v>317</v>
      </c>
    </row>
    <row r="13" spans="1:35" ht="15" customHeight="1" thickBot="1" x14ac:dyDescent="0.35">
      <c r="F13" s="136" t="s">
        <v>98</v>
      </c>
      <c r="G13" s="137"/>
      <c r="H13" s="137"/>
      <c r="I13" s="137"/>
      <c r="J13" s="137"/>
      <c r="K13" s="137"/>
      <c r="L13" s="137"/>
      <c r="M13" s="194" t="s">
        <v>99</v>
      </c>
      <c r="N13" s="195"/>
      <c r="O13" s="196"/>
      <c r="P13" s="196"/>
      <c r="Q13" s="196"/>
      <c r="R13" s="196"/>
      <c r="S13" s="197"/>
      <c r="T13" s="52" t="s">
        <v>51</v>
      </c>
      <c r="U13" s="221" t="s">
        <v>47</v>
      </c>
      <c r="V13" s="221" t="s">
        <v>44</v>
      </c>
      <c r="W13" s="222" t="s">
        <v>196</v>
      </c>
      <c r="X13" s="52" t="s">
        <v>51</v>
      </c>
      <c r="Y13" s="221" t="s">
        <v>47</v>
      </c>
      <c r="Z13" s="221" t="s">
        <v>44</v>
      </c>
      <c r="AA13" s="222" t="s">
        <v>196</v>
      </c>
      <c r="AB13" s="52" t="s">
        <v>51</v>
      </c>
      <c r="AC13" s="221" t="s">
        <v>47</v>
      </c>
      <c r="AD13" s="221" t="s">
        <v>44</v>
      </c>
      <c r="AE13" s="222" t="s">
        <v>196</v>
      </c>
      <c r="AF13" s="7"/>
      <c r="AG13" s="7"/>
      <c r="AI13" s="7"/>
    </row>
    <row r="14" spans="1:35" ht="14.4" x14ac:dyDescent="0.3">
      <c r="A14" s="13" t="s">
        <v>101</v>
      </c>
      <c r="B14" s="14" t="s">
        <v>100</v>
      </c>
      <c r="C14" s="15" t="s">
        <v>102</v>
      </c>
      <c r="D14" s="16" t="s">
        <v>8</v>
      </c>
      <c r="E14" s="16" t="s">
        <v>103</v>
      </c>
      <c r="F14" s="17" t="s">
        <v>98</v>
      </c>
      <c r="G14" s="17" t="s">
        <v>104</v>
      </c>
      <c r="H14" s="17" t="s">
        <v>105</v>
      </c>
      <c r="I14" s="17" t="s">
        <v>106</v>
      </c>
      <c r="J14" s="179" t="s">
        <v>107</v>
      </c>
      <c r="K14" s="179" t="s">
        <v>318</v>
      </c>
      <c r="L14" s="37" t="s">
        <v>108</v>
      </c>
      <c r="M14" s="249" t="s">
        <v>99</v>
      </c>
      <c r="N14" s="184" t="s">
        <v>104</v>
      </c>
      <c r="O14" s="106" t="s">
        <v>105</v>
      </c>
      <c r="P14" s="40" t="s">
        <v>109</v>
      </c>
      <c r="Q14" s="40" t="s">
        <v>107</v>
      </c>
      <c r="R14" s="179" t="s">
        <v>318</v>
      </c>
      <c r="S14" s="199" t="s">
        <v>110</v>
      </c>
      <c r="T14" s="215" t="s">
        <v>104</v>
      </c>
      <c r="U14" s="184"/>
      <c r="V14" s="184"/>
      <c r="W14" s="216"/>
      <c r="X14" s="215" t="s">
        <v>61</v>
      </c>
      <c r="Y14" s="184"/>
      <c r="Z14" s="184"/>
      <c r="AA14" s="216"/>
      <c r="AB14" s="215" t="s">
        <v>334</v>
      </c>
      <c r="AC14" s="184"/>
      <c r="AD14" s="184"/>
      <c r="AE14" s="216"/>
      <c r="AG14" s="8"/>
    </row>
    <row r="15" spans="1:35" ht="14.4" x14ac:dyDescent="0.3">
      <c r="A15" s="25" t="s">
        <v>85</v>
      </c>
      <c r="B15" s="25">
        <f>VLOOKUP(A15,Library!$B$4:$C$57,2,FALSE)</f>
        <v>292.24</v>
      </c>
      <c r="C15" s="75">
        <f>VLOOKUP(A15,'Mod Wolfe v2 (HCl)'!$F$5:$G$20,2,FALSE)*(1000/'Mod Wolfe v2 (HCl)'!$G$21)</f>
        <v>0.2</v>
      </c>
      <c r="D15" s="26" t="s">
        <v>97</v>
      </c>
      <c r="E15" s="26">
        <f t="shared" ref="E15:E26" si="0">IF(D15="g/L",C15/B15,IF(D15="mg/L",C15/(1000*B15),IF(D15="ug/L",C15/(1000000*B15),"error")))</f>
        <v>6.8436901177114698E-4</v>
      </c>
      <c r="F15" s="25"/>
      <c r="G15" s="25"/>
      <c r="H15" s="25"/>
      <c r="I15" s="25"/>
      <c r="J15" s="178"/>
      <c r="K15" s="183"/>
      <c r="L15" s="28"/>
      <c r="M15" s="86" t="s">
        <v>299</v>
      </c>
      <c r="N15" s="22">
        <v>1</v>
      </c>
      <c r="O15" s="25">
        <f>VLOOKUP(M15,Library!$K$4:$M$36,3,FALSE)</f>
        <v>-2</v>
      </c>
      <c r="P15" s="25">
        <f>E15*N15</f>
        <v>6.8436901177114698E-4</v>
      </c>
      <c r="Q15" s="25">
        <f>IF(M15="N/A",0,VLOOKUP(M15,Library!$K$4:$N$36,2,FALSE))</f>
        <v>292.24380000000002</v>
      </c>
      <c r="R15" s="25">
        <f>P15*(O15^2)</f>
        <v>2.7374760470845879E-3</v>
      </c>
      <c r="S15" s="200">
        <f>P15*Q15</f>
        <v>0.20000260060224473</v>
      </c>
      <c r="T15" s="217">
        <f>VLOOKUP(A15,Library!$B$4:$G$69,3,FALSE)</f>
        <v>10</v>
      </c>
      <c r="U15" s="185">
        <f>VLOOKUP(A15,Library!$B$4:$G$69,4,FALSE)</f>
        <v>2</v>
      </c>
      <c r="V15" s="185">
        <f>VLOOKUP(A15,Library!$B$4:$G$69,5,FALSE)</f>
        <v>0</v>
      </c>
      <c r="W15" s="218">
        <f>VLOOKUP(A15,Library!$B$4:$G$69,6,FALSE)</f>
        <v>0</v>
      </c>
      <c r="X15" s="217">
        <f>T15*E15</f>
        <v>6.8436901177114703E-3</v>
      </c>
      <c r="Y15" s="185">
        <f>U15*E15</f>
        <v>1.368738023542294E-3</v>
      </c>
      <c r="Z15" s="185">
        <f>V15*E15</f>
        <v>0</v>
      </c>
      <c r="AA15" s="218">
        <f>W15*E15</f>
        <v>0</v>
      </c>
      <c r="AB15" s="217">
        <f>X15*VLOOKUP($AB$13,Library!$T$4:$U$7,2,FALSE)</f>
        <v>8.219271831371476E-2</v>
      </c>
      <c r="AC15" s="185">
        <f>Y15*VLOOKUP($AC$13,Library!$T$4:$U$7,2,FALSE)</f>
        <v>1.917601970982754E-2</v>
      </c>
      <c r="AD15" s="185">
        <f>Z15*VLOOKUP($AD$13,Library!$T$4:$U$7,2,FALSE)</f>
        <v>0</v>
      </c>
      <c r="AE15" s="218">
        <f>AA15*VLOOKUP($AE$13,Library!$T$4:$U$7,2,FALSE)</f>
        <v>0</v>
      </c>
      <c r="AG15" s="8"/>
    </row>
    <row r="16" spans="1:35" ht="14.4" x14ac:dyDescent="0.3">
      <c r="A16" s="25" t="s">
        <v>307</v>
      </c>
      <c r="B16" s="25">
        <f>VLOOKUP(A16,Library!$B$4:$C$57,2,FALSE)</f>
        <v>136.09</v>
      </c>
      <c r="C16" s="75">
        <f>VLOOKUP(A16,'Mod Wolfe v2 (HCl)'!$F$6:$G$20,2,FALSE)*(1000/'Mod Wolfe v2 (HCl)'!$G$21)</f>
        <v>0.2</v>
      </c>
      <c r="D16" s="26" t="s">
        <v>97</v>
      </c>
      <c r="E16" s="26">
        <f t="shared" si="0"/>
        <v>1.469615695495628E-3</v>
      </c>
      <c r="F16" s="25" t="s">
        <v>66</v>
      </c>
      <c r="G16" s="25">
        <v>1</v>
      </c>
      <c r="H16" s="25">
        <f>VLOOKUP(F16,Library!$K$4:$M$36,3,FALSE)</f>
        <v>1</v>
      </c>
      <c r="I16" s="25">
        <f>E16*G16</f>
        <v>1.469615695495628E-3</v>
      </c>
      <c r="J16" s="178">
        <f>IF(F16="N/A",0,VLOOKUP(F16,Library!$K$4:$M$36,2,FALSE))</f>
        <v>39.093800000000002</v>
      </c>
      <c r="K16" s="183">
        <f>I16*(H16^2)</f>
        <v>1.469615695495628E-3</v>
      </c>
      <c r="L16" s="28">
        <f>I16*J16</f>
        <v>5.7452862076566982E-2</v>
      </c>
      <c r="M16" s="86" t="s">
        <v>82</v>
      </c>
      <c r="N16" s="22">
        <v>1</v>
      </c>
      <c r="O16" s="25">
        <f>VLOOKUP(M16,Library!$K$4:$M$36,3,FALSE)</f>
        <v>-3</v>
      </c>
      <c r="P16" s="25">
        <f>E16*N16</f>
        <v>1.469615695495628E-3</v>
      </c>
      <c r="Q16" s="25">
        <f>IF(M16="N/A",0,VLOOKUP(M16,Library!$K$4:$N$36,2,FALSE))</f>
        <v>94.97</v>
      </c>
      <c r="R16" s="25">
        <f>P16*(O16^2)</f>
        <v>1.3226541259460652E-2</v>
      </c>
      <c r="S16" s="200">
        <f>P16*Q16</f>
        <v>0.13956940260121978</v>
      </c>
      <c r="T16" s="217">
        <f>VLOOKUP(A16,Library!$B$4:$G$69,3,FALSE)</f>
        <v>0</v>
      </c>
      <c r="U16" s="185">
        <f>VLOOKUP(A16,Library!$B$4:$G$69,4,FALSE)</f>
        <v>0</v>
      </c>
      <c r="V16" s="185">
        <f>VLOOKUP(A16,Library!$B$4:$G$69,5,FALSE)</f>
        <v>1</v>
      </c>
      <c r="W16" s="218">
        <f>VLOOKUP(A16,Library!$B$4:$G$69,6,FALSE)</f>
        <v>0</v>
      </c>
      <c r="X16" s="217">
        <f>T16*E16</f>
        <v>0</v>
      </c>
      <c r="Y16" s="185">
        <f>U16*E16</f>
        <v>0</v>
      </c>
      <c r="Z16" s="185">
        <f>V16*E16</f>
        <v>1.469615695495628E-3</v>
      </c>
      <c r="AA16" s="218">
        <f>W16*E16</f>
        <v>0</v>
      </c>
      <c r="AB16" s="217">
        <f>X16*VLOOKUP($AB$13,Library!$T$4:$U$7,2,FALSE)</f>
        <v>0</v>
      </c>
      <c r="AC16" s="185">
        <f>Y16*VLOOKUP($AC$13,Library!$T$4:$U$7,2,FALSE)</f>
        <v>0</v>
      </c>
      <c r="AD16" s="185">
        <f>Z16*VLOOKUP($AD$13,Library!$T$4:$U$7,2,FALSE)</f>
        <v>4.5513998089499595E-2</v>
      </c>
      <c r="AE16" s="218">
        <f>AA16*VLOOKUP($AE$13,Library!$T$4:$U$7,2,FALSE)</f>
        <v>0</v>
      </c>
      <c r="AG16" s="8"/>
    </row>
    <row r="17" spans="1:33" ht="14.4" x14ac:dyDescent="0.3">
      <c r="A17" s="25" t="s">
        <v>308</v>
      </c>
      <c r="B17" s="25">
        <f>VLOOKUP(A17,Library!$B$4:$C$57,2,FALSE)</f>
        <v>174.18</v>
      </c>
      <c r="C17" s="75">
        <f>VLOOKUP(A17,'Mod Wolfe v2 (HCl)'!$F$6:$G$20,2,FALSE)*(1000/'Mod Wolfe v2 (HCl)'!$G$21)</f>
        <v>0.45</v>
      </c>
      <c r="D17" s="26" t="s">
        <v>97</v>
      </c>
      <c r="E17" s="26">
        <f t="shared" si="0"/>
        <v>2.583534274888047E-3</v>
      </c>
      <c r="F17" s="25" t="s">
        <v>66</v>
      </c>
      <c r="G17" s="25">
        <v>2</v>
      </c>
      <c r="H17" s="25">
        <f>VLOOKUP(F17,Library!$K$4:$M$36,3,FALSE)</f>
        <v>1</v>
      </c>
      <c r="I17" s="25">
        <f t="shared" ref="I17:I40" si="1">E17*G17</f>
        <v>5.1670685497760939E-3</v>
      </c>
      <c r="J17" s="178">
        <f>IF(F17="N/A",0,VLOOKUP(F17,Library!$K$4:$M$36,2,FALSE))</f>
        <v>39.093800000000002</v>
      </c>
      <c r="K17" s="183">
        <f t="shared" ref="K17:K40" si="2">I17*(H17^2)</f>
        <v>5.1670685497760939E-3</v>
      </c>
      <c r="L17" s="28">
        <f t="shared" ref="L17:L40" si="3">I17*J17</f>
        <v>0.20200034447123666</v>
      </c>
      <c r="M17" s="86" t="s">
        <v>82</v>
      </c>
      <c r="N17" s="27">
        <v>1</v>
      </c>
      <c r="O17" s="25">
        <f>VLOOKUP(M17,Library!$K$4:$M$36,3,FALSE)</f>
        <v>-3</v>
      </c>
      <c r="P17" s="25">
        <f t="shared" ref="P17:P40" si="4">E17*N17</f>
        <v>2.583534274888047E-3</v>
      </c>
      <c r="Q17" s="25">
        <f>IF(M17="N/A",0,VLOOKUP(M17,Library!$K$4:$N$36,2,FALSE))</f>
        <v>94.97</v>
      </c>
      <c r="R17" s="25">
        <f t="shared" ref="R17:R40" si="5">P17*(O17^2)</f>
        <v>2.3251808473992424E-2</v>
      </c>
      <c r="S17" s="200">
        <f t="shared" ref="S17:S40" si="6">P17*Q17</f>
        <v>0.24535825008611781</v>
      </c>
      <c r="T17" s="217">
        <f>VLOOKUP(A17,Library!$B$4:$G$69,3,FALSE)</f>
        <v>0</v>
      </c>
      <c r="U17" s="185">
        <f>VLOOKUP(A17,Library!$B$4:$G$69,4,FALSE)</f>
        <v>0</v>
      </c>
      <c r="V17" s="185">
        <f>VLOOKUP(A17,Library!$B$4:$G$69,5,FALSE)</f>
        <v>1</v>
      </c>
      <c r="W17" s="218">
        <f>VLOOKUP(A17,Library!$B$4:$G$69,6,FALSE)</f>
        <v>0</v>
      </c>
      <c r="X17" s="217">
        <f t="shared" ref="X17:X26" si="7">T17*E17</f>
        <v>0</v>
      </c>
      <c r="Y17" s="185">
        <f t="shared" ref="Y17:Y26" si="8">U17*E17</f>
        <v>0</v>
      </c>
      <c r="Z17" s="185">
        <f t="shared" ref="Z17:Z26" si="9">V17*E17</f>
        <v>2.583534274888047E-3</v>
      </c>
      <c r="AA17" s="218">
        <f t="shared" ref="AA17:AA26" si="10">W17*E17</f>
        <v>0</v>
      </c>
      <c r="AB17" s="217">
        <f>X17*VLOOKUP($AB$13,Library!$T$4:$U$7,2,FALSE)</f>
        <v>0</v>
      </c>
      <c r="AC17" s="185">
        <f>Y17*VLOOKUP($AC$13,Library!$T$4:$U$7,2,FALSE)</f>
        <v>0</v>
      </c>
      <c r="AD17" s="185">
        <f>Z17*VLOOKUP($AD$13,Library!$T$4:$U$7,2,FALSE)</f>
        <v>8.0012056493282815E-2</v>
      </c>
      <c r="AE17" s="218">
        <f>AA17*VLOOKUP($AE$13,Library!$T$4:$U$7,2,FALSE)</f>
        <v>0</v>
      </c>
      <c r="AG17" s="8"/>
    </row>
    <row r="18" spans="1:33" ht="14.4" x14ac:dyDescent="0.3">
      <c r="A18" s="25" t="s">
        <v>21</v>
      </c>
      <c r="B18" s="25">
        <f>VLOOKUP(A18,Library!$B$4:$C$57,2,FALSE)</f>
        <v>53.49</v>
      </c>
      <c r="C18" s="75">
        <f>VLOOKUP(A18,'Mod Wolfe v2 (HCl)'!$F$6:$G$20,2,FALSE)*(1000/'Mod Wolfe v2 (HCl)'!$G$21)</f>
        <v>1</v>
      </c>
      <c r="D18" s="26" t="s">
        <v>97</v>
      </c>
      <c r="E18" s="26">
        <f t="shared" si="0"/>
        <v>1.8695083193120209E-2</v>
      </c>
      <c r="F18" s="25" t="s">
        <v>78</v>
      </c>
      <c r="G18" s="25">
        <v>1</v>
      </c>
      <c r="H18" s="25">
        <f>VLOOKUP(F18,Library!$K$4:$M$36,3,FALSE)</f>
        <v>1</v>
      </c>
      <c r="I18" s="25">
        <f t="shared" si="1"/>
        <v>1.8695083193120209E-2</v>
      </c>
      <c r="J18" s="178">
        <f>IF(F18="N/A",0,VLOOKUP(F18,Library!$K$4:$M$36,2,FALSE))</f>
        <v>18.04</v>
      </c>
      <c r="K18" s="183">
        <f t="shared" si="2"/>
        <v>1.8695083193120209E-2</v>
      </c>
      <c r="L18" s="28">
        <f t="shared" si="3"/>
        <v>0.33725930080388855</v>
      </c>
      <c r="M18" s="86" t="s">
        <v>70</v>
      </c>
      <c r="N18" s="27">
        <v>1</v>
      </c>
      <c r="O18" s="25">
        <f>VLOOKUP(M18,Library!$K$4:$M$36,3,FALSE)</f>
        <v>-1</v>
      </c>
      <c r="P18" s="25">
        <f t="shared" si="4"/>
        <v>1.8695083193120209E-2</v>
      </c>
      <c r="Q18" s="25">
        <f>IF(M18="N/A",0,VLOOKUP(M18,Library!$K$4:$N$36,2,FALSE))</f>
        <v>35.453000000000003</v>
      </c>
      <c r="R18" s="25">
        <f t="shared" si="5"/>
        <v>1.8695083193120209E-2</v>
      </c>
      <c r="S18" s="200">
        <f t="shared" si="6"/>
        <v>0.66279678444569079</v>
      </c>
      <c r="T18" s="217">
        <f>VLOOKUP(A18,Library!$B$4:$G$69,3,FALSE)</f>
        <v>0</v>
      </c>
      <c r="U18" s="185">
        <f>VLOOKUP(A18,Library!$B$4:$G$69,4,FALSE)</f>
        <v>1</v>
      </c>
      <c r="V18" s="185">
        <f>VLOOKUP(A18,Library!$B$4:$G$69,5,FALSE)</f>
        <v>0</v>
      </c>
      <c r="W18" s="218">
        <f>VLOOKUP(A18,Library!$B$4:$G$69,6,FALSE)</f>
        <v>0</v>
      </c>
      <c r="X18" s="217">
        <f t="shared" si="7"/>
        <v>0</v>
      </c>
      <c r="Y18" s="185">
        <f t="shared" si="8"/>
        <v>1.8695083193120209E-2</v>
      </c>
      <c r="Z18" s="185">
        <f t="shared" si="9"/>
        <v>0</v>
      </c>
      <c r="AA18" s="218">
        <f t="shared" si="10"/>
        <v>0</v>
      </c>
      <c r="AB18" s="217">
        <f>X18*VLOOKUP($AB$13,Library!$T$4:$U$7,2,FALSE)</f>
        <v>0</v>
      </c>
      <c r="AC18" s="185">
        <f>Y18*VLOOKUP($AC$13,Library!$T$4:$U$7,2,FALSE)</f>
        <v>0.26191811553561412</v>
      </c>
      <c r="AD18" s="185">
        <f>Z18*VLOOKUP($AD$13,Library!$T$4:$U$7,2,FALSE)</f>
        <v>0</v>
      </c>
      <c r="AE18" s="218">
        <f>AA18*VLOOKUP($AE$13,Library!$T$4:$U$7,2,FALSE)</f>
        <v>0</v>
      </c>
      <c r="AG18" s="8"/>
    </row>
    <row r="19" spans="1:33" ht="14.4" x14ac:dyDescent="0.3">
      <c r="A19" s="25" t="s">
        <v>25</v>
      </c>
      <c r="B19" s="25">
        <f>VLOOKUP(A19,Library!$B$4:$C$57,2,FALSE)</f>
        <v>203.3</v>
      </c>
      <c r="C19" s="75">
        <f>VLOOKUP(A19,'Mod Wolfe v2 (HCl)'!$F$6:$G$20,2,FALSE)*(1000/'Mod Wolfe v2 (HCl)'!$G$21)</f>
        <v>0.16</v>
      </c>
      <c r="D19" s="26" t="s">
        <v>97</v>
      </c>
      <c r="E19" s="26">
        <f t="shared" si="0"/>
        <v>7.8701426463354646E-4</v>
      </c>
      <c r="F19" s="25" t="s">
        <v>64</v>
      </c>
      <c r="G19" s="25">
        <v>1</v>
      </c>
      <c r="H19" s="25">
        <f>VLOOKUP(F19,Library!$K$4:$M$36,3,FALSE)</f>
        <v>2</v>
      </c>
      <c r="I19" s="25">
        <f t="shared" si="1"/>
        <v>7.8701426463354646E-4</v>
      </c>
      <c r="J19" s="178">
        <f>IF(F19="N/A",0,VLOOKUP(F19,Library!$K$4:$M$36,2,FALSE))</f>
        <v>24.305</v>
      </c>
      <c r="K19" s="183">
        <f t="shared" si="2"/>
        <v>3.1480570585341859E-3</v>
      </c>
      <c r="L19" s="28">
        <f t="shared" si="3"/>
        <v>1.9128381701918346E-2</v>
      </c>
      <c r="M19" s="86" t="s">
        <v>70</v>
      </c>
      <c r="N19" s="27">
        <v>2</v>
      </c>
      <c r="O19" s="25">
        <f>VLOOKUP(M19,Library!$K$4:$M$36,3,FALSE)</f>
        <v>-1</v>
      </c>
      <c r="P19" s="25">
        <f t="shared" si="4"/>
        <v>1.5740285292670929E-3</v>
      </c>
      <c r="Q19" s="25">
        <f>IF(M19="N/A",0,VLOOKUP(M19,Library!$K$4:$N$36,2,FALSE))</f>
        <v>35.453000000000003</v>
      </c>
      <c r="R19" s="25">
        <f t="shared" si="5"/>
        <v>1.5740285292670929E-3</v>
      </c>
      <c r="S19" s="200">
        <f t="shared" si="6"/>
        <v>5.5804033448106249E-2</v>
      </c>
      <c r="T19" s="217">
        <f>VLOOKUP(A19,Library!$B$4:$G$69,3,FALSE)</f>
        <v>0</v>
      </c>
      <c r="U19" s="185">
        <f>VLOOKUP(A19,Library!$B$4:$G$69,4,FALSE)</f>
        <v>0</v>
      </c>
      <c r="V19" s="185">
        <f>VLOOKUP(A19,Library!$B$4:$G$69,5,FALSE)</f>
        <v>0</v>
      </c>
      <c r="W19" s="218">
        <f>VLOOKUP(A19,Library!$B$4:$G$69,6,FALSE)</f>
        <v>0</v>
      </c>
      <c r="X19" s="217">
        <f t="shared" si="7"/>
        <v>0</v>
      </c>
      <c r="Y19" s="185">
        <f t="shared" si="8"/>
        <v>0</v>
      </c>
      <c r="Z19" s="185">
        <f t="shared" si="9"/>
        <v>0</v>
      </c>
      <c r="AA19" s="218">
        <f t="shared" si="10"/>
        <v>0</v>
      </c>
      <c r="AB19" s="217">
        <f>X19*VLOOKUP($AB$13,Library!$T$4:$U$7,2,FALSE)</f>
        <v>0</v>
      </c>
      <c r="AC19" s="185">
        <f>Y19*VLOOKUP($AC$13,Library!$T$4:$U$7,2,FALSE)</f>
        <v>0</v>
      </c>
      <c r="AD19" s="185">
        <f>Z19*VLOOKUP($AD$13,Library!$T$4:$U$7,2,FALSE)</f>
        <v>0</v>
      </c>
      <c r="AE19" s="218">
        <f>AA19*VLOOKUP($AE$13,Library!$T$4:$U$7,2,FALSE)</f>
        <v>0</v>
      </c>
      <c r="AG19" s="8"/>
    </row>
    <row r="20" spans="1:33" ht="14.4" x14ac:dyDescent="0.3">
      <c r="A20" s="25" t="s">
        <v>29</v>
      </c>
      <c r="B20" s="25">
        <f>VLOOKUP(A20,Library!$B$4:$C$57,2,FALSE)</f>
        <v>147.01</v>
      </c>
      <c r="C20" s="75">
        <f>VLOOKUP(A20,'Mod Wolfe v2 (HCl)'!$F$6:$G$20,2,FALSE)*(1000/'Mod Wolfe v2 (HCl)'!$G$21)</f>
        <v>0.15</v>
      </c>
      <c r="D20" s="26" t="s">
        <v>97</v>
      </c>
      <c r="E20" s="26">
        <f t="shared" si="0"/>
        <v>1.0203387524658186E-3</v>
      </c>
      <c r="F20" s="25" t="s">
        <v>65</v>
      </c>
      <c r="G20" s="25">
        <v>1</v>
      </c>
      <c r="H20" s="25">
        <f>VLOOKUP(F20,Library!$K$4:$M$36,3,FALSE)</f>
        <v>2</v>
      </c>
      <c r="I20" s="25">
        <f t="shared" si="1"/>
        <v>1.0203387524658186E-3</v>
      </c>
      <c r="J20" s="178">
        <f>IF(F20="N/A",0,VLOOKUP(F20,Library!$K$4:$M$36,2,FALSE))</f>
        <v>40.078000000000003</v>
      </c>
      <c r="K20" s="183">
        <f t="shared" si="2"/>
        <v>4.0813550098632743E-3</v>
      </c>
      <c r="L20" s="28">
        <f t="shared" si="3"/>
        <v>4.0893136521325077E-2</v>
      </c>
      <c r="M20" s="86" t="s">
        <v>70</v>
      </c>
      <c r="N20" s="27">
        <v>2</v>
      </c>
      <c r="O20" s="25">
        <f>VLOOKUP(M20,Library!$K$4:$M$36,3,FALSE)</f>
        <v>-1</v>
      </c>
      <c r="P20" s="25">
        <f t="shared" si="4"/>
        <v>2.0406775049316372E-3</v>
      </c>
      <c r="Q20" s="25">
        <f>IF(M20="N/A",0,VLOOKUP(M20,Library!$K$4:$N$36,2,FALSE))</f>
        <v>35.453000000000003</v>
      </c>
      <c r="R20" s="25">
        <f t="shared" si="5"/>
        <v>2.0406775049316372E-3</v>
      </c>
      <c r="S20" s="200">
        <f t="shared" si="6"/>
        <v>7.2348139582341334E-2</v>
      </c>
      <c r="T20" s="217">
        <f>VLOOKUP(A20,Library!$B$4:$G$69,3,FALSE)</f>
        <v>0</v>
      </c>
      <c r="U20" s="185">
        <f>VLOOKUP(A20,Library!$B$4:$G$69,4,FALSE)</f>
        <v>0</v>
      </c>
      <c r="V20" s="185">
        <f>VLOOKUP(A20,Library!$B$4:$G$69,5,FALSE)</f>
        <v>0</v>
      </c>
      <c r="W20" s="218">
        <f>VLOOKUP(A20,Library!$B$4:$G$69,6,FALSE)</f>
        <v>0</v>
      </c>
      <c r="X20" s="217">
        <f t="shared" si="7"/>
        <v>0</v>
      </c>
      <c r="Y20" s="185">
        <f t="shared" si="8"/>
        <v>0</v>
      </c>
      <c r="Z20" s="185">
        <f t="shared" si="9"/>
        <v>0</v>
      </c>
      <c r="AA20" s="218">
        <f t="shared" si="10"/>
        <v>0</v>
      </c>
      <c r="AB20" s="217">
        <f>X20*VLOOKUP($AB$13,Library!$T$4:$U$7,2,FALSE)</f>
        <v>0</v>
      </c>
      <c r="AC20" s="185">
        <f>Y20*VLOOKUP($AC$13,Library!$T$4:$U$7,2,FALSE)</f>
        <v>0</v>
      </c>
      <c r="AD20" s="185">
        <f>Z20*VLOOKUP($AD$13,Library!$T$4:$U$7,2,FALSE)</f>
        <v>0</v>
      </c>
      <c r="AE20" s="218">
        <f>AA20*VLOOKUP($AE$13,Library!$T$4:$U$7,2,FALSE)</f>
        <v>0</v>
      </c>
      <c r="AG20" s="8"/>
    </row>
    <row r="21" spans="1:33" ht="14.4" x14ac:dyDescent="0.3">
      <c r="A21" s="25" t="s">
        <v>33</v>
      </c>
      <c r="B21" s="25">
        <f>VLOOKUP(A21,Library!$B$4:$C$57,2,FALSE)</f>
        <v>58.44</v>
      </c>
      <c r="C21" s="75">
        <f>VLOOKUP(A21,'Mod Wolfe v2 (HCl)'!$F$6:$G$20,2,FALSE)*(1000/'Mod Wolfe v2 (HCl)'!$G$21)</f>
        <v>0.6</v>
      </c>
      <c r="D21" s="26" t="s">
        <v>97</v>
      </c>
      <c r="E21" s="26">
        <f t="shared" si="0"/>
        <v>1.0266940451745379E-2</v>
      </c>
      <c r="F21" s="25" t="s">
        <v>63</v>
      </c>
      <c r="G21" s="25">
        <v>1</v>
      </c>
      <c r="H21" s="25">
        <f>VLOOKUP(F21,Library!$K$4:$M$36,3,FALSE)</f>
        <v>1</v>
      </c>
      <c r="I21" s="25">
        <f t="shared" si="1"/>
        <v>1.0266940451745379E-2</v>
      </c>
      <c r="J21" s="178">
        <f>IF(F21="N/A",0,VLOOKUP(F21,Library!$K$4:$M$36,2,FALSE))</f>
        <v>28.989768999999999</v>
      </c>
      <c r="K21" s="183">
        <f t="shared" si="2"/>
        <v>1.0266940451745379E-2</v>
      </c>
      <c r="L21" s="28">
        <f t="shared" si="3"/>
        <v>0.29763623203285416</v>
      </c>
      <c r="M21" s="86" t="s">
        <v>70</v>
      </c>
      <c r="N21" s="27">
        <v>1</v>
      </c>
      <c r="O21" s="25">
        <f>VLOOKUP(M21,Library!$K$4:$M$36,3,FALSE)</f>
        <v>-1</v>
      </c>
      <c r="P21" s="25">
        <f t="shared" si="4"/>
        <v>1.0266940451745379E-2</v>
      </c>
      <c r="Q21" s="25">
        <f>IF(M21="N/A",0,VLOOKUP(M21,Library!$K$4:$N$36,2,FALSE))</f>
        <v>35.453000000000003</v>
      </c>
      <c r="R21" s="25">
        <f t="shared" si="5"/>
        <v>1.0266940451745379E-2</v>
      </c>
      <c r="S21" s="200">
        <f t="shared" si="6"/>
        <v>0.36399383983572897</v>
      </c>
      <c r="T21" s="217">
        <f>VLOOKUP(A21,Library!$B$4:$G$69,3,FALSE)</f>
        <v>0</v>
      </c>
      <c r="U21" s="185">
        <f>VLOOKUP(A21,Library!$B$4:$G$69,4,FALSE)</f>
        <v>0</v>
      </c>
      <c r="V21" s="185">
        <f>VLOOKUP(A21,Library!$B$4:$G$69,5,FALSE)</f>
        <v>0</v>
      </c>
      <c r="W21" s="218">
        <f>VLOOKUP(A21,Library!$B$4:$G$69,6,FALSE)</f>
        <v>0</v>
      </c>
      <c r="X21" s="217">
        <f t="shared" si="7"/>
        <v>0</v>
      </c>
      <c r="Y21" s="185">
        <f t="shared" si="8"/>
        <v>0</v>
      </c>
      <c r="Z21" s="185">
        <f t="shared" si="9"/>
        <v>0</v>
      </c>
      <c r="AA21" s="218">
        <f t="shared" si="10"/>
        <v>0</v>
      </c>
      <c r="AB21" s="217">
        <f>X21*VLOOKUP($AB$13,Library!$T$4:$U$7,2,FALSE)</f>
        <v>0</v>
      </c>
      <c r="AC21" s="185">
        <f>Y21*VLOOKUP($AC$13,Library!$T$4:$U$7,2,FALSE)</f>
        <v>0</v>
      </c>
      <c r="AD21" s="185">
        <f>Z21*VLOOKUP($AD$13,Library!$T$4:$U$7,2,FALSE)</f>
        <v>0</v>
      </c>
      <c r="AE21" s="218">
        <f>AA21*VLOOKUP($AE$13,Library!$T$4:$U$7,2,FALSE)</f>
        <v>0</v>
      </c>
      <c r="AG21" s="8"/>
    </row>
    <row r="22" spans="1:33" ht="14.4" x14ac:dyDescent="0.3">
      <c r="A22" s="25" t="s">
        <v>52</v>
      </c>
      <c r="B22" s="25">
        <f>VLOOKUP(A22,Library!$B$4:$C$57,2,FALSE)</f>
        <v>84.01</v>
      </c>
      <c r="C22" s="75">
        <f>VLOOKUP(A22,'Mod Wolfe v2 (HCl)'!$F$6:$G$20,2,FALSE)*(1000/'Mod Wolfe v2 (HCl)'!$G$21)</f>
        <v>0</v>
      </c>
      <c r="D22" s="26" t="s">
        <v>97</v>
      </c>
      <c r="E22" s="26">
        <f t="shared" si="0"/>
        <v>0</v>
      </c>
      <c r="F22" s="25" t="s">
        <v>63</v>
      </c>
      <c r="G22" s="25">
        <v>1</v>
      </c>
      <c r="H22" s="25">
        <f>VLOOKUP(F22,Library!$K$4:$M$36,3,FALSE)</f>
        <v>1</v>
      </c>
      <c r="I22" s="25">
        <f t="shared" si="1"/>
        <v>0</v>
      </c>
      <c r="J22" s="178">
        <f>IF(F22="N/A",0,VLOOKUP(F22,Library!$K$4:$M$36,2,FALSE))</f>
        <v>28.989768999999999</v>
      </c>
      <c r="K22" s="183">
        <f t="shared" si="2"/>
        <v>0</v>
      </c>
      <c r="L22" s="28">
        <f t="shared" si="3"/>
        <v>0</v>
      </c>
      <c r="M22" s="86" t="s">
        <v>67</v>
      </c>
      <c r="N22" s="27">
        <v>1</v>
      </c>
      <c r="O22" s="25">
        <f>VLOOKUP(M22,Library!$K$4:$M$36,3,FALSE)</f>
        <v>-1</v>
      </c>
      <c r="P22" s="25">
        <f t="shared" si="4"/>
        <v>0</v>
      </c>
      <c r="Q22" s="25">
        <f>IF(M22="N/A",0,VLOOKUP(M22,Library!$K$4:$N$36,2,FALSE))</f>
        <v>61.016800000000003</v>
      </c>
      <c r="R22" s="25">
        <f t="shared" si="5"/>
        <v>0</v>
      </c>
      <c r="S22" s="200">
        <f t="shared" si="6"/>
        <v>0</v>
      </c>
      <c r="T22" s="217">
        <f>VLOOKUP(A22,Library!$B$4:$G$69,3,FALSE)</f>
        <v>1</v>
      </c>
      <c r="U22" s="185">
        <f>VLOOKUP(A22,Library!$B$4:$G$69,4,FALSE)</f>
        <v>0</v>
      </c>
      <c r="V22" s="185">
        <f>VLOOKUP(A22,Library!$B$4:$G$69,5,FALSE)</f>
        <v>0</v>
      </c>
      <c r="W22" s="218">
        <f>VLOOKUP(A22,Library!$B$4:$G$69,6,FALSE)</f>
        <v>0</v>
      </c>
      <c r="X22" s="217">
        <f t="shared" si="7"/>
        <v>0</v>
      </c>
      <c r="Y22" s="185">
        <f t="shared" si="8"/>
        <v>0</v>
      </c>
      <c r="Z22" s="185">
        <f t="shared" si="9"/>
        <v>0</v>
      </c>
      <c r="AA22" s="218">
        <f t="shared" si="10"/>
        <v>0</v>
      </c>
      <c r="AB22" s="217">
        <f>X22*VLOOKUP($AB$13,Library!$T$4:$U$7,2,FALSE)</f>
        <v>0</v>
      </c>
      <c r="AC22" s="185">
        <f>Y22*VLOOKUP($AC$13,Library!$T$4:$U$7,2,FALSE)</f>
        <v>0</v>
      </c>
      <c r="AD22" s="185">
        <f>Z22*VLOOKUP($AD$13,Library!$T$4:$U$7,2,FALSE)</f>
        <v>0</v>
      </c>
      <c r="AE22" s="218">
        <f>AA22*VLOOKUP($AE$13,Library!$T$4:$U$7,2,FALSE)</f>
        <v>0</v>
      </c>
      <c r="AG22" s="8"/>
    </row>
    <row r="23" spans="1:33" ht="14.4" x14ac:dyDescent="0.3">
      <c r="A23" s="38" t="s">
        <v>125</v>
      </c>
      <c r="B23" s="25">
        <f>VLOOKUP(A23,Library!$B$4:$C$57,2,FALSE)</f>
        <v>40</v>
      </c>
      <c r="C23" s="75">
        <f>VLOOKUP(A23,'Mod Wolfe v2 (HCl)'!$F$6:$G$20,2,FALSE)*(1000/'Mod Wolfe v2 (HCl)'!$G$21)</f>
        <v>0.12</v>
      </c>
      <c r="D23" s="26" t="s">
        <v>97</v>
      </c>
      <c r="E23" s="26">
        <f t="shared" si="0"/>
        <v>3.0000000000000001E-3</v>
      </c>
      <c r="F23" s="25" t="s">
        <v>63</v>
      </c>
      <c r="G23" s="25">
        <v>1</v>
      </c>
      <c r="H23" s="25">
        <f>VLOOKUP(F23,Library!$K$4:$M$36,3,FALSE)</f>
        <v>1</v>
      </c>
      <c r="I23" s="25">
        <f t="shared" si="1"/>
        <v>3.0000000000000001E-3</v>
      </c>
      <c r="J23" s="178">
        <f>IF(F23="N/A",0,VLOOKUP(F23,Library!$K$4:$M$36,2,FALSE))</f>
        <v>28.989768999999999</v>
      </c>
      <c r="K23" s="183">
        <f t="shared" ref="K23" si="11">I23*(H23^2)</f>
        <v>3.0000000000000001E-3</v>
      </c>
      <c r="L23" s="28">
        <f t="shared" ref="L23" si="12">I23*J23</f>
        <v>8.6969306999999996E-2</v>
      </c>
      <c r="M23" s="239"/>
      <c r="N23" s="234"/>
      <c r="O23" s="234"/>
      <c r="P23" s="234"/>
      <c r="Q23" s="234"/>
      <c r="R23" s="234"/>
      <c r="S23" s="240"/>
      <c r="T23" s="241"/>
      <c r="U23" s="242"/>
      <c r="V23" s="242"/>
      <c r="W23" s="243"/>
      <c r="X23" s="241"/>
      <c r="Y23" s="242"/>
      <c r="Z23" s="242"/>
      <c r="AA23" s="243"/>
      <c r="AB23" s="241"/>
      <c r="AC23" s="242"/>
      <c r="AD23" s="242"/>
      <c r="AE23" s="243"/>
      <c r="AG23" s="8"/>
    </row>
    <row r="24" spans="1:33" ht="14.4" x14ac:dyDescent="0.3">
      <c r="A24" s="38" t="s">
        <v>125</v>
      </c>
      <c r="B24" s="25">
        <f>VLOOKUP(A24,Library!$B$4:$C$57,2,FALSE)</f>
        <v>40</v>
      </c>
      <c r="C24" s="75">
        <f>'Mod Wolfe v2 (HCl)'!N26*('Mod Wolfe v2 (HCl)'!G19/'Mod Wolfe v2 (HCl)'!G21)</f>
        <v>0.1</v>
      </c>
      <c r="D24" s="26" t="s">
        <v>97</v>
      </c>
      <c r="E24" s="26">
        <f t="shared" si="0"/>
        <v>2.5000000000000001E-3</v>
      </c>
      <c r="F24" s="25" t="s">
        <v>63</v>
      </c>
      <c r="G24" s="25">
        <v>1</v>
      </c>
      <c r="H24" s="25">
        <f>VLOOKUP(F24,Library!$K$4:$M$36,3,FALSE)</f>
        <v>1</v>
      </c>
      <c r="I24" s="25">
        <f t="shared" si="1"/>
        <v>2.5000000000000001E-3</v>
      </c>
      <c r="J24" s="178">
        <f>IF(F24="N/A",0,VLOOKUP(F24,Library!$K$4:$M$36,2,FALSE))</f>
        <v>28.989768999999999</v>
      </c>
      <c r="K24" s="183">
        <f t="shared" ref="K24" si="13">I24*(H24^2)</f>
        <v>2.5000000000000001E-3</v>
      </c>
      <c r="L24" s="28">
        <f t="shared" ref="L24" si="14">I24*J24</f>
        <v>7.2474422499999996E-2</v>
      </c>
      <c r="M24" s="239"/>
      <c r="N24" s="234"/>
      <c r="O24" s="234"/>
      <c r="P24" s="234"/>
      <c r="Q24" s="234"/>
      <c r="R24" s="234"/>
      <c r="S24" s="240"/>
      <c r="T24" s="241"/>
      <c r="U24" s="242"/>
      <c r="V24" s="242"/>
      <c r="W24" s="243"/>
      <c r="X24" s="241"/>
      <c r="Y24" s="242"/>
      <c r="Z24" s="242"/>
      <c r="AA24" s="243"/>
      <c r="AB24" s="241"/>
      <c r="AC24" s="242"/>
      <c r="AD24" s="242"/>
      <c r="AE24" s="243"/>
      <c r="AG24" s="8"/>
    </row>
    <row r="25" spans="1:33" ht="14.4" x14ac:dyDescent="0.3">
      <c r="A25" s="86" t="s">
        <v>298</v>
      </c>
      <c r="B25" s="25">
        <f>VLOOKUP(A25,Library!$B$4:$C$57,2,FALSE)</f>
        <v>240.18</v>
      </c>
      <c r="C25" s="75">
        <f>VLOOKUP(A25,'Mod Wolfe v2 (HCl)'!$J$20:$K$21,2,FALSE)*('Mod Wolfe v2 (HCl)'!$G$14/'Mod Wolfe v2 (HCl)'!$G$21)</f>
        <v>0.08</v>
      </c>
      <c r="D25" s="26" t="s">
        <v>97</v>
      </c>
      <c r="E25" s="26">
        <f t="shared" si="0"/>
        <v>3.330835206928137E-4</v>
      </c>
      <c r="F25" s="25" t="s">
        <v>63</v>
      </c>
      <c r="G25" s="25">
        <v>2</v>
      </c>
      <c r="H25" s="25">
        <f>VLOOKUP(F25,Library!$K$4:$M$36,3,FALSE)</f>
        <v>1</v>
      </c>
      <c r="I25" s="25">
        <f t="shared" si="1"/>
        <v>6.6616704138562741E-4</v>
      </c>
      <c r="J25" s="178">
        <f>IF(F25="N/A",0,VLOOKUP(F25,Library!$K$4:$M$36,2,FALSE))</f>
        <v>28.989768999999999</v>
      </c>
      <c r="K25" s="183">
        <f t="shared" si="2"/>
        <v>6.6616704138562741E-4</v>
      </c>
      <c r="L25" s="28">
        <f t="shared" si="3"/>
        <v>1.9312028645182777E-2</v>
      </c>
      <c r="M25" s="86" t="s">
        <v>84</v>
      </c>
      <c r="N25" s="27">
        <v>1</v>
      </c>
      <c r="O25" s="25">
        <f>VLOOKUP(M25,Library!$K$4:$M$36,3,FALSE)</f>
        <v>-2</v>
      </c>
      <c r="P25" s="25">
        <f t="shared" si="4"/>
        <v>3.330835206928137E-4</v>
      </c>
      <c r="Q25" s="25">
        <f>IF(M25="N/A",0,VLOOKUP(M25,Library!$K$4:$N$36,2,FALSE))</f>
        <v>32.064999999999998</v>
      </c>
      <c r="R25" s="25">
        <f t="shared" si="5"/>
        <v>1.3323340827712548E-3</v>
      </c>
      <c r="S25" s="200">
        <f t="shared" si="6"/>
        <v>1.0680323091015071E-2</v>
      </c>
      <c r="T25" s="217">
        <f>VLOOKUP(A25,Library!$B$4:$G$69,3,FALSE)</f>
        <v>0</v>
      </c>
      <c r="U25" s="185">
        <f>VLOOKUP(A25,Library!$B$4:$G$69,4,FALSE)</f>
        <v>0</v>
      </c>
      <c r="V25" s="185">
        <f>VLOOKUP(A25,Library!$B$4:$G$69,5,FALSE)</f>
        <v>0</v>
      </c>
      <c r="W25" s="218">
        <f>VLOOKUP(A25,Library!$B$4:$G$69,6,FALSE)</f>
        <v>1</v>
      </c>
      <c r="X25" s="217">
        <f t="shared" si="7"/>
        <v>0</v>
      </c>
      <c r="Y25" s="185">
        <f t="shared" si="8"/>
        <v>0</v>
      </c>
      <c r="Z25" s="185">
        <f t="shared" si="9"/>
        <v>0</v>
      </c>
      <c r="AA25" s="218">
        <f t="shared" si="10"/>
        <v>3.330835206928137E-4</v>
      </c>
      <c r="AB25" s="217">
        <f>X25*VLOOKUP($AB$13,Library!$T$4:$U$7,2,FALSE)</f>
        <v>0</v>
      </c>
      <c r="AC25" s="185">
        <f>Y25*VLOOKUP($AC$13,Library!$T$4:$U$7,2,FALSE)</f>
        <v>0</v>
      </c>
      <c r="AD25" s="185">
        <f>Z25*VLOOKUP($AD$13,Library!$T$4:$U$7,2,FALSE)</f>
        <v>0</v>
      </c>
      <c r="AE25" s="218">
        <f>AA25*VLOOKUP($AE$13,Library!$T$4:$U$7,2,FALSE)</f>
        <v>1.0681988508618536E-2</v>
      </c>
      <c r="AG25" s="8"/>
    </row>
    <row r="26" spans="1:33" ht="14.4" x14ac:dyDescent="0.3">
      <c r="A26" s="86" t="s">
        <v>195</v>
      </c>
      <c r="B26" s="25">
        <f>VLOOKUP(A26,Library!$B$4:$C$57,2,FALSE)</f>
        <v>175.63</v>
      </c>
      <c r="C26" s="75">
        <f>VLOOKUP(A26,'Mod Wolfe v2 (HCl)'!$J$26:$K$28,2,FALSE)*('Mod Wolfe v2 (HCl)'!$K$26/'Mod Wolfe v2 (HCl)'!$K$28)*('Mod Wolfe v2 (HCl)'!$G$15/'Mod Wolfe v2 (HCl)'!$G$21)</f>
        <v>1.8511753500000002E-2</v>
      </c>
      <c r="D26" s="26" t="s">
        <v>97</v>
      </c>
      <c r="E26" s="26">
        <f t="shared" si="0"/>
        <v>1.0540200136650915E-4</v>
      </c>
      <c r="F26" s="25" t="s">
        <v>339</v>
      </c>
      <c r="G26" s="25">
        <v>1</v>
      </c>
      <c r="H26" s="25">
        <v>1</v>
      </c>
      <c r="I26" s="25">
        <f t="shared" si="1"/>
        <v>1.0540200136650915E-4</v>
      </c>
      <c r="J26" s="178">
        <f>IF(F26="N/A",0,VLOOKUP(F26,Library!$K$4:$M$36,2,FALSE))</f>
        <v>1.0078400000000001</v>
      </c>
      <c r="K26" s="183">
        <f t="shared" si="2"/>
        <v>1.0540200136650915E-4</v>
      </c>
      <c r="L26" s="28">
        <f t="shared" si="3"/>
        <v>1.0622835305722259E-4</v>
      </c>
      <c r="M26" s="86" t="s">
        <v>70</v>
      </c>
      <c r="N26" s="27">
        <v>1</v>
      </c>
      <c r="O26" s="25">
        <f>VLOOKUP(M26,Library!$K$4:$M$36,3,FALSE)</f>
        <v>-1</v>
      </c>
      <c r="P26" s="25">
        <f t="shared" si="4"/>
        <v>1.0540200136650915E-4</v>
      </c>
      <c r="Q26" s="25">
        <f>IF(M26="N/A",0,VLOOKUP(M26,Library!$K$4:$N$36,2,FALSE))</f>
        <v>35.453000000000003</v>
      </c>
      <c r="R26" s="25">
        <f t="shared" si="5"/>
        <v>1.0540200136650915E-4</v>
      </c>
      <c r="S26" s="200">
        <f t="shared" si="6"/>
        <v>3.7368171544468493E-3</v>
      </c>
      <c r="T26" s="217">
        <f>VLOOKUP(A26,Library!$B$4:$G$69,3,FALSE)</f>
        <v>3</v>
      </c>
      <c r="U26" s="185">
        <f>VLOOKUP(A26,Library!$B$4:$G$69,4,FALSE)</f>
        <v>1</v>
      </c>
      <c r="V26" s="185">
        <f>VLOOKUP(A26,Library!$B$4:$G$69,5,FALSE)</f>
        <v>0</v>
      </c>
      <c r="W26" s="218">
        <f>VLOOKUP(A26,Library!$B$4:$G$69,6,FALSE)</f>
        <v>1</v>
      </c>
      <c r="X26" s="217">
        <f t="shared" si="7"/>
        <v>3.1620600409952744E-4</v>
      </c>
      <c r="Y26" s="185">
        <f t="shared" si="8"/>
        <v>1.0540200136650915E-4</v>
      </c>
      <c r="Z26" s="185">
        <f t="shared" si="9"/>
        <v>0</v>
      </c>
      <c r="AA26" s="218">
        <f t="shared" si="10"/>
        <v>1.0540200136650915E-4</v>
      </c>
      <c r="AB26" s="217">
        <f>X26*VLOOKUP($AB$13,Library!$T$4:$U$7,2,FALSE)</f>
        <v>3.7976341092353246E-3</v>
      </c>
      <c r="AC26" s="185">
        <f>Y26*VLOOKUP($AC$13,Library!$T$4:$U$7,2,FALSE)</f>
        <v>1.4766820391447931E-3</v>
      </c>
      <c r="AD26" s="185">
        <f>Z26*VLOOKUP($AD$13,Library!$T$4:$U$7,2,FALSE)</f>
        <v>0</v>
      </c>
      <c r="AE26" s="218">
        <f>AA26*VLOOKUP($AE$13,Library!$T$4:$U$7,2,FALSE)</f>
        <v>3.3802421838239486E-3</v>
      </c>
      <c r="AG26" s="8"/>
    </row>
    <row r="27" spans="1:33" ht="14.4" x14ac:dyDescent="0.3">
      <c r="A27" s="20" t="s">
        <v>2</v>
      </c>
      <c r="B27" s="234"/>
      <c r="C27" s="235"/>
      <c r="D27" s="235"/>
      <c r="E27" s="235"/>
      <c r="F27" s="234"/>
      <c r="G27" s="234"/>
      <c r="H27" s="234"/>
      <c r="I27" s="234"/>
      <c r="J27" s="236"/>
      <c r="K27" s="237"/>
      <c r="L27" s="238"/>
      <c r="M27" s="239"/>
      <c r="N27" s="234"/>
      <c r="O27" s="234"/>
      <c r="P27" s="234"/>
      <c r="Q27" s="234"/>
      <c r="R27" s="234"/>
      <c r="S27" s="240"/>
      <c r="T27" s="241"/>
      <c r="U27" s="242"/>
      <c r="V27" s="242"/>
      <c r="W27" s="243"/>
      <c r="X27" s="241"/>
      <c r="Y27" s="242"/>
      <c r="Z27" s="242"/>
      <c r="AA27" s="243"/>
      <c r="AB27" s="241"/>
      <c r="AC27" s="242"/>
      <c r="AD27" s="242"/>
      <c r="AE27" s="243"/>
      <c r="AG27" s="8"/>
    </row>
    <row r="28" spans="1:33" ht="14.4" x14ac:dyDescent="0.3">
      <c r="A28" s="25" t="s">
        <v>124</v>
      </c>
      <c r="B28" s="25">
        <f>VLOOKUP(A28,Library!$B$4:$C$57,2,FALSE)</f>
        <v>36.46</v>
      </c>
      <c r="C28" s="177">
        <f>VLOOKUP(A28,'Mod Wolfe v2 (HCl)'!$M$20:$N$22,2, FALSE)*('Mod Wolfe v2 (HCl)'!$N$4/'Mod Wolfe v2 (HCl)'!$N$17)*('Mod Wolfe v2 (HCl)'!$G$16/'Mod Wolfe v2 (HCl)'!$G$21)</f>
        <v>1.8230000000000003E-2</v>
      </c>
      <c r="D28" s="26" t="s">
        <v>97</v>
      </c>
      <c r="E28" s="26">
        <f t="shared" ref="E28:E51" si="15">IF(D28="g/L",C28/B28,IF(D28="mg/L",C28/(1000*B28),IF(D28="ug/L",C28/(1000000*B28),"error")))</f>
        <v>5.0000000000000012E-4</v>
      </c>
      <c r="F28" s="25" t="s">
        <v>339</v>
      </c>
      <c r="G28" s="25">
        <v>1</v>
      </c>
      <c r="H28" s="25">
        <f>VLOOKUP(F28,Library!$K$4:$M$36,3,FALSE)</f>
        <v>1</v>
      </c>
      <c r="I28" s="25">
        <f t="shared" si="1"/>
        <v>5.0000000000000012E-4</v>
      </c>
      <c r="J28" s="178">
        <f>IF(F28="N/A",0,VLOOKUP(F28,Library!$K$4:$M$36,2,FALSE))</f>
        <v>1.0078400000000001</v>
      </c>
      <c r="K28" s="183">
        <f t="shared" si="2"/>
        <v>5.0000000000000012E-4</v>
      </c>
      <c r="L28" s="28">
        <f t="shared" si="3"/>
        <v>5.0392000000000015E-4</v>
      </c>
      <c r="M28" s="86" t="s">
        <v>70</v>
      </c>
      <c r="N28" s="27">
        <v>1</v>
      </c>
      <c r="O28" s="25">
        <f>VLOOKUP(M28,Library!$K$4:$M$36,3,FALSE)</f>
        <v>-1</v>
      </c>
      <c r="P28" s="25">
        <f t="shared" si="4"/>
        <v>5.0000000000000012E-4</v>
      </c>
      <c r="Q28" s="25">
        <f>IF(M28="N/A",0,VLOOKUP(M28,Library!$K$4:$N$36,2,FALSE))</f>
        <v>35.453000000000003</v>
      </c>
      <c r="R28" s="25">
        <f t="shared" si="5"/>
        <v>5.0000000000000012E-4</v>
      </c>
      <c r="S28" s="200">
        <f t="shared" si="6"/>
        <v>1.7726500000000006E-2</v>
      </c>
      <c r="T28" s="217">
        <f>VLOOKUP(A28,Library!$B$4:$G$69,3,FALSE)</f>
        <v>0</v>
      </c>
      <c r="U28" s="185">
        <f>VLOOKUP(A28,Library!$B$4:$G$69,4,FALSE)</f>
        <v>0</v>
      </c>
      <c r="V28" s="185">
        <f>VLOOKUP(A28,Library!$B$4:$G$69,5,FALSE)</f>
        <v>0</v>
      </c>
      <c r="W28" s="218">
        <f>VLOOKUP(A28,Library!$B$4:$G$69,6,FALSE)</f>
        <v>0</v>
      </c>
      <c r="X28" s="217">
        <f t="shared" ref="X28:X51" si="16">T28*E28</f>
        <v>0</v>
      </c>
      <c r="Y28" s="185">
        <f t="shared" ref="Y28:Y51" si="17">U28*E28</f>
        <v>0</v>
      </c>
      <c r="Z28" s="185">
        <f t="shared" ref="Z28:Z51" si="18">V28*E28</f>
        <v>0</v>
      </c>
      <c r="AA28" s="218">
        <f t="shared" ref="AA28:AA51" si="19">W28*E28</f>
        <v>0</v>
      </c>
      <c r="AB28" s="217">
        <f>X28*VLOOKUP($AB$13,Library!$T$4:$U$7,2,FALSE)</f>
        <v>0</v>
      </c>
      <c r="AC28" s="185">
        <f>Y28*VLOOKUP($AC$13,Library!$T$4:$U$7,2,FALSE)</f>
        <v>0</v>
      </c>
      <c r="AD28" s="185">
        <f>Z28*VLOOKUP($AD$13,Library!$T$4:$U$7,2,FALSE)</f>
        <v>0</v>
      </c>
      <c r="AE28" s="218">
        <f>AA28*VLOOKUP($AE$13,Library!$T$4:$U$7,2,FALSE)</f>
        <v>0</v>
      </c>
      <c r="AG28" s="8"/>
    </row>
    <row r="29" spans="1:33" ht="14.4" x14ac:dyDescent="0.3">
      <c r="A29" s="25" t="s">
        <v>17</v>
      </c>
      <c r="B29" s="25">
        <f>VLOOKUP(A29,Library!$B$4:$C$57,2,FALSE)</f>
        <v>392.14</v>
      </c>
      <c r="C29" s="177">
        <f>VLOOKUP(A29,'Mod Wolfe v2 (HCl)'!$M$4:$N$17,2,FALSE)*('Mod Wolfe v2 (HCl)'!$G$16/'Mod Wolfe v2 (HCl)'!$G$21)*1000</f>
        <v>8</v>
      </c>
      <c r="D29" s="26" t="s">
        <v>16</v>
      </c>
      <c r="E29" s="26">
        <f t="shared" si="15"/>
        <v>2.0400877237721223E-5</v>
      </c>
      <c r="F29" s="25" t="s">
        <v>80</v>
      </c>
      <c r="G29" s="25">
        <v>2</v>
      </c>
      <c r="H29" s="25">
        <f>VLOOKUP(F29,Library!$K$4:$M$36,3,FALSE)</f>
        <v>2</v>
      </c>
      <c r="I29" s="25">
        <f t="shared" si="1"/>
        <v>4.0801754475442447E-5</v>
      </c>
      <c r="J29" s="178">
        <f>IF(F29="N/A",0,VLOOKUP(F29,Library!$K$4:$M$36,2,FALSE))</f>
        <v>55.844999999999999</v>
      </c>
      <c r="K29" s="183">
        <f t="shared" si="2"/>
        <v>1.6320701790176979E-4</v>
      </c>
      <c r="L29" s="28">
        <f t="shared" si="3"/>
        <v>2.2785739786810835E-3</v>
      </c>
      <c r="M29" s="86" t="s">
        <v>69</v>
      </c>
      <c r="N29" s="27">
        <v>2</v>
      </c>
      <c r="O29" s="25">
        <f>VLOOKUP(M29,Library!$K$4:$M$36,3,FALSE)</f>
        <v>-2</v>
      </c>
      <c r="P29" s="25">
        <f t="shared" si="4"/>
        <v>4.0801754475442447E-5</v>
      </c>
      <c r="Q29" s="25">
        <f>IF(M29="N/A",0,VLOOKUP(M29,Library!$K$4:$N$36,2,FALSE))</f>
        <v>96.06</v>
      </c>
      <c r="R29" s="25">
        <f t="shared" si="5"/>
        <v>1.6320701790176979E-4</v>
      </c>
      <c r="S29" s="200">
        <f t="shared" si="6"/>
        <v>3.9194165349110011E-3</v>
      </c>
      <c r="T29" s="217">
        <f>VLOOKUP(A29,Library!$B$4:$G$69,3,FALSE)</f>
        <v>0</v>
      </c>
      <c r="U29" s="185">
        <f>VLOOKUP(A29,Library!$B$4:$G$69,4,FALSE)</f>
        <v>2</v>
      </c>
      <c r="V29" s="185">
        <f>VLOOKUP(A29,Library!$B$4:$G$69,5,FALSE)</f>
        <v>0</v>
      </c>
      <c r="W29" s="218">
        <f>VLOOKUP(A29,Library!$B$4:$G$69,6,FALSE)</f>
        <v>2</v>
      </c>
      <c r="X29" s="217">
        <f t="shared" si="16"/>
        <v>0</v>
      </c>
      <c r="Y29" s="185">
        <f t="shared" si="17"/>
        <v>4.0801754475442447E-5</v>
      </c>
      <c r="Z29" s="185">
        <f t="shared" si="18"/>
        <v>0</v>
      </c>
      <c r="AA29" s="218">
        <f t="shared" si="19"/>
        <v>4.0801754475442447E-5</v>
      </c>
      <c r="AB29" s="217">
        <f>X29*VLOOKUP($AB$13,Library!$T$4:$U$7,2,FALSE)</f>
        <v>0</v>
      </c>
      <c r="AC29" s="185">
        <f>Y29*VLOOKUP($AC$13,Library!$T$4:$U$7,2,FALSE)</f>
        <v>5.7163258020094868E-4</v>
      </c>
      <c r="AD29" s="185">
        <f>Z29*VLOOKUP($AD$13,Library!$T$4:$U$7,2,FALSE)</f>
        <v>0</v>
      </c>
      <c r="AE29" s="218">
        <f>AA29*VLOOKUP($AE$13,Library!$T$4:$U$7,2,FALSE)</f>
        <v>1.3085122660274392E-3</v>
      </c>
      <c r="AG29" s="8"/>
    </row>
    <row r="30" spans="1:33" ht="14.4" x14ac:dyDescent="0.3">
      <c r="A30" s="25" t="s">
        <v>17</v>
      </c>
      <c r="B30" s="25">
        <f>VLOOKUP(A30,Library!$B$4:$C$57,2,FALSE)</f>
        <v>392.14</v>
      </c>
      <c r="C30" s="177">
        <f>VLOOKUP(A30,'Mod Wolfe v2 (HCl)'!$M$4:$N$17,2,FALSE)*('Mod Wolfe v2 (HCl)'!$G$16/'Mod Wolfe v2 (HCl)'!$G$21)*1000</f>
        <v>8</v>
      </c>
      <c r="D30" s="26" t="s">
        <v>16</v>
      </c>
      <c r="E30" s="26">
        <f t="shared" si="15"/>
        <v>2.0400877237721223E-5</v>
      </c>
      <c r="F30" s="25" t="s">
        <v>78</v>
      </c>
      <c r="G30" s="25">
        <v>2</v>
      </c>
      <c r="H30" s="25">
        <f>VLOOKUP(F30,Library!$K$4:$M$36,3,FALSE)</f>
        <v>1</v>
      </c>
      <c r="I30" s="25">
        <f t="shared" si="1"/>
        <v>4.0801754475442447E-5</v>
      </c>
      <c r="J30" s="178">
        <f>IF(F30="N/A",0,VLOOKUP(F30,Library!$K$4:$M$36,2,FALSE))</f>
        <v>18.04</v>
      </c>
      <c r="K30" s="183">
        <f t="shared" si="2"/>
        <v>4.0801754475442447E-5</v>
      </c>
      <c r="L30" s="28">
        <f t="shared" si="3"/>
        <v>7.3606365073698168E-4</v>
      </c>
      <c r="M30" s="239"/>
      <c r="N30" s="234"/>
      <c r="O30" s="234"/>
      <c r="P30" s="234"/>
      <c r="Q30" s="234"/>
      <c r="R30" s="234"/>
      <c r="S30" s="240"/>
      <c r="T30" s="241"/>
      <c r="U30" s="242"/>
      <c r="V30" s="242"/>
      <c r="W30" s="243"/>
      <c r="X30" s="241"/>
      <c r="Y30" s="242"/>
      <c r="Z30" s="242"/>
      <c r="AA30" s="243"/>
      <c r="AB30" s="241"/>
      <c r="AC30" s="242"/>
      <c r="AD30" s="242"/>
      <c r="AE30" s="243"/>
      <c r="AG30" s="8"/>
    </row>
    <row r="31" spans="1:33" ht="14.4" x14ac:dyDescent="0.3">
      <c r="A31" s="25" t="s">
        <v>164</v>
      </c>
      <c r="B31" s="25">
        <f>VLOOKUP(A31,Library!$B$4:$C$57,2,FALSE)</f>
        <v>198.81</v>
      </c>
      <c r="C31" s="177">
        <f>VLOOKUP(A31,'Mod Wolfe v2 (HCl)'!$M$4:$N$17,2,FALSE)*('Mod Wolfe v2 (HCl)'!$G$16/'Mod Wolfe v2 (HCl)'!$G$21)*1000</f>
        <v>0</v>
      </c>
      <c r="D31" s="26" t="s">
        <v>16</v>
      </c>
      <c r="E31" s="26">
        <f t="shared" si="15"/>
        <v>0</v>
      </c>
      <c r="F31" s="25" t="s">
        <v>80</v>
      </c>
      <c r="G31" s="25">
        <v>1</v>
      </c>
      <c r="H31" s="25">
        <f>VLOOKUP(F31,Library!$K$4:$M$36,3,FALSE)</f>
        <v>2</v>
      </c>
      <c r="I31" s="25">
        <f t="shared" si="1"/>
        <v>0</v>
      </c>
      <c r="J31" s="178">
        <f>IF(F31="N/A",0,VLOOKUP(F31,Library!$K$4:$M$36,2,FALSE))</f>
        <v>55.844999999999999</v>
      </c>
      <c r="K31" s="183">
        <f>I31*(H31^2)</f>
        <v>0</v>
      </c>
      <c r="L31" s="28">
        <f t="shared" ref="L31" si="20">I31*J31</f>
        <v>0</v>
      </c>
      <c r="M31" s="86" t="s">
        <v>70</v>
      </c>
      <c r="N31" s="27">
        <v>2</v>
      </c>
      <c r="O31" s="25">
        <f>VLOOKUP(M31,Library!$K$4:$M$36,3,FALSE)</f>
        <v>-1</v>
      </c>
      <c r="P31" s="25">
        <f t="shared" si="4"/>
        <v>0</v>
      </c>
      <c r="Q31" s="25">
        <f>IF(M31="N/A",0,VLOOKUP(M31,Library!$K$4:$N$36,2,FALSE))</f>
        <v>35.453000000000003</v>
      </c>
      <c r="R31" s="25">
        <f t="shared" ref="R31" si="21">P31*(O31^2)</f>
        <v>0</v>
      </c>
      <c r="S31" s="200">
        <f t="shared" ref="S31" si="22">P31*Q31</f>
        <v>0</v>
      </c>
      <c r="T31" s="217">
        <f>VLOOKUP(A31,Library!$B$4:$G$69,3,FALSE)</f>
        <v>0</v>
      </c>
      <c r="U31" s="185">
        <f>VLOOKUP(A31,Library!$B$4:$G$69,4,FALSE)</f>
        <v>0</v>
      </c>
      <c r="V31" s="185">
        <f>VLOOKUP(A31,Library!$B$4:$G$69,5,FALSE)</f>
        <v>0</v>
      </c>
      <c r="W31" s="218">
        <f>VLOOKUP(A31,Library!$B$4:$G$69,6,FALSE)</f>
        <v>0</v>
      </c>
      <c r="X31" s="217">
        <f t="shared" ref="X31:X32" si="23">T31*E31</f>
        <v>0</v>
      </c>
      <c r="Y31" s="185">
        <f t="shared" ref="Y31:Y32" si="24">U31*E31</f>
        <v>0</v>
      </c>
      <c r="Z31" s="185">
        <f t="shared" ref="Z31:Z32" si="25">V31*E31</f>
        <v>0</v>
      </c>
      <c r="AA31" s="218">
        <f t="shared" ref="AA31:AA32" si="26">W31*E31</f>
        <v>0</v>
      </c>
      <c r="AB31" s="217">
        <f>X31*VLOOKUP($AB$13,Library!$T$4:$U$7,2,FALSE)</f>
        <v>0</v>
      </c>
      <c r="AC31" s="185">
        <f>Y31*VLOOKUP($AC$13,Library!$T$4:$U$7,2,FALSE)</f>
        <v>0</v>
      </c>
      <c r="AD31" s="185">
        <f>Z31*VLOOKUP($AD$13,Library!$T$4:$U$7,2,FALSE)</f>
        <v>0</v>
      </c>
      <c r="AE31" s="218">
        <f>AA31*VLOOKUP($AE$13,Library!$T$4:$U$7,2,FALSE)</f>
        <v>0</v>
      </c>
      <c r="AG31" s="8"/>
    </row>
    <row r="32" spans="1:33" ht="14.4" x14ac:dyDescent="0.3">
      <c r="A32" s="25" t="s">
        <v>336</v>
      </c>
      <c r="B32" s="25">
        <f>VLOOKUP(A32,Library!$B$4:$C$57,2,FALSE)</f>
        <v>172.94</v>
      </c>
      <c r="C32" s="177">
        <f>VLOOKUP(A32,'Mod Wolfe v2 (HCl)'!$M$4:$N$17,2,FALSE)*('Mod Wolfe v2 (HCl)'!$G$16/'Mod Wolfe v2 (HCl)'!$G$21)*1000</f>
        <v>2</v>
      </c>
      <c r="D32" s="26" t="s">
        <v>16</v>
      </c>
      <c r="E32" s="26">
        <f t="shared" si="15"/>
        <v>1.1564704521799469E-5</v>
      </c>
      <c r="F32" s="25" t="s">
        <v>63</v>
      </c>
      <c r="G32" s="25">
        <v>1</v>
      </c>
      <c r="H32" s="25">
        <f>VLOOKUP(F32,Library!$K$4:$M$36,3,FALSE)</f>
        <v>1</v>
      </c>
      <c r="I32" s="25">
        <f t="shared" si="1"/>
        <v>1.1564704521799469E-5</v>
      </c>
      <c r="J32" s="178">
        <f>IF(F32="N/A",0,VLOOKUP(F32,Library!$K$4:$M$36,2,FALSE))</f>
        <v>28.989768999999999</v>
      </c>
      <c r="K32" s="183">
        <f t="shared" si="2"/>
        <v>1.1564704521799469E-5</v>
      </c>
      <c r="L32" s="28">
        <f t="shared" si="3"/>
        <v>3.3525811264022208E-4</v>
      </c>
      <c r="M32" s="86" t="s">
        <v>115</v>
      </c>
      <c r="N32" s="27">
        <v>1</v>
      </c>
      <c r="O32" s="25">
        <f>VLOOKUP(M32,Library!$K$4:$M$36,3,FALSE)</f>
        <v>-2</v>
      </c>
      <c r="P32" s="25">
        <f t="shared" si="4"/>
        <v>1.1564704521799469E-5</v>
      </c>
      <c r="Q32" s="25">
        <f>IF(M32="N/A",0,VLOOKUP(M32,Library!$K$4:$N$36,2,FALSE))</f>
        <v>126.968</v>
      </c>
      <c r="R32" s="25">
        <f t="shared" si="5"/>
        <v>4.6258818087197875E-5</v>
      </c>
      <c r="S32" s="200">
        <f t="shared" si="6"/>
        <v>1.468347403723835E-3</v>
      </c>
      <c r="T32" s="217">
        <f>VLOOKUP(A32,Library!$B$4:$G$69,3,FALSE)</f>
        <v>0</v>
      </c>
      <c r="U32" s="185">
        <f>VLOOKUP(A32,Library!$B$4:$G$69,4,FALSE)</f>
        <v>0</v>
      </c>
      <c r="V32" s="185">
        <f>VLOOKUP(A32,Library!$B$4:$G$69,5,FALSE)</f>
        <v>0</v>
      </c>
      <c r="W32" s="218">
        <f>VLOOKUP(A32,Library!$B$4:$G$69,6,FALSE)</f>
        <v>0</v>
      </c>
      <c r="X32" s="217">
        <f t="shared" si="23"/>
        <v>0</v>
      </c>
      <c r="Y32" s="185">
        <f t="shared" si="24"/>
        <v>0</v>
      </c>
      <c r="Z32" s="185">
        <f t="shared" si="25"/>
        <v>0</v>
      </c>
      <c r="AA32" s="218">
        <f t="shared" si="26"/>
        <v>0</v>
      </c>
      <c r="AB32" s="217">
        <f>X32*VLOOKUP($AB$13,Library!$T$4:$U$7,2,FALSE)</f>
        <v>0</v>
      </c>
      <c r="AC32" s="185">
        <f>Y32*VLOOKUP($AC$13,Library!$T$4:$U$7,2,FALSE)</f>
        <v>0</v>
      </c>
      <c r="AD32" s="185">
        <f>Z32*VLOOKUP($AD$13,Library!$T$4:$U$7,2,FALSE)</f>
        <v>0</v>
      </c>
      <c r="AE32" s="218">
        <f>AA32*VLOOKUP($AE$13,Library!$T$4:$U$7,2,FALSE)</f>
        <v>0</v>
      </c>
      <c r="AG32" s="8"/>
    </row>
    <row r="33" spans="1:33" ht="14.4" x14ac:dyDescent="0.3">
      <c r="A33" s="25" t="s">
        <v>23</v>
      </c>
      <c r="B33" s="25">
        <f>VLOOKUP(A33,Library!$B$4:$C$57,2,FALSE)</f>
        <v>287.52999999999997</v>
      </c>
      <c r="C33" s="177">
        <f>VLOOKUP(A33,'Mod Wolfe v2 (HCl)'!$M$4:$N$17,2,FALSE)*('Mod Wolfe v2 (HCl)'!$G$16/'Mod Wolfe v2 (HCl)'!$G$21)*1000</f>
        <v>1</v>
      </c>
      <c r="D33" s="26" t="s">
        <v>16</v>
      </c>
      <c r="E33" s="26">
        <f t="shared" si="15"/>
        <v>3.4778979584738982E-6</v>
      </c>
      <c r="F33" s="25" t="s">
        <v>73</v>
      </c>
      <c r="G33" s="25">
        <v>1</v>
      </c>
      <c r="H33" s="25">
        <f>VLOOKUP(F33,Library!$K$4:$M$36,3,FALSE)</f>
        <v>2</v>
      </c>
      <c r="I33" s="25">
        <f t="shared" si="1"/>
        <v>3.4778979584738982E-6</v>
      </c>
      <c r="J33" s="178">
        <f>IF(F33="N/A",0,VLOOKUP(F33,Library!$K$4:$M$36,2,FALSE))</f>
        <v>65.926034000000001</v>
      </c>
      <c r="K33" s="183">
        <f t="shared" si="2"/>
        <v>1.3911591833895593E-5</v>
      </c>
      <c r="L33" s="28">
        <f t="shared" si="3"/>
        <v>2.2928401905888081E-4</v>
      </c>
      <c r="M33" s="86" t="s">
        <v>69</v>
      </c>
      <c r="N33" s="27">
        <v>1</v>
      </c>
      <c r="O33" s="25">
        <f>VLOOKUP(M33,Library!$K$4:$M$36,3,FALSE)</f>
        <v>-2</v>
      </c>
      <c r="P33" s="25">
        <f t="shared" si="4"/>
        <v>3.4778979584738982E-6</v>
      </c>
      <c r="Q33" s="25">
        <f>IF(M33="N/A",0,VLOOKUP(M33,Library!$K$4:$N$36,2,FALSE))</f>
        <v>96.06</v>
      </c>
      <c r="R33" s="25">
        <f t="shared" si="5"/>
        <v>1.3911591833895593E-5</v>
      </c>
      <c r="S33" s="200">
        <f t="shared" si="6"/>
        <v>3.3408687789100266E-4</v>
      </c>
      <c r="T33" s="217">
        <f>VLOOKUP(A33,Library!$B$4:$G$69,3,FALSE)</f>
        <v>0</v>
      </c>
      <c r="U33" s="185">
        <f>VLOOKUP(A33,Library!$B$4:$G$69,4,FALSE)</f>
        <v>0</v>
      </c>
      <c r="V33" s="185">
        <f>VLOOKUP(A33,Library!$B$4:$G$69,5,FALSE)</f>
        <v>0</v>
      </c>
      <c r="W33" s="218">
        <f>VLOOKUP(A33,Library!$B$4:$G$69,6,FALSE)</f>
        <v>1</v>
      </c>
      <c r="X33" s="217">
        <f t="shared" si="16"/>
        <v>0</v>
      </c>
      <c r="Y33" s="185">
        <f t="shared" si="17"/>
        <v>0</v>
      </c>
      <c r="Z33" s="185">
        <f t="shared" si="18"/>
        <v>0</v>
      </c>
      <c r="AA33" s="218">
        <f t="shared" si="19"/>
        <v>3.4778979584738982E-6</v>
      </c>
      <c r="AB33" s="217">
        <f>X33*VLOOKUP($AB$13,Library!$T$4:$U$7,2,FALSE)</f>
        <v>0</v>
      </c>
      <c r="AC33" s="185">
        <f>Y33*VLOOKUP($AC$13,Library!$T$4:$U$7,2,FALSE)</f>
        <v>0</v>
      </c>
      <c r="AD33" s="185">
        <f>Z33*VLOOKUP($AD$13,Library!$T$4:$U$7,2,FALSE)</f>
        <v>0</v>
      </c>
      <c r="AE33" s="218">
        <f>AA33*VLOOKUP($AE$13,Library!$T$4:$U$7,2,FALSE)</f>
        <v>1.1153618752825792E-4</v>
      </c>
      <c r="AG33" s="8"/>
    </row>
    <row r="34" spans="1:33" ht="14.4" x14ac:dyDescent="0.3">
      <c r="A34" s="25" t="s">
        <v>27</v>
      </c>
      <c r="B34" s="25">
        <f>VLOOKUP(A34,Library!$B$4:$C$57,2,FALSE)</f>
        <v>329.85</v>
      </c>
      <c r="C34" s="177">
        <f>VLOOKUP(A34,'Mod Wolfe v2 (HCl)'!$M$4:$N$17,2,FALSE)*('Mod Wolfe v2 (HCl)'!$G$16/'Mod Wolfe v2 (HCl)'!$G$21)*1000</f>
        <v>1</v>
      </c>
      <c r="D34" s="26" t="s">
        <v>16</v>
      </c>
      <c r="E34" s="26">
        <f t="shared" si="15"/>
        <v>3.0316810671517355E-6</v>
      </c>
      <c r="F34" s="25" t="s">
        <v>63</v>
      </c>
      <c r="G34" s="25">
        <v>1</v>
      </c>
      <c r="H34" s="25">
        <f>VLOOKUP(F34,Library!$K$4:$M$36,3,FALSE)</f>
        <v>1</v>
      </c>
      <c r="I34" s="25">
        <f t="shared" si="1"/>
        <v>3.0316810671517355E-6</v>
      </c>
      <c r="J34" s="178">
        <f>IF(F34="N/A",0,VLOOKUP(F34,Library!$K$4:$M$36,2,FALSE))</f>
        <v>28.989768999999999</v>
      </c>
      <c r="K34" s="183">
        <f t="shared" si="2"/>
        <v>3.0316810671517355E-6</v>
      </c>
      <c r="L34" s="28">
        <f t="shared" si="3"/>
        <v>8.7887733818402304E-5</v>
      </c>
      <c r="M34" s="86" t="s">
        <v>112</v>
      </c>
      <c r="N34" s="27">
        <v>1</v>
      </c>
      <c r="O34" s="25">
        <f>VLOOKUP(M34,Library!$K$4:$M$36,3,FALSE)</f>
        <v>-1</v>
      </c>
      <c r="P34" s="25">
        <f t="shared" si="4"/>
        <v>3.0316810671517355E-6</v>
      </c>
      <c r="Q34" s="25">
        <f>IF(M34="N/A",0,VLOOKUP(M34,Library!$K$4:$N$36,2,FALSE))</f>
        <v>247.84</v>
      </c>
      <c r="R34" s="25">
        <f t="shared" si="5"/>
        <v>3.0316810671517355E-6</v>
      </c>
      <c r="S34" s="200">
        <f t="shared" si="6"/>
        <v>7.5137183568288609E-4</v>
      </c>
      <c r="T34" s="217">
        <f>VLOOKUP(A34,Library!$B$4:$G$69,3,FALSE)</f>
        <v>0</v>
      </c>
      <c r="U34" s="185">
        <f>VLOOKUP(A34,Library!$B$4:$G$69,4,FALSE)</f>
        <v>0</v>
      </c>
      <c r="V34" s="185">
        <f>VLOOKUP(A34,Library!$B$4:$G$69,5,FALSE)</f>
        <v>0</v>
      </c>
      <c r="W34" s="218">
        <f>VLOOKUP(A34,Library!$B$4:$G$69,6,FALSE)</f>
        <v>0</v>
      </c>
      <c r="X34" s="217">
        <f t="shared" si="16"/>
        <v>0</v>
      </c>
      <c r="Y34" s="185">
        <f t="shared" si="17"/>
        <v>0</v>
      </c>
      <c r="Z34" s="185">
        <f t="shared" si="18"/>
        <v>0</v>
      </c>
      <c r="AA34" s="218">
        <f t="shared" si="19"/>
        <v>0</v>
      </c>
      <c r="AB34" s="217">
        <f>X34*VLOOKUP($AB$13,Library!$T$4:$U$7,2,FALSE)</f>
        <v>0</v>
      </c>
      <c r="AC34" s="185">
        <f>Y34*VLOOKUP($AC$13,Library!$T$4:$U$7,2,FALSE)</f>
        <v>0</v>
      </c>
      <c r="AD34" s="185">
        <f>Z34*VLOOKUP($AD$13,Library!$T$4:$U$7,2,FALSE)</f>
        <v>0</v>
      </c>
      <c r="AE34" s="218">
        <f>AA34*VLOOKUP($AE$13,Library!$T$4:$U$7,2,FALSE)</f>
        <v>0</v>
      </c>
      <c r="AG34" s="8"/>
    </row>
    <row r="35" spans="1:33" ht="14.4" x14ac:dyDescent="0.3">
      <c r="A35" s="25" t="s">
        <v>31</v>
      </c>
      <c r="B35" s="25">
        <f>VLOOKUP(A35,Library!$B$4:$C$57,2,FALSE)</f>
        <v>61.83</v>
      </c>
      <c r="C35" s="177">
        <f>VLOOKUP(A35,'Mod Wolfe v2 (HCl)'!$M$4:$N$17,2,FALSE)*('Mod Wolfe v2 (HCl)'!$G$16/'Mod Wolfe v2 (HCl)'!$G$21)*1000</f>
        <v>0.1</v>
      </c>
      <c r="D35" s="26" t="s">
        <v>16</v>
      </c>
      <c r="E35" s="26">
        <f t="shared" si="15"/>
        <v>1.6173378618793466E-6</v>
      </c>
      <c r="F35" s="25" t="s">
        <v>339</v>
      </c>
      <c r="G35" s="25">
        <v>0</v>
      </c>
      <c r="H35" s="25">
        <f>VLOOKUP(F35,Library!$K$4:$M$36,3,FALSE)</f>
        <v>1</v>
      </c>
      <c r="I35" s="25">
        <f t="shared" si="1"/>
        <v>0</v>
      </c>
      <c r="J35" s="178">
        <f>IF(F35="N/A",0,VLOOKUP(F35,Library!$K$4:$M$36,2,FALSE))</f>
        <v>1.0078400000000001</v>
      </c>
      <c r="K35" s="183">
        <f t="shared" si="2"/>
        <v>0</v>
      </c>
      <c r="L35" s="28">
        <f t="shared" si="3"/>
        <v>0</v>
      </c>
      <c r="M35" s="86" t="s">
        <v>113</v>
      </c>
      <c r="N35" s="27">
        <v>1</v>
      </c>
      <c r="O35" s="25">
        <f>VLOOKUP(M35,Library!$K$4:$M$36,3,FALSE)</f>
        <v>-3</v>
      </c>
      <c r="P35" s="25">
        <f t="shared" si="4"/>
        <v>1.6173378618793466E-6</v>
      </c>
      <c r="Q35" s="25">
        <f>IF(M35="N/A",0,VLOOKUP(M35,Library!$K$4:$N$36,2,FALSE))</f>
        <v>58.81</v>
      </c>
      <c r="R35" s="25">
        <f t="shared" si="5"/>
        <v>1.4556040756914119E-5</v>
      </c>
      <c r="S35" s="200">
        <f t="shared" si="6"/>
        <v>9.5115639657124374E-5</v>
      </c>
      <c r="T35" s="217">
        <f>VLOOKUP(A35,Library!$B$4:$G$69,3,FALSE)</f>
        <v>0</v>
      </c>
      <c r="U35" s="185">
        <f>VLOOKUP(A35,Library!$B$4:$G$69,4,FALSE)</f>
        <v>0</v>
      </c>
      <c r="V35" s="185">
        <f>VLOOKUP(A35,Library!$B$4:$G$69,5,FALSE)</f>
        <v>0</v>
      </c>
      <c r="W35" s="218">
        <f>VLOOKUP(A35,Library!$B$4:$G$69,6,FALSE)</f>
        <v>0</v>
      </c>
      <c r="X35" s="217">
        <f t="shared" si="16"/>
        <v>0</v>
      </c>
      <c r="Y35" s="185">
        <f t="shared" si="17"/>
        <v>0</v>
      </c>
      <c r="Z35" s="185">
        <f t="shared" si="18"/>
        <v>0</v>
      </c>
      <c r="AA35" s="218">
        <f t="shared" si="19"/>
        <v>0</v>
      </c>
      <c r="AB35" s="217">
        <f>X35*VLOOKUP($AB$13,Library!$T$4:$U$7,2,FALSE)</f>
        <v>0</v>
      </c>
      <c r="AC35" s="185">
        <f>Y35*VLOOKUP($AC$13,Library!$T$4:$U$7,2,FALSE)</f>
        <v>0</v>
      </c>
      <c r="AD35" s="185">
        <f>Z35*VLOOKUP($AD$13,Library!$T$4:$U$7,2,FALSE)</f>
        <v>0</v>
      </c>
      <c r="AE35" s="218">
        <f>AA35*VLOOKUP($AE$13,Library!$T$4:$U$7,2,FALSE)</f>
        <v>0</v>
      </c>
      <c r="AG35" s="8"/>
    </row>
    <row r="36" spans="1:33" ht="14.4" x14ac:dyDescent="0.3">
      <c r="A36" s="25" t="s">
        <v>35</v>
      </c>
      <c r="B36" s="25">
        <f>VLOOKUP(A36,Library!$B$4:$C$57,2,FALSE)</f>
        <v>237.93</v>
      </c>
      <c r="C36" s="177">
        <f>VLOOKUP(A36,'Mod Wolfe v2 (HCl)'!$M$4:$N$17,2,FALSE)*('Mod Wolfe v2 (HCl)'!$G$16/'Mod Wolfe v2 (HCl)'!$G$21)*1000</f>
        <v>1</v>
      </c>
      <c r="D36" s="26" t="s">
        <v>16</v>
      </c>
      <c r="E36" s="26">
        <f t="shared" si="15"/>
        <v>4.2029168242760473E-6</v>
      </c>
      <c r="F36" s="25" t="s">
        <v>75</v>
      </c>
      <c r="G36" s="25">
        <v>1</v>
      </c>
      <c r="H36" s="25">
        <f>VLOOKUP(F36,Library!$K$4:$M$36,3,FALSE)</f>
        <v>2</v>
      </c>
      <c r="I36" s="25">
        <f t="shared" si="1"/>
        <v>4.2029168242760473E-6</v>
      </c>
      <c r="J36" s="178">
        <f>IF(F36="N/A",0,VLOOKUP(F36,Library!$K$4:$M$36,2,FALSE))</f>
        <v>58.933190000000003</v>
      </c>
      <c r="K36" s="183">
        <f t="shared" si="2"/>
        <v>1.6811667297104189E-5</v>
      </c>
      <c r="L36" s="28">
        <f t="shared" si="3"/>
        <v>2.476912957592569E-4</v>
      </c>
      <c r="M36" s="86" t="s">
        <v>70</v>
      </c>
      <c r="N36" s="27">
        <v>2</v>
      </c>
      <c r="O36" s="25">
        <f>VLOOKUP(M36,Library!$K$4:$M$36,3,FALSE)</f>
        <v>-1</v>
      </c>
      <c r="P36" s="25">
        <f t="shared" si="4"/>
        <v>8.4058336485520945E-6</v>
      </c>
      <c r="Q36" s="25">
        <f>IF(M36="N/A",0,VLOOKUP(M36,Library!$K$4:$N$36,2,FALSE))</f>
        <v>35.453000000000003</v>
      </c>
      <c r="R36" s="25">
        <f t="shared" si="5"/>
        <v>8.4058336485520945E-6</v>
      </c>
      <c r="S36" s="200">
        <f t="shared" si="6"/>
        <v>2.9801202034211743E-4</v>
      </c>
      <c r="T36" s="217">
        <f>VLOOKUP(A36,Library!$B$4:$G$69,3,FALSE)</f>
        <v>0</v>
      </c>
      <c r="U36" s="185">
        <f>VLOOKUP(A36,Library!$B$4:$G$69,4,FALSE)</f>
        <v>0</v>
      </c>
      <c r="V36" s="185">
        <f>VLOOKUP(A36,Library!$B$4:$G$69,5,FALSE)</f>
        <v>0</v>
      </c>
      <c r="W36" s="218">
        <f>VLOOKUP(A36,Library!$B$4:$G$69,6,FALSE)</f>
        <v>0</v>
      </c>
      <c r="X36" s="217">
        <f t="shared" si="16"/>
        <v>0</v>
      </c>
      <c r="Y36" s="185">
        <f t="shared" si="17"/>
        <v>0</v>
      </c>
      <c r="Z36" s="185">
        <f t="shared" si="18"/>
        <v>0</v>
      </c>
      <c r="AA36" s="218">
        <f t="shared" si="19"/>
        <v>0</v>
      </c>
      <c r="AB36" s="217">
        <f>X36*VLOOKUP($AB$13,Library!$T$4:$U$7,2,FALSE)</f>
        <v>0</v>
      </c>
      <c r="AC36" s="185">
        <f>Y36*VLOOKUP($AC$13,Library!$T$4:$U$7,2,FALSE)</f>
        <v>0</v>
      </c>
      <c r="AD36" s="185">
        <f>Z36*VLOOKUP($AD$13,Library!$T$4:$U$7,2,FALSE)</f>
        <v>0</v>
      </c>
      <c r="AE36" s="218">
        <f>AA36*VLOOKUP($AE$13,Library!$T$4:$U$7,2,FALSE)</f>
        <v>0</v>
      </c>
      <c r="AG36" s="8"/>
    </row>
    <row r="37" spans="1:33" ht="14.4" x14ac:dyDescent="0.3">
      <c r="A37" s="25" t="s">
        <v>39</v>
      </c>
      <c r="B37" s="25">
        <f>VLOOKUP(A37,Library!$B$4:$C$57,2,FALSE)</f>
        <v>249.68</v>
      </c>
      <c r="C37" s="177">
        <f>VLOOKUP(A37,'Mod Wolfe v2 (HCl)'!$M$4:$N$17,2,FALSE)*('Mod Wolfe v2 (HCl)'!$G$16/'Mod Wolfe v2 (HCl)'!$G$21)*1000</f>
        <v>0.1</v>
      </c>
      <c r="D37" s="26" t="s">
        <v>16</v>
      </c>
      <c r="E37" s="26">
        <f t="shared" si="15"/>
        <v>4.0051265619993596E-7</v>
      </c>
      <c r="F37" s="25" t="s">
        <v>81</v>
      </c>
      <c r="G37" s="25">
        <v>1</v>
      </c>
      <c r="H37" s="25">
        <f>VLOOKUP(F37,Library!$K$4:$M$36,3,FALSE)</f>
        <v>2</v>
      </c>
      <c r="I37" s="25">
        <f t="shared" si="1"/>
        <v>4.0051265619993596E-7</v>
      </c>
      <c r="J37" s="178">
        <f>IF(F37="N/A",0,VLOOKUP(F37,Library!$K$4:$M$36,2,FALSE))</f>
        <v>187.56</v>
      </c>
      <c r="K37" s="183">
        <f t="shared" si="2"/>
        <v>1.6020506247997439E-6</v>
      </c>
      <c r="L37" s="28">
        <f t="shared" si="3"/>
        <v>7.5120153796859985E-5</v>
      </c>
      <c r="M37" s="86" t="s">
        <v>69</v>
      </c>
      <c r="N37" s="27">
        <v>1</v>
      </c>
      <c r="O37" s="25">
        <f>VLOOKUP(M37,Library!$K$4:$M$36,3,FALSE)</f>
        <v>-2</v>
      </c>
      <c r="P37" s="25">
        <f t="shared" si="4"/>
        <v>4.0051265619993596E-7</v>
      </c>
      <c r="Q37" s="25">
        <f>IF(M37="N/A",0,VLOOKUP(M37,Library!$K$4:$N$36,2,FALSE))</f>
        <v>96.06</v>
      </c>
      <c r="R37" s="25">
        <f t="shared" si="5"/>
        <v>1.6020506247997439E-6</v>
      </c>
      <c r="S37" s="200">
        <f t="shared" si="6"/>
        <v>3.8473245754565849E-5</v>
      </c>
      <c r="T37" s="217">
        <f>VLOOKUP(A37,Library!$B$4:$G$69,3,FALSE)</f>
        <v>0</v>
      </c>
      <c r="U37" s="185">
        <f>VLOOKUP(A37,Library!$B$4:$G$69,4,FALSE)</f>
        <v>0</v>
      </c>
      <c r="V37" s="185">
        <f>VLOOKUP(A37,Library!$B$4:$G$69,5,FALSE)</f>
        <v>0</v>
      </c>
      <c r="W37" s="218">
        <f>VLOOKUP(A37,Library!$B$4:$G$69,6,FALSE)</f>
        <v>1</v>
      </c>
      <c r="X37" s="217">
        <f t="shared" si="16"/>
        <v>0</v>
      </c>
      <c r="Y37" s="185">
        <f t="shared" si="17"/>
        <v>0</v>
      </c>
      <c r="Z37" s="185">
        <f t="shared" si="18"/>
        <v>0</v>
      </c>
      <c r="AA37" s="218">
        <f t="shared" si="19"/>
        <v>4.0051265619993596E-7</v>
      </c>
      <c r="AB37" s="217">
        <f>X37*VLOOKUP($AB$13,Library!$T$4:$U$7,2,FALSE)</f>
        <v>0</v>
      </c>
      <c r="AC37" s="185">
        <f>Y37*VLOOKUP($AC$13,Library!$T$4:$U$7,2,FALSE)</f>
        <v>0</v>
      </c>
      <c r="AD37" s="185">
        <f>Z37*VLOOKUP($AD$13,Library!$T$4:$U$7,2,FALSE)</f>
        <v>0</v>
      </c>
      <c r="AE37" s="218">
        <f>AA37*VLOOKUP($AE$13,Library!$T$4:$U$7,2,FALSE)</f>
        <v>1.2844440884331946E-5</v>
      </c>
      <c r="AG37" s="8"/>
    </row>
    <row r="38" spans="1:33" ht="14.4" x14ac:dyDescent="0.3">
      <c r="A38" s="25" t="s">
        <v>43</v>
      </c>
      <c r="B38" s="25">
        <f>VLOOKUP(A38,Library!$B$4:$C$57,2,FALSE)</f>
        <v>237.69</v>
      </c>
      <c r="C38" s="177">
        <f>VLOOKUP(A38,'Mod Wolfe v2 (HCl)'!$M$4:$N$17,2,FALSE)*('Mod Wolfe v2 (HCl)'!$G$16/'Mod Wolfe v2 (HCl)'!$G$21)*1000</f>
        <v>1</v>
      </c>
      <c r="D38" s="26" t="s">
        <v>16</v>
      </c>
      <c r="E38" s="26">
        <f t="shared" si="15"/>
        <v>4.2071605873196181E-6</v>
      </c>
      <c r="F38" s="25" t="s">
        <v>72</v>
      </c>
      <c r="G38" s="25">
        <v>1</v>
      </c>
      <c r="H38" s="25">
        <f>VLOOKUP(F38,Library!$K$4:$M$36,3,FALSE)</f>
        <v>2</v>
      </c>
      <c r="I38" s="25">
        <f t="shared" si="1"/>
        <v>4.2071605873196181E-6</v>
      </c>
      <c r="J38" s="178">
        <f>IF(F38="N/A",0,VLOOKUP(F38,Library!$K$4:$M$36,2,FALSE))</f>
        <v>58.692999999999998</v>
      </c>
      <c r="K38" s="183">
        <f t="shared" si="2"/>
        <v>1.6828642349278473E-5</v>
      </c>
      <c r="L38" s="28">
        <f t="shared" si="3"/>
        <v>2.4693087635155032E-4</v>
      </c>
      <c r="M38" s="86" t="s">
        <v>70</v>
      </c>
      <c r="N38" s="27">
        <v>2</v>
      </c>
      <c r="O38" s="25">
        <f>VLOOKUP(M38,Library!$K$4:$M$36,3,FALSE)</f>
        <v>-1</v>
      </c>
      <c r="P38" s="25">
        <f t="shared" si="4"/>
        <v>8.4143211746392363E-6</v>
      </c>
      <c r="Q38" s="25">
        <f>IF(M38="N/A",0,VLOOKUP(M38,Library!$K$4:$N$36,2,FALSE))</f>
        <v>35.453000000000003</v>
      </c>
      <c r="R38" s="25">
        <f t="shared" si="5"/>
        <v>8.4143211746392363E-6</v>
      </c>
      <c r="S38" s="200">
        <f t="shared" si="6"/>
        <v>2.9831292860448488E-4</v>
      </c>
      <c r="T38" s="217">
        <f>VLOOKUP(A38,Library!$B$4:$G$69,3,FALSE)</f>
        <v>0</v>
      </c>
      <c r="U38" s="185">
        <f>VLOOKUP(A38,Library!$B$4:$G$69,4,FALSE)</f>
        <v>0</v>
      </c>
      <c r="V38" s="185">
        <f>VLOOKUP(A38,Library!$B$4:$G$69,5,FALSE)</f>
        <v>0</v>
      </c>
      <c r="W38" s="218">
        <f>VLOOKUP(A38,Library!$B$4:$G$69,6,FALSE)</f>
        <v>0</v>
      </c>
      <c r="X38" s="217">
        <f t="shared" si="16"/>
        <v>0</v>
      </c>
      <c r="Y38" s="185">
        <f t="shared" si="17"/>
        <v>0</v>
      </c>
      <c r="Z38" s="185">
        <f t="shared" si="18"/>
        <v>0</v>
      </c>
      <c r="AA38" s="218">
        <f t="shared" si="19"/>
        <v>0</v>
      </c>
      <c r="AB38" s="217">
        <f>X38*VLOOKUP($AB$13,Library!$T$4:$U$7,2,FALSE)</f>
        <v>0</v>
      </c>
      <c r="AC38" s="185">
        <f>Y38*VLOOKUP($AC$13,Library!$T$4:$U$7,2,FALSE)</f>
        <v>0</v>
      </c>
      <c r="AD38" s="185">
        <f>Z38*VLOOKUP($AD$13,Library!$T$4:$U$7,2,FALSE)</f>
        <v>0</v>
      </c>
      <c r="AE38" s="218">
        <f>AA38*VLOOKUP($AE$13,Library!$T$4:$U$7,2,FALSE)</f>
        <v>0</v>
      </c>
      <c r="AG38" s="8"/>
    </row>
    <row r="39" spans="1:33" ht="14.4" x14ac:dyDescent="0.3">
      <c r="A39" s="25" t="s">
        <v>46</v>
      </c>
      <c r="B39" s="25">
        <f>VLOOKUP(A39,Library!$B$4:$C$57,2,FALSE)</f>
        <v>169.02</v>
      </c>
      <c r="C39" s="177">
        <f>VLOOKUP(A39,'Mod Wolfe v2 (HCl)'!$M$4:$N$17,2,FALSE)*('Mod Wolfe v2 (HCl)'!$G$16/'Mod Wolfe v2 (HCl)'!$G$21)*1000</f>
        <v>1</v>
      </c>
      <c r="D39" s="26" t="s">
        <v>16</v>
      </c>
      <c r="E39" s="26">
        <f t="shared" si="15"/>
        <v>5.9164595905809962E-6</v>
      </c>
      <c r="F39" s="25" t="s">
        <v>74</v>
      </c>
      <c r="G39" s="25">
        <v>1</v>
      </c>
      <c r="H39" s="25">
        <f>VLOOKUP(F39,Library!$K$4:$M$36,3,FALSE)</f>
        <v>2</v>
      </c>
      <c r="I39" s="25">
        <f t="shared" si="1"/>
        <v>5.9164595905809962E-6</v>
      </c>
      <c r="J39" s="178">
        <f>IF(F39="N/A",0,VLOOKUP(F39,Library!$K$4:$M$36,2,FALSE))</f>
        <v>54.94</v>
      </c>
      <c r="K39" s="183">
        <f t="shared" si="2"/>
        <v>2.3665838362323985E-5</v>
      </c>
      <c r="L39" s="28">
        <f t="shared" si="3"/>
        <v>3.2505028990651992E-4</v>
      </c>
      <c r="M39" s="86" t="s">
        <v>69</v>
      </c>
      <c r="N39" s="27">
        <v>1</v>
      </c>
      <c r="O39" s="25">
        <f>VLOOKUP(M39,Library!$K$4:$M$36,3,FALSE)</f>
        <v>-2</v>
      </c>
      <c r="P39" s="25">
        <f t="shared" si="4"/>
        <v>5.9164595905809962E-6</v>
      </c>
      <c r="Q39" s="25">
        <f>IF(M39="N/A",0,VLOOKUP(M39,Library!$K$4:$N$36,2,FALSE))</f>
        <v>96.06</v>
      </c>
      <c r="R39" s="25">
        <f t="shared" si="5"/>
        <v>2.3665838362323985E-5</v>
      </c>
      <c r="S39" s="200">
        <f t="shared" si="6"/>
        <v>5.6833510827121046E-4</v>
      </c>
      <c r="T39" s="217">
        <f>VLOOKUP(A39,Library!$B$4:$G$69,3,FALSE)</f>
        <v>0</v>
      </c>
      <c r="U39" s="185">
        <f>VLOOKUP(A39,Library!$B$4:$G$69,4,FALSE)</f>
        <v>0</v>
      </c>
      <c r="V39" s="185">
        <f>VLOOKUP(A39,Library!$B$4:$G$69,5,FALSE)</f>
        <v>0</v>
      </c>
      <c r="W39" s="218">
        <f>VLOOKUP(A39,Library!$B$4:$G$69,6,FALSE)</f>
        <v>0</v>
      </c>
      <c r="X39" s="217">
        <f t="shared" si="16"/>
        <v>0</v>
      </c>
      <c r="Y39" s="185">
        <f t="shared" si="17"/>
        <v>0</v>
      </c>
      <c r="Z39" s="185">
        <f t="shared" si="18"/>
        <v>0</v>
      </c>
      <c r="AA39" s="218">
        <f t="shared" si="19"/>
        <v>0</v>
      </c>
      <c r="AB39" s="217">
        <f>X39*VLOOKUP($AB$13,Library!$T$4:$U$7,2,FALSE)</f>
        <v>0</v>
      </c>
      <c r="AC39" s="185">
        <f>Y39*VLOOKUP($AC$13,Library!$T$4:$U$7,2,FALSE)</f>
        <v>0</v>
      </c>
      <c r="AD39" s="185">
        <f>Z39*VLOOKUP($AD$13,Library!$T$4:$U$7,2,FALSE)</f>
        <v>0</v>
      </c>
      <c r="AE39" s="218">
        <f>AA39*VLOOKUP($AE$13,Library!$T$4:$U$7,2,FALSE)</f>
        <v>0</v>
      </c>
      <c r="AG39" s="8"/>
    </row>
    <row r="40" spans="1:33" thickBot="1" x14ac:dyDescent="0.35">
      <c r="A40" s="25" t="s">
        <v>50</v>
      </c>
      <c r="B40" s="25">
        <v>170.48</v>
      </c>
      <c r="C40" s="177">
        <f>VLOOKUP(A40,'Mod Wolfe v2 (HCl)'!$M$4:$N$17,2,FALSE)*('Mod Wolfe v2 (HCl)'!$G$16/'Mod Wolfe v2 (HCl)'!$G$21)*1000</f>
        <v>1</v>
      </c>
      <c r="D40" s="26" t="s">
        <v>16</v>
      </c>
      <c r="E40" s="26">
        <f t="shared" si="15"/>
        <v>5.8657907085875177E-6</v>
      </c>
      <c r="F40" s="25" t="s">
        <v>63</v>
      </c>
      <c r="G40" s="25">
        <v>2</v>
      </c>
      <c r="H40" s="25">
        <f>VLOOKUP(F40,Library!$K$4:$M$36,3,FALSE)</f>
        <v>1</v>
      </c>
      <c r="I40" s="25">
        <f t="shared" si="1"/>
        <v>1.1731581417175035E-5</v>
      </c>
      <c r="J40" s="178">
        <f>IF(F40="N/A",0,VLOOKUP(F40,Library!$K$4:$M$36,2,FALSE))</f>
        <v>28.989768999999999</v>
      </c>
      <c r="K40" s="183">
        <f t="shared" si="2"/>
        <v>1.1731581417175035E-5</v>
      </c>
      <c r="L40" s="28">
        <f t="shared" si="3"/>
        <v>3.4009583528859692E-4</v>
      </c>
      <c r="M40" s="201" t="s">
        <v>76</v>
      </c>
      <c r="N40" s="202">
        <v>1</v>
      </c>
      <c r="O40" s="203">
        <f>VLOOKUP(M40,Library!$K$4:$M$36,3,FALSE)</f>
        <v>-2</v>
      </c>
      <c r="P40" s="203">
        <f t="shared" si="4"/>
        <v>5.8657907085875177E-6</v>
      </c>
      <c r="Q40" s="25">
        <f>IF(M40="N/A",0,VLOOKUP(M40,Library!$K$4:$N$36,2,FALSE))</f>
        <v>159.94999999999999</v>
      </c>
      <c r="R40" s="203">
        <f t="shared" si="5"/>
        <v>2.3463162834350071E-5</v>
      </c>
      <c r="S40" s="204">
        <f t="shared" si="6"/>
        <v>9.3823322383857334E-4</v>
      </c>
      <c r="T40" s="217">
        <f>VLOOKUP(A40,Library!$B$4:$G$69,3,FALSE)</f>
        <v>0</v>
      </c>
      <c r="U40" s="185">
        <f>VLOOKUP(A40,Library!$B$4:$G$69,4,FALSE)</f>
        <v>0</v>
      </c>
      <c r="V40" s="185">
        <f>VLOOKUP(A40,Library!$B$4:$G$69,5,FALSE)</f>
        <v>0</v>
      </c>
      <c r="W40" s="218">
        <f>VLOOKUP(A40,Library!$B$4:$G$69,6,FALSE)</f>
        <v>0</v>
      </c>
      <c r="X40" s="217">
        <f t="shared" si="16"/>
        <v>0</v>
      </c>
      <c r="Y40" s="185">
        <f t="shared" si="17"/>
        <v>0</v>
      </c>
      <c r="Z40" s="185">
        <f t="shared" si="18"/>
        <v>0</v>
      </c>
      <c r="AA40" s="218">
        <f t="shared" si="19"/>
        <v>0</v>
      </c>
      <c r="AB40" s="217">
        <f>X40*VLOOKUP($AB$13,Library!$T$4:$U$7,2,FALSE)</f>
        <v>0</v>
      </c>
      <c r="AC40" s="185">
        <f>Y40*VLOOKUP($AC$13,Library!$T$4:$U$7,2,FALSE)</f>
        <v>0</v>
      </c>
      <c r="AD40" s="185">
        <f>Z40*VLOOKUP($AD$13,Library!$T$4:$U$7,2,FALSE)</f>
        <v>0</v>
      </c>
      <c r="AE40" s="218">
        <f>AA40*VLOOKUP($AE$13,Library!$T$4:$U$7,2,FALSE)</f>
        <v>0</v>
      </c>
      <c r="AG40" s="8"/>
    </row>
    <row r="41" spans="1:33" ht="14.4" x14ac:dyDescent="0.3">
      <c r="A41" s="94" t="s">
        <v>320</v>
      </c>
      <c r="B41" s="244"/>
      <c r="C41" s="245"/>
      <c r="D41" s="246"/>
      <c r="E41" s="235"/>
      <c r="F41" s="244"/>
      <c r="G41" s="244"/>
      <c r="H41" s="244"/>
      <c r="I41" s="244"/>
      <c r="J41" s="247"/>
      <c r="K41" s="245"/>
      <c r="L41" s="244"/>
      <c r="M41" s="248"/>
      <c r="N41" s="248"/>
      <c r="O41" s="248"/>
      <c r="P41" s="248"/>
      <c r="Q41" s="248"/>
      <c r="R41" s="248"/>
      <c r="S41" s="248"/>
      <c r="T41" s="241"/>
      <c r="U41" s="242"/>
      <c r="V41" s="242"/>
      <c r="W41" s="243"/>
      <c r="X41" s="241"/>
      <c r="Y41" s="242"/>
      <c r="Z41" s="242"/>
      <c r="AA41" s="243"/>
      <c r="AB41" s="241"/>
      <c r="AC41" s="242"/>
      <c r="AD41" s="242"/>
      <c r="AE41" s="243"/>
      <c r="AG41" s="8"/>
    </row>
    <row r="42" spans="1:33" ht="14.4" x14ac:dyDescent="0.3">
      <c r="A42" s="181" t="s">
        <v>15</v>
      </c>
      <c r="B42" s="70">
        <f>VLOOKUP(A42,Library!$P$4:$Q$18,2,FALSE)</f>
        <v>244.31</v>
      </c>
      <c r="C42" s="296">
        <f>VLOOKUP(A42,'Mod Wolfe v2 (HCl)'!$J$5:$K$14,2,FALSE)*'Mod Wolfe v2 (HCl)'!$G$18/'Mod Wolfe v2 (HCl)'!$G$21</f>
        <v>0.05</v>
      </c>
      <c r="D42" s="297" t="str">
        <f>VLOOKUP(A42,'Mod Wolfe v2 (HCl)'!$J$5:$L$14,3,FALSE)</f>
        <v>mg/L</v>
      </c>
      <c r="E42" s="295">
        <f t="shared" si="15"/>
        <v>2.0465801645450452E-7</v>
      </c>
      <c r="J42" s="205"/>
      <c r="K42" s="205"/>
      <c r="T42" s="217">
        <f>VLOOKUP(A42,Library!$B$4:$G$69,3,FALSE)</f>
        <v>10</v>
      </c>
      <c r="U42" s="185">
        <f>VLOOKUP(A42,Library!$B$4:$G$69,4,FALSE)</f>
        <v>2</v>
      </c>
      <c r="V42" s="185">
        <f>VLOOKUP(A42,Library!$B$4:$G$69,5,FALSE)</f>
        <v>0</v>
      </c>
      <c r="W42" s="218">
        <f>VLOOKUP(A42,Library!$B$4:$G$69,6,FALSE)</f>
        <v>1</v>
      </c>
      <c r="X42" s="217">
        <f t="shared" si="16"/>
        <v>2.046580164545045E-6</v>
      </c>
      <c r="Y42" s="185">
        <f t="shared" si="17"/>
        <v>4.0931603290900905E-7</v>
      </c>
      <c r="Z42" s="185">
        <f t="shared" si="18"/>
        <v>0</v>
      </c>
      <c r="AA42" s="218">
        <f t="shared" si="19"/>
        <v>2.0465801645450452E-7</v>
      </c>
      <c r="AB42" s="217">
        <f>X42*VLOOKUP($AB$13,Library!$T$4:$U$7,2,FALSE)</f>
        <v>2.4579427776185991E-5</v>
      </c>
      <c r="AC42" s="185">
        <f>Y42*VLOOKUP($AC$13,Library!$T$4:$U$7,2,FALSE)</f>
        <v>5.7345176210552166E-6</v>
      </c>
      <c r="AD42" s="185">
        <f>Z42*VLOOKUP($AD$13,Library!$T$4:$U$7,2,FALSE)</f>
        <v>0</v>
      </c>
      <c r="AE42" s="218">
        <f>AA42*VLOOKUP($AE$13,Library!$T$4:$U$7,2,FALSE)</f>
        <v>6.5633825876959597E-6</v>
      </c>
      <c r="AG42" s="8"/>
    </row>
    <row r="43" spans="1:33" ht="14.4" x14ac:dyDescent="0.3">
      <c r="A43" s="181" t="s">
        <v>19</v>
      </c>
      <c r="B43" s="70">
        <f>VLOOKUP(A43,Library!$P$4:$Q$18,2,FALSE)</f>
        <v>441.4</v>
      </c>
      <c r="C43" s="296">
        <f>VLOOKUP(A43,'Mod Wolfe v2 (HCl)'!$J$5:$K$14,2,FALSE)*'Mod Wolfe v2 (HCl)'!$G$18/'Mod Wolfe v2 (HCl)'!$G$21</f>
        <v>0.05</v>
      </c>
      <c r="D43" s="297" t="str">
        <f>VLOOKUP(A43,'Mod Wolfe v2 (HCl)'!$J$5:$L$14,3,FALSE)</f>
        <v>mg/L</v>
      </c>
      <c r="E43" s="295">
        <f t="shared" si="15"/>
        <v>1.1327594019030359E-7</v>
      </c>
      <c r="J43" s="205"/>
      <c r="K43" s="205"/>
      <c r="T43" s="217">
        <f>VLOOKUP(A43,Library!$B$4:$G$69,3,FALSE)</f>
        <v>19</v>
      </c>
      <c r="U43" s="185">
        <f>VLOOKUP(A43,Library!$B$4:$G$69,4,FALSE)</f>
        <v>7</v>
      </c>
      <c r="V43" s="185">
        <f>VLOOKUP(A43,Library!$B$4:$G$69,5,FALSE)</f>
        <v>0</v>
      </c>
      <c r="W43" s="218">
        <f>VLOOKUP(A43,Library!$B$4:$G$69,6,FALSE)</f>
        <v>0</v>
      </c>
      <c r="X43" s="217">
        <f t="shared" si="16"/>
        <v>2.152242863615768E-6</v>
      </c>
      <c r="Y43" s="185">
        <f t="shared" si="17"/>
        <v>7.9293158133212518E-7</v>
      </c>
      <c r="Z43" s="185">
        <f t="shared" si="18"/>
        <v>0</v>
      </c>
      <c r="AA43" s="218">
        <f t="shared" si="19"/>
        <v>0</v>
      </c>
      <c r="AB43" s="217">
        <f>X43*VLOOKUP($AB$13,Library!$T$4:$U$7,2,FALSE)</f>
        <v>2.5848436792025374E-5</v>
      </c>
      <c r="AC43" s="185">
        <f>Y43*VLOOKUP($AC$13,Library!$T$4:$U$7,2,FALSE)</f>
        <v>1.1108971454463074E-5</v>
      </c>
      <c r="AD43" s="185">
        <f>Z43*VLOOKUP($AD$13,Library!$T$4:$U$7,2,FALSE)</f>
        <v>0</v>
      </c>
      <c r="AE43" s="218">
        <f>AA43*VLOOKUP($AE$13,Library!$T$4:$U$7,2,FALSE)</f>
        <v>0</v>
      </c>
      <c r="AG43" s="8"/>
    </row>
    <row r="44" spans="1:33" ht="14.4" x14ac:dyDescent="0.3">
      <c r="A44" s="181" t="s">
        <v>120</v>
      </c>
      <c r="B44" s="70">
        <f>VLOOKUP(A44,Library!$P$4:$Q$18,2,FALSE)</f>
        <v>205.64</v>
      </c>
      <c r="C44" s="296">
        <f>VLOOKUP(A44,'Mod Wolfe v2 (HCl)'!$J$5:$K$14,2,FALSE)*'Mod Wolfe v2 (HCl)'!$G$18/'Mod Wolfe v2 (HCl)'!$G$21</f>
        <v>0.12155101075777278</v>
      </c>
      <c r="D44" s="297" t="str">
        <f>VLOOKUP(A44,'Mod Wolfe v2 (HCl)'!$J$5:$L$14,3,FALSE)</f>
        <v>mg/L</v>
      </c>
      <c r="E44" s="295">
        <f t="shared" si="15"/>
        <v>5.9108641683414111E-7</v>
      </c>
      <c r="J44" s="205"/>
      <c r="K44" s="205"/>
      <c r="T44" s="217">
        <f>VLOOKUP(A44,Library!$B$4:$G$69,3,FALSE)</f>
        <v>8</v>
      </c>
      <c r="U44" s="185">
        <f>VLOOKUP(A44,Library!$B$4:$G$69,4,FALSE)</f>
        <v>1</v>
      </c>
      <c r="V44" s="185">
        <f>VLOOKUP(A44,Library!$B$4:$G$69,5,FALSE)</f>
        <v>0</v>
      </c>
      <c r="W44" s="218">
        <f>VLOOKUP(A44,Library!$B$4:$G$69,6,FALSE)</f>
        <v>0</v>
      </c>
      <c r="X44" s="217">
        <f t="shared" si="16"/>
        <v>4.7286913346731289E-6</v>
      </c>
      <c r="Y44" s="185">
        <f t="shared" si="17"/>
        <v>5.9108641683414111E-7</v>
      </c>
      <c r="Z44" s="185">
        <f t="shared" si="18"/>
        <v>0</v>
      </c>
      <c r="AA44" s="218">
        <f t="shared" si="19"/>
        <v>0</v>
      </c>
      <c r="AB44" s="217">
        <f>X44*VLOOKUP($AB$13,Library!$T$4:$U$7,2,FALSE)</f>
        <v>5.679158292942428E-5</v>
      </c>
      <c r="AC44" s="185">
        <f>Y44*VLOOKUP($AC$13,Library!$T$4:$U$7,2,FALSE)</f>
        <v>8.2811206998463164E-6</v>
      </c>
      <c r="AD44" s="185">
        <f>Z44*VLOOKUP($AD$13,Library!$T$4:$U$7,2,FALSE)</f>
        <v>0</v>
      </c>
      <c r="AE44" s="218">
        <f>AA44*VLOOKUP($AE$13,Library!$T$4:$U$7,2,FALSE)</f>
        <v>0</v>
      </c>
      <c r="AG44" s="8"/>
    </row>
    <row r="45" spans="1:33" ht="14.4" x14ac:dyDescent="0.3">
      <c r="A45" s="181" t="s">
        <v>121</v>
      </c>
      <c r="B45" s="70">
        <f>VLOOKUP(A45,Library!$P$4:$Q$18,2,FALSE)</f>
        <v>337.27</v>
      </c>
      <c r="C45" s="296">
        <f>VLOOKUP(A45,'Mod Wolfe v2 (HCl)'!$J$5:$K$14,2,FALSE)*'Mod Wolfe v2 (HCl)'!$G$18/'Mod Wolfe v2 (HCl)'!$G$21</f>
        <v>0.12710105330594862</v>
      </c>
      <c r="D45" s="297" t="str">
        <f>VLOOKUP(A45,'Mod Wolfe v2 (HCl)'!$J$5:$L$14,3,FALSE)</f>
        <v>mg/L</v>
      </c>
      <c r="E45" s="295">
        <f t="shared" si="15"/>
        <v>3.7685253152058773E-7</v>
      </c>
      <c r="J45" s="205"/>
      <c r="K45" s="205"/>
      <c r="T45" s="217">
        <f>VLOOKUP(A45,Library!$B$4:$G$69,3,FALSE)</f>
        <v>12</v>
      </c>
      <c r="U45" s="185">
        <f>VLOOKUP(A45,Library!$B$4:$G$69,4,FALSE)</f>
        <v>2</v>
      </c>
      <c r="V45" s="185">
        <f>VLOOKUP(A45,Library!$B$4:$G$69,5,FALSE)</f>
        <v>0</v>
      </c>
      <c r="W45" s="218">
        <f>VLOOKUP(A45,Library!$B$4:$G$69,6,FALSE)</f>
        <v>1</v>
      </c>
      <c r="X45" s="217">
        <f t="shared" si="16"/>
        <v>4.5222303782470528E-6</v>
      </c>
      <c r="Y45" s="185">
        <f t="shared" si="17"/>
        <v>7.5370506304117546E-7</v>
      </c>
      <c r="Z45" s="185">
        <f t="shared" si="18"/>
        <v>0</v>
      </c>
      <c r="AA45" s="218">
        <f t="shared" si="19"/>
        <v>3.7685253152058773E-7</v>
      </c>
      <c r="AB45" s="217">
        <f>X45*VLOOKUP($AB$13,Library!$T$4:$U$7,2,FALSE)</f>
        <v>5.4311986842747102E-5</v>
      </c>
      <c r="AC45" s="185">
        <f>Y45*VLOOKUP($AC$13,Library!$T$4:$U$7,2,FALSE)</f>
        <v>1.0559407933206867E-5</v>
      </c>
      <c r="AD45" s="185">
        <f>Z45*VLOOKUP($AD$13,Library!$T$4:$U$7,2,FALSE)</f>
        <v>0</v>
      </c>
      <c r="AE45" s="218">
        <f>AA45*VLOOKUP($AE$13,Library!$T$4:$U$7,2,FALSE)</f>
        <v>1.2085660685865248E-5</v>
      </c>
      <c r="AG45" s="8"/>
    </row>
    <row r="46" spans="1:33" ht="14.4" x14ac:dyDescent="0.3">
      <c r="A46" s="181" t="s">
        <v>30</v>
      </c>
      <c r="B46" s="70">
        <f>VLOOKUP(A46,Library!$P$4:$Q$18,2,FALSE)</f>
        <v>376.37</v>
      </c>
      <c r="C46" s="296">
        <f>VLOOKUP(A46,'Mod Wolfe v2 (HCl)'!$J$5:$K$14,2,FALSE)*'Mod Wolfe v2 (HCl)'!$G$18/'Mod Wolfe v2 (HCl)'!$G$21</f>
        <v>0.1</v>
      </c>
      <c r="D46" s="297" t="str">
        <f>VLOOKUP(A46,'Mod Wolfe v2 (HCl)'!$J$5:$L$14,3,FALSE)</f>
        <v>mg/L</v>
      </c>
      <c r="E46" s="295">
        <f t="shared" si="15"/>
        <v>2.6569599064750117E-7</v>
      </c>
      <c r="J46" s="205"/>
      <c r="K46" s="205"/>
      <c r="T46" s="217">
        <f>VLOOKUP(A46,Library!$B$4:$G$69,3,FALSE)</f>
        <v>17</v>
      </c>
      <c r="U46" s="185">
        <f>VLOOKUP(A46,Library!$B$4:$G$69,4,FALSE)</f>
        <v>4</v>
      </c>
      <c r="V46" s="185">
        <f>VLOOKUP(A46,Library!$B$4:$G$69,5,FALSE)</f>
        <v>0</v>
      </c>
      <c r="W46" s="218">
        <f>VLOOKUP(A46,Library!$B$4:$G$69,6,FALSE)</f>
        <v>0</v>
      </c>
      <c r="X46" s="217">
        <f t="shared" si="16"/>
        <v>4.5168318410075203E-6</v>
      </c>
      <c r="Y46" s="185">
        <f t="shared" si="17"/>
        <v>1.0627839625900047E-6</v>
      </c>
      <c r="Z46" s="185">
        <f t="shared" si="18"/>
        <v>0</v>
      </c>
      <c r="AA46" s="218">
        <f t="shared" si="19"/>
        <v>0</v>
      </c>
      <c r="AB46" s="217">
        <f>X46*VLOOKUP($AB$13,Library!$T$4:$U$7,2,FALSE)</f>
        <v>5.4247150410500316E-5</v>
      </c>
      <c r="AC46" s="185">
        <f>Y46*VLOOKUP($AC$13,Library!$T$4:$U$7,2,FALSE)</f>
        <v>1.4889603315885966E-5</v>
      </c>
      <c r="AD46" s="185">
        <f>Z46*VLOOKUP($AD$13,Library!$T$4:$U$7,2,FALSE)</f>
        <v>0</v>
      </c>
      <c r="AE46" s="218">
        <f>AA46*VLOOKUP($AE$13,Library!$T$4:$U$7,2,FALSE)</f>
        <v>0</v>
      </c>
      <c r="AG46" s="8"/>
    </row>
    <row r="47" spans="1:33" ht="14.4" x14ac:dyDescent="0.3">
      <c r="A47" s="181" t="s">
        <v>34</v>
      </c>
      <c r="B47" s="70">
        <f>VLOOKUP(A47,Library!$P$4:$Q$18,2,FALSE)</f>
        <v>123.11</v>
      </c>
      <c r="C47" s="296">
        <f>VLOOKUP(A47,'Mod Wolfe v2 (HCl)'!$J$5:$K$14,2,FALSE)*'Mod Wolfe v2 (HCl)'!$G$18/'Mod Wolfe v2 (HCl)'!$G$21</f>
        <v>0.1</v>
      </c>
      <c r="D47" s="297" t="str">
        <f>VLOOKUP(A47,'Mod Wolfe v2 (HCl)'!$J$5:$L$14,3,FALSE)</f>
        <v>mg/L</v>
      </c>
      <c r="E47" s="295">
        <f t="shared" si="15"/>
        <v>8.1228169929331495E-7</v>
      </c>
      <c r="J47" s="205"/>
      <c r="K47" s="205"/>
      <c r="T47" s="217">
        <f>VLOOKUP(A47,Library!$B$4:$G$69,3,FALSE)</f>
        <v>6</v>
      </c>
      <c r="U47" s="185">
        <f>VLOOKUP(A47,Library!$B$4:$G$69,4,FALSE)</f>
        <v>1</v>
      </c>
      <c r="V47" s="185">
        <f>VLOOKUP(A47,Library!$B$4:$G$69,5,FALSE)</f>
        <v>0</v>
      </c>
      <c r="W47" s="218">
        <f>VLOOKUP(A47,Library!$B$4:$G$69,6,FALSE)</f>
        <v>0</v>
      </c>
      <c r="X47" s="217">
        <f t="shared" si="16"/>
        <v>4.8736901957598899E-6</v>
      </c>
      <c r="Y47" s="185">
        <f t="shared" si="17"/>
        <v>8.1228169929331495E-7</v>
      </c>
      <c r="Z47" s="185">
        <f t="shared" si="18"/>
        <v>0</v>
      </c>
      <c r="AA47" s="218">
        <f t="shared" si="19"/>
        <v>0</v>
      </c>
      <c r="AB47" s="217">
        <f>X47*VLOOKUP($AB$13,Library!$T$4:$U$7,2,FALSE)</f>
        <v>5.8533019251076275E-5</v>
      </c>
      <c r="AC47" s="185">
        <f>Y47*VLOOKUP($AC$13,Library!$T$4:$U$7,2,FALSE)</f>
        <v>1.1380066607099342E-5</v>
      </c>
      <c r="AD47" s="185">
        <f>Z47*VLOOKUP($AD$13,Library!$T$4:$U$7,2,FALSE)</f>
        <v>0</v>
      </c>
      <c r="AE47" s="218">
        <f>AA47*VLOOKUP($AE$13,Library!$T$4:$U$7,2,FALSE)</f>
        <v>0</v>
      </c>
    </row>
    <row r="48" spans="1:33" ht="14.4" x14ac:dyDescent="0.3">
      <c r="A48" s="181" t="s">
        <v>122</v>
      </c>
      <c r="B48" s="70">
        <f>VLOOKUP(A48,Library!$P$4:$Q$18,2,FALSE)</f>
        <v>476.53</v>
      </c>
      <c r="C48" s="296">
        <f>VLOOKUP(A48,'Mod Wolfe v2 (HCl)'!$J$5:$K$14,2,FALSE)*'Mod Wolfe v2 (HCl)'!$G$18/'Mod Wolfe v2 (HCl)'!$G$21</f>
        <v>0.1</v>
      </c>
      <c r="D48" s="297" t="str">
        <f>VLOOKUP(A48,'Mod Wolfe v2 (HCl)'!$J$5:$L$14,3,FALSE)</f>
        <v>mg/L</v>
      </c>
      <c r="E48" s="295">
        <f t="shared" si="15"/>
        <v>2.0985037668142615E-7</v>
      </c>
      <c r="J48" s="205"/>
      <c r="K48" s="205"/>
      <c r="T48" s="217">
        <f>VLOOKUP(A48,Library!$B$4:$G$69,3,FALSE)</f>
        <v>9</v>
      </c>
      <c r="U48" s="185">
        <f>VLOOKUP(A48,Library!$B$4:$G$69,4,FALSE)</f>
        <v>1</v>
      </c>
      <c r="V48" s="185">
        <f>VLOOKUP(A48,Library!$B$4:$G$69,5,FALSE)</f>
        <v>0</v>
      </c>
      <c r="W48" s="218">
        <f>VLOOKUP(A48,Library!$B$4:$G$69,6,FALSE)</f>
        <v>0</v>
      </c>
      <c r="X48" s="217">
        <f t="shared" si="16"/>
        <v>1.8886533901328354E-6</v>
      </c>
      <c r="Y48" s="185">
        <f t="shared" si="17"/>
        <v>2.0985037668142615E-7</v>
      </c>
      <c r="Z48" s="185">
        <f t="shared" si="18"/>
        <v>0</v>
      </c>
      <c r="AA48" s="218">
        <f t="shared" si="19"/>
        <v>0</v>
      </c>
      <c r="AB48" s="217">
        <f>X48*VLOOKUP($AB$13,Library!$T$4:$U$7,2,FALSE)</f>
        <v>2.2682727215495352E-5</v>
      </c>
      <c r="AC48" s="185">
        <f>Y48*VLOOKUP($AC$13,Library!$T$4:$U$7,2,FALSE)</f>
        <v>2.9400037773067804E-6</v>
      </c>
      <c r="AD48" s="185">
        <f>Z48*VLOOKUP($AD$13,Library!$T$4:$U$7,2,FALSE)</f>
        <v>0</v>
      </c>
      <c r="AE48" s="218">
        <f>AA48*VLOOKUP($AE$13,Library!$T$4:$U$7,2,FALSE)</f>
        <v>0</v>
      </c>
    </row>
    <row r="49" spans="1:33" ht="14.4" x14ac:dyDescent="0.3">
      <c r="A49" s="181" t="s">
        <v>42</v>
      </c>
      <c r="B49" s="70">
        <f>VLOOKUP(A49,Library!$P$4:$Q$18,2,FALSE)</f>
        <v>1355.37</v>
      </c>
      <c r="C49" s="296">
        <f>VLOOKUP(A49,'Mod Wolfe v2 (HCl)'!$J$5:$K$14,2,FALSE)*'Mod Wolfe v2 (HCl)'!$G$18/'Mod Wolfe v2 (HCl)'!$G$21</f>
        <v>0.05</v>
      </c>
      <c r="D49" s="297" t="str">
        <f>VLOOKUP(A49,'Mod Wolfe v2 (HCl)'!$J$5:$L$14,3,FALSE)</f>
        <v>mg/L</v>
      </c>
      <c r="E49" s="295">
        <f t="shared" si="15"/>
        <v>3.6890295638829251E-8</v>
      </c>
      <c r="J49" s="205"/>
      <c r="K49" s="205"/>
      <c r="T49" s="217">
        <f>VLOOKUP(A49,Library!$B$4:$G$69,3,FALSE)</f>
        <v>70</v>
      </c>
      <c r="U49" s="185">
        <f>VLOOKUP(A49,Library!$B$4:$G$69,4,FALSE)</f>
        <v>14</v>
      </c>
      <c r="V49" s="185">
        <f>VLOOKUP(A49,Library!$B$4:$G$69,5,FALSE)</f>
        <v>0</v>
      </c>
      <c r="W49" s="218">
        <f>VLOOKUP(A49,Library!$B$4:$G$69,6,FALSE)</f>
        <v>1</v>
      </c>
      <c r="X49" s="217">
        <f t="shared" si="16"/>
        <v>2.5823206947180473E-6</v>
      </c>
      <c r="Y49" s="185">
        <f t="shared" si="17"/>
        <v>5.1646413894360951E-7</v>
      </c>
      <c r="Z49" s="185">
        <f t="shared" si="18"/>
        <v>0</v>
      </c>
      <c r="AA49" s="218">
        <f t="shared" si="19"/>
        <v>3.6890295638829251E-8</v>
      </c>
      <c r="AB49" s="217">
        <f>X49*VLOOKUP($AB$13,Library!$T$4:$U$7,2,FALSE)</f>
        <v>3.1013671543563748E-5</v>
      </c>
      <c r="AC49" s="185">
        <f>Y49*VLOOKUP($AC$13,Library!$T$4:$U$7,2,FALSE)</f>
        <v>7.2356625865999692E-6</v>
      </c>
      <c r="AD49" s="185">
        <f>Z49*VLOOKUP($AD$13,Library!$T$4:$U$7,2,FALSE)</f>
        <v>0</v>
      </c>
      <c r="AE49" s="218">
        <f>AA49*VLOOKUP($AE$13,Library!$T$4:$U$7,2,FALSE)</f>
        <v>1.183071781137254E-6</v>
      </c>
    </row>
    <row r="50" spans="1:33" ht="14.4" x14ac:dyDescent="0.3">
      <c r="A50" s="181" t="s">
        <v>45</v>
      </c>
      <c r="B50" s="70">
        <f>VLOOKUP(A50,Library!$P$4:$Q$18,2,FALSE)</f>
        <v>137.13999999999999</v>
      </c>
      <c r="C50" s="296">
        <f>VLOOKUP(A50,'Mod Wolfe v2 (HCl)'!$J$5:$K$14,2,FALSE)*'Mod Wolfe v2 (HCl)'!$G$18/'Mod Wolfe v2 (HCl)'!$G$21</f>
        <v>0.1</v>
      </c>
      <c r="D50" s="297" t="str">
        <f>VLOOKUP(A50,'Mod Wolfe v2 (HCl)'!$J$5:$L$14,3,FALSE)</f>
        <v>mg/L</v>
      </c>
      <c r="E50" s="295">
        <f t="shared" si="15"/>
        <v>7.2918185795537416E-7</v>
      </c>
      <c r="J50" s="205"/>
      <c r="K50" s="205"/>
      <c r="T50" s="217">
        <f>VLOOKUP(A50,Library!$B$4:$G$69,3,FALSE)</f>
        <v>7</v>
      </c>
      <c r="U50" s="185">
        <f>VLOOKUP(A50,Library!$B$4:$G$69,4,FALSE)</f>
        <v>1</v>
      </c>
      <c r="V50" s="185">
        <f>VLOOKUP(A50,Library!$B$4:$G$69,5,FALSE)</f>
        <v>0</v>
      </c>
      <c r="W50" s="218">
        <f>VLOOKUP(A50,Library!$B$4:$G$69,6,FALSE)</f>
        <v>0</v>
      </c>
      <c r="X50" s="217">
        <f t="shared" si="16"/>
        <v>5.1042730056876194E-6</v>
      </c>
      <c r="Y50" s="185">
        <f t="shared" si="17"/>
        <v>7.2918185795537416E-7</v>
      </c>
      <c r="Z50" s="185">
        <f t="shared" si="18"/>
        <v>0</v>
      </c>
      <c r="AA50" s="218">
        <f t="shared" si="19"/>
        <v>0</v>
      </c>
      <c r="AB50" s="217">
        <f>X50*VLOOKUP($AB$13,Library!$T$4:$U$7,2,FALSE)</f>
        <v>6.1302318798308312E-5</v>
      </c>
      <c r="AC50" s="185">
        <f>Y50*VLOOKUP($AC$13,Library!$T$4:$U$7,2,FALSE)</f>
        <v>1.0215837829954792E-5</v>
      </c>
      <c r="AD50" s="185">
        <f>Z50*VLOOKUP($AD$13,Library!$T$4:$U$7,2,FALSE)</f>
        <v>0</v>
      </c>
      <c r="AE50" s="218">
        <f>AA50*VLOOKUP($AE$13,Library!$T$4:$U$7,2,FALSE)</f>
        <v>0</v>
      </c>
    </row>
    <row r="51" spans="1:33" ht="14.4" x14ac:dyDescent="0.3">
      <c r="A51" s="181" t="s">
        <v>49</v>
      </c>
      <c r="B51" s="70">
        <f>VLOOKUP(A51,Library!$P$4:$Q$18,2,FALSE)</f>
        <v>206.33</v>
      </c>
      <c r="C51" s="296">
        <f>VLOOKUP(A51,'Mod Wolfe v2 (HCl)'!$J$5:$K$14,2,FALSE)*'Mod Wolfe v2 (HCl)'!$G$18/'Mod Wolfe v2 (HCl)'!$G$21</f>
        <v>0.05</v>
      </c>
      <c r="D51" s="297" t="str">
        <f>VLOOKUP(A51,'Mod Wolfe v2 (HCl)'!$J$5:$L$14,3,FALSE)</f>
        <v>mg/L</v>
      </c>
      <c r="E51" s="295">
        <f t="shared" si="15"/>
        <v>2.4233024766151311E-7</v>
      </c>
      <c r="F51" t="s">
        <v>339</v>
      </c>
      <c r="J51" s="205"/>
      <c r="K51" s="205"/>
      <c r="T51" s="217">
        <f>VLOOKUP(A51,Library!$B$4:$G$69,3,FALSE)</f>
        <v>8</v>
      </c>
      <c r="U51" s="185">
        <f>VLOOKUP(A51,Library!$B$4:$G$69,4,FALSE)</f>
        <v>0</v>
      </c>
      <c r="V51" s="185">
        <f>VLOOKUP(A51,Library!$B$4:$G$69,5,FALSE)</f>
        <v>0</v>
      </c>
      <c r="W51" s="218">
        <f>VLOOKUP(A51,Library!$B$4:$G$69,6,FALSE)</f>
        <v>2</v>
      </c>
      <c r="X51" s="217">
        <f t="shared" si="16"/>
        <v>1.9386419812921049E-6</v>
      </c>
      <c r="Y51" s="185">
        <f t="shared" si="17"/>
        <v>0</v>
      </c>
      <c r="Z51" s="185">
        <f t="shared" si="18"/>
        <v>0</v>
      </c>
      <c r="AA51" s="218">
        <f t="shared" si="19"/>
        <v>4.8466049532302623E-7</v>
      </c>
      <c r="AB51" s="217">
        <f>X51*VLOOKUP($AB$13,Library!$T$4:$U$7,2,FALSE)</f>
        <v>2.3283090195318181E-5</v>
      </c>
      <c r="AC51" s="185">
        <f>Y51*VLOOKUP($AC$13,Library!$T$4:$U$7,2,FALSE)</f>
        <v>0</v>
      </c>
      <c r="AD51" s="185">
        <f>Z51*VLOOKUP($AD$13,Library!$T$4:$U$7,2,FALSE)</f>
        <v>0</v>
      </c>
      <c r="AE51" s="218">
        <f>AA51*VLOOKUP($AE$13,Library!$T$4:$U$7,2,FALSE)</f>
        <v>1.5543062085009453E-5</v>
      </c>
    </row>
    <row r="52" spans="1:33" thickBot="1" x14ac:dyDescent="0.35">
      <c r="C52" s="6"/>
      <c r="D52" s="6"/>
      <c r="E52" s="6"/>
      <c r="F52" t="s">
        <v>381</v>
      </c>
      <c r="J52" s="205"/>
      <c r="K52" s="205"/>
      <c r="T52" s="219"/>
      <c r="U52" s="192"/>
      <c r="V52" s="192"/>
      <c r="W52" s="220"/>
      <c r="X52" s="219"/>
      <c r="Y52" s="192"/>
      <c r="Z52" s="192"/>
      <c r="AA52" s="220"/>
      <c r="AB52" s="219"/>
      <c r="AC52" s="192"/>
      <c r="AD52" s="192"/>
      <c r="AE52" s="220"/>
    </row>
    <row r="53" spans="1:33" ht="14.4" x14ac:dyDescent="0.3">
      <c r="C53" s="6"/>
      <c r="D53" s="6"/>
      <c r="E53" s="6"/>
      <c r="F53" t="s">
        <v>380</v>
      </c>
      <c r="J53" s="205"/>
      <c r="K53" s="205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</row>
    <row r="54" spans="1:33" ht="14.4" x14ac:dyDescent="0.3">
      <c r="A54" s="7" t="s">
        <v>278</v>
      </c>
      <c r="B54" s="97"/>
      <c r="E54" s="6"/>
      <c r="F54" t="s">
        <v>312</v>
      </c>
      <c r="J54" s="205"/>
      <c r="K54" s="205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</row>
    <row r="55" spans="1:33" ht="14.4" x14ac:dyDescent="0.3">
      <c r="A55" s="71" t="s">
        <v>98</v>
      </c>
      <c r="B55" s="71" t="s">
        <v>322</v>
      </c>
      <c r="C55" s="71" t="s">
        <v>103</v>
      </c>
      <c r="D55" s="71" t="s">
        <v>321</v>
      </c>
      <c r="E55" s="209" t="s">
        <v>378</v>
      </c>
      <c r="F55" s="268" t="s">
        <v>379</v>
      </c>
      <c r="G55" s="268"/>
      <c r="J55" s="7"/>
      <c r="L55" s="6"/>
      <c r="M55" s="6"/>
      <c r="N55" s="6"/>
      <c r="AG55" s="6"/>
    </row>
    <row r="56" spans="1:33" ht="14.4" x14ac:dyDescent="0.3">
      <c r="A56" s="71" t="s">
        <v>339</v>
      </c>
      <c r="B56" s="70">
        <f t="shared" ref="B56:B69" si="27">SUMIF($F$15:$F$40,A56,$L$15:$L$40)*1000</f>
        <v>0.6101483530572227</v>
      </c>
      <c r="C56" s="70">
        <f t="shared" ref="C56:C69" si="28">SUMIF($F$15:$F$40,A56,$I$15:$I$40)</f>
        <v>6.0540200136650923E-4</v>
      </c>
      <c r="D56" s="70">
        <f t="shared" ref="D56:D69" si="29">SUMIF($F$15:$F$40,A56,$K$15:$K$40)</f>
        <v>6.0540200136650923E-4</v>
      </c>
      <c r="E56" s="7"/>
      <c r="F56" s="7"/>
      <c r="G56" s="7">
        <f>LOG10(C56)</f>
        <v>-3.2179561476658769</v>
      </c>
      <c r="J56" s="7"/>
      <c r="L56" s="6"/>
      <c r="M56" s="6"/>
      <c r="N56" s="6"/>
      <c r="AG56" s="6"/>
    </row>
    <row r="57" spans="1:33" ht="14.4" x14ac:dyDescent="0.3">
      <c r="A57" s="70" t="s">
        <v>63</v>
      </c>
      <c r="B57" s="70">
        <f t="shared" si="27"/>
        <v>477.15523185978412</v>
      </c>
      <c r="C57" s="70">
        <f t="shared" si="28"/>
        <v>1.6459435460137131E-2</v>
      </c>
      <c r="D57" s="70">
        <f t="shared" si="29"/>
        <v>1.6459435460137131E-2</v>
      </c>
      <c r="E57" s="299">
        <f>C57</f>
        <v>1.6459435460137131E-2</v>
      </c>
      <c r="F57" t="s">
        <v>283</v>
      </c>
      <c r="G57" t="s">
        <v>283</v>
      </c>
      <c r="H57" t="s">
        <v>283</v>
      </c>
      <c r="L57" s="6"/>
      <c r="M57" s="6"/>
      <c r="N57" s="6"/>
      <c r="AG57" s="6"/>
    </row>
    <row r="58" spans="1:33" ht="14.4" x14ac:dyDescent="0.3">
      <c r="A58" s="70" t="s">
        <v>64</v>
      </c>
      <c r="B58" s="70">
        <f t="shared" si="27"/>
        <v>19.128381701918347</v>
      </c>
      <c r="C58" s="70">
        <f t="shared" si="28"/>
        <v>7.8701426463354646E-4</v>
      </c>
      <c r="D58" s="70">
        <f t="shared" si="29"/>
        <v>3.1480570585341859E-3</v>
      </c>
      <c r="E58" s="299">
        <f t="shared" ref="E58:E85" si="30">C58</f>
        <v>7.8701426463354646E-4</v>
      </c>
      <c r="F58" t="s">
        <v>283</v>
      </c>
      <c r="G58" s="298"/>
      <c r="L58" s="6"/>
      <c r="M58" s="6"/>
      <c r="N58" s="6"/>
      <c r="AG58" s="6"/>
    </row>
    <row r="59" spans="1:33" ht="14.4" x14ac:dyDescent="0.3">
      <c r="A59" s="70" t="s">
        <v>65</v>
      </c>
      <c r="B59" s="70">
        <f t="shared" si="27"/>
        <v>40.893136521325076</v>
      </c>
      <c r="C59" s="70">
        <f t="shared" si="28"/>
        <v>1.0203387524658186E-3</v>
      </c>
      <c r="D59" s="70">
        <f t="shared" si="29"/>
        <v>4.0813550098632743E-3</v>
      </c>
      <c r="E59" s="299">
        <f t="shared" si="30"/>
        <v>1.0203387524658186E-3</v>
      </c>
      <c r="F59" t="s">
        <v>283</v>
      </c>
      <c r="L59" s="6"/>
      <c r="M59" s="6"/>
      <c r="N59" s="6"/>
      <c r="AG59" s="6"/>
    </row>
    <row r="60" spans="1:33" ht="14.4" x14ac:dyDescent="0.3">
      <c r="A60" s="70" t="s">
        <v>66</v>
      </c>
      <c r="B60" s="70">
        <f t="shared" si="27"/>
        <v>259.45320654780363</v>
      </c>
      <c r="C60" s="70">
        <f t="shared" si="28"/>
        <v>6.6366842452717217E-3</v>
      </c>
      <c r="D60" s="70">
        <f t="shared" si="29"/>
        <v>6.6366842452717217E-3</v>
      </c>
      <c r="E60" s="299">
        <f t="shared" si="30"/>
        <v>6.6366842452717217E-3</v>
      </c>
      <c r="F60" t="s">
        <v>283</v>
      </c>
      <c r="L60" s="6"/>
      <c r="M60" s="6"/>
      <c r="N60" s="6"/>
      <c r="AG60" s="6"/>
    </row>
    <row r="61" spans="1:33" ht="14.4" x14ac:dyDescent="0.3">
      <c r="A61" s="70" t="s">
        <v>71</v>
      </c>
      <c r="B61" s="70">
        <f t="shared" si="27"/>
        <v>0</v>
      </c>
      <c r="C61" s="70">
        <f t="shared" si="28"/>
        <v>0</v>
      </c>
      <c r="D61" s="70">
        <f t="shared" si="29"/>
        <v>0</v>
      </c>
      <c r="E61" s="299">
        <f t="shared" si="30"/>
        <v>0</v>
      </c>
      <c r="L61" s="6"/>
      <c r="M61" s="6"/>
      <c r="N61" s="6"/>
      <c r="AG61" s="6"/>
    </row>
    <row r="62" spans="1:33" ht="14.4" x14ac:dyDescent="0.3">
      <c r="A62" s="70" t="s">
        <v>72</v>
      </c>
      <c r="B62" s="70">
        <f t="shared" si="27"/>
        <v>0.24693087635155031</v>
      </c>
      <c r="C62" s="70">
        <f t="shared" si="28"/>
        <v>4.2071605873196181E-6</v>
      </c>
      <c r="D62" s="70">
        <f t="shared" si="29"/>
        <v>1.6828642349278473E-5</v>
      </c>
      <c r="E62" s="299">
        <f t="shared" si="30"/>
        <v>4.2071605873196181E-6</v>
      </c>
      <c r="F62" t="s">
        <v>283</v>
      </c>
      <c r="G62" t="s">
        <v>283</v>
      </c>
      <c r="H62" t="s">
        <v>283</v>
      </c>
      <c r="L62" s="6"/>
      <c r="M62" s="6"/>
      <c r="N62" s="6"/>
      <c r="AG62" s="6"/>
    </row>
    <row r="63" spans="1:33" ht="14.4" x14ac:dyDescent="0.3">
      <c r="A63" s="70" t="s">
        <v>73</v>
      </c>
      <c r="B63" s="70">
        <f t="shared" si="27"/>
        <v>0.22928401905888082</v>
      </c>
      <c r="C63" s="70">
        <f t="shared" si="28"/>
        <v>3.4778979584738982E-6</v>
      </c>
      <c r="D63" s="70">
        <f t="shared" si="29"/>
        <v>1.3911591833895593E-5</v>
      </c>
      <c r="E63" s="299">
        <f t="shared" si="30"/>
        <v>3.4778979584738982E-6</v>
      </c>
      <c r="F63" t="s">
        <v>283</v>
      </c>
      <c r="G63" t="s">
        <v>283</v>
      </c>
      <c r="H63" t="s">
        <v>283</v>
      </c>
      <c r="L63" s="6"/>
      <c r="M63" s="6"/>
      <c r="N63" s="6"/>
      <c r="AG63" s="6"/>
    </row>
    <row r="64" spans="1:33" ht="14.4" x14ac:dyDescent="0.3">
      <c r="A64" s="70" t="s">
        <v>74</v>
      </c>
      <c r="B64" s="70">
        <f t="shared" si="27"/>
        <v>0.32505028990651991</v>
      </c>
      <c r="C64" s="70">
        <f t="shared" si="28"/>
        <v>5.9164595905809962E-6</v>
      </c>
      <c r="D64" s="70">
        <f t="shared" si="29"/>
        <v>2.3665838362323985E-5</v>
      </c>
      <c r="E64" s="299">
        <f t="shared" si="30"/>
        <v>5.9164595905809962E-6</v>
      </c>
      <c r="F64" t="s">
        <v>283</v>
      </c>
      <c r="G64" t="s">
        <v>283</v>
      </c>
      <c r="H64" t="s">
        <v>283</v>
      </c>
      <c r="I64" s="3"/>
      <c r="L64" s="6"/>
      <c r="M64" s="6"/>
      <c r="N64" s="6"/>
      <c r="AG64" s="6"/>
    </row>
    <row r="65" spans="1:33" ht="14.4" x14ac:dyDescent="0.3">
      <c r="A65" s="70" t="s">
        <v>75</v>
      </c>
      <c r="B65" s="70">
        <f t="shared" si="27"/>
        <v>0.24769129575925691</v>
      </c>
      <c r="C65" s="70">
        <f t="shared" si="28"/>
        <v>4.2029168242760473E-6</v>
      </c>
      <c r="D65" s="70">
        <f t="shared" si="29"/>
        <v>1.6811667297104189E-5</v>
      </c>
      <c r="E65" s="299">
        <f t="shared" si="30"/>
        <v>4.2029168242760473E-6</v>
      </c>
      <c r="F65" t="s">
        <v>283</v>
      </c>
      <c r="G65" t="s">
        <v>283</v>
      </c>
      <c r="H65" t="s">
        <v>283</v>
      </c>
      <c r="I65" s="3"/>
      <c r="L65" s="6"/>
      <c r="M65" s="6"/>
      <c r="N65" s="6"/>
      <c r="AG65" s="6"/>
    </row>
    <row r="66" spans="1:33" ht="14.4" x14ac:dyDescent="0.3">
      <c r="A66" s="70" t="s">
        <v>78</v>
      </c>
      <c r="B66" s="70">
        <f t="shared" si="27"/>
        <v>337.99536445462553</v>
      </c>
      <c r="C66" s="70">
        <f t="shared" si="28"/>
        <v>1.8735884947595653E-2</v>
      </c>
      <c r="D66" s="70">
        <f t="shared" si="29"/>
        <v>1.8735884947595653E-2</v>
      </c>
      <c r="E66" s="299">
        <f t="shared" si="30"/>
        <v>1.8735884947595653E-2</v>
      </c>
      <c r="F66" t="s">
        <v>283</v>
      </c>
      <c r="G66" t="s">
        <v>283</v>
      </c>
      <c r="H66" t="s">
        <v>283</v>
      </c>
      <c r="I66" s="3"/>
      <c r="L66" s="6"/>
      <c r="M66" s="6"/>
      <c r="N66" s="6"/>
      <c r="AG66" s="6"/>
    </row>
    <row r="67" spans="1:33" ht="14.4" x14ac:dyDescent="0.3">
      <c r="A67" s="70" t="s">
        <v>80</v>
      </c>
      <c r="B67" s="70">
        <f t="shared" si="27"/>
        <v>2.2785739786810835</v>
      </c>
      <c r="C67" s="70">
        <f t="shared" si="28"/>
        <v>4.0801754475442447E-5</v>
      </c>
      <c r="D67" s="70">
        <f t="shared" si="29"/>
        <v>1.6320701790176979E-4</v>
      </c>
      <c r="E67" s="299">
        <f t="shared" si="30"/>
        <v>4.0801754475442447E-5</v>
      </c>
      <c r="F67" t="s">
        <v>283</v>
      </c>
      <c r="G67" t="s">
        <v>283</v>
      </c>
      <c r="H67" t="s">
        <v>283</v>
      </c>
      <c r="I67" s="3"/>
      <c r="J67" s="3"/>
      <c r="K67" s="3"/>
      <c r="O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3" ht="14.4" x14ac:dyDescent="0.3">
      <c r="A68" s="70" t="s">
        <v>114</v>
      </c>
      <c r="B68" s="70">
        <f t="shared" si="27"/>
        <v>0</v>
      </c>
      <c r="C68" s="70">
        <f t="shared" si="28"/>
        <v>0</v>
      </c>
      <c r="D68" s="70">
        <f t="shared" si="29"/>
        <v>0</v>
      </c>
      <c r="E68" s="299">
        <f t="shared" si="30"/>
        <v>0</v>
      </c>
      <c r="I68" s="3"/>
      <c r="J68" s="3"/>
      <c r="K68" s="3"/>
      <c r="O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3" ht="14.4" x14ac:dyDescent="0.3">
      <c r="A69" s="70" t="s">
        <v>81</v>
      </c>
      <c r="B69" s="70">
        <f t="shared" si="27"/>
        <v>7.512015379685999E-2</v>
      </c>
      <c r="C69" s="70">
        <f t="shared" si="28"/>
        <v>4.0051265619993596E-7</v>
      </c>
      <c r="D69" s="70">
        <f t="shared" si="29"/>
        <v>1.6020506247997439E-6</v>
      </c>
      <c r="E69" s="299">
        <f t="shared" si="30"/>
        <v>4.0051265619993596E-7</v>
      </c>
      <c r="F69" t="s">
        <v>283</v>
      </c>
      <c r="G69" t="s">
        <v>283</v>
      </c>
      <c r="H69" t="s">
        <v>283</v>
      </c>
      <c r="I69" s="3"/>
      <c r="J69" s="3"/>
      <c r="K69" s="3"/>
      <c r="O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3" ht="14.4" x14ac:dyDescent="0.3">
      <c r="A70" s="71" t="s">
        <v>99</v>
      </c>
      <c r="B70" s="71" t="s">
        <v>322</v>
      </c>
      <c r="C70" s="71" t="s">
        <v>103</v>
      </c>
      <c r="D70" s="71" t="s">
        <v>321</v>
      </c>
      <c r="E70" s="299"/>
      <c r="F70" s="3"/>
      <c r="G70" s="3"/>
      <c r="H70" s="3"/>
      <c r="I70" s="3"/>
      <c r="M70" s="3"/>
      <c r="O70" s="3"/>
      <c r="P70" s="3"/>
      <c r="Q70" s="3"/>
      <c r="R70" s="3"/>
      <c r="S70" s="3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  <c r="AE70" s="109"/>
    </row>
    <row r="71" spans="1:33" ht="14.4" x14ac:dyDescent="0.3">
      <c r="A71" s="70" t="s">
        <v>70</v>
      </c>
      <c r="B71" s="70">
        <f t="shared" ref="B71:B85" si="31">SUMIF($M$15:$M$40,A71,$S$15:$S$40)*1000</f>
        <v>1177.0024394152611</v>
      </c>
      <c r="C71" s="70">
        <f t="shared" ref="C71:C85" si="32">SUMIF($M$15:$M$40,A71,$P$15:$P$40)</f>
        <v>3.3198951835254016E-2</v>
      </c>
      <c r="D71" s="70">
        <f t="shared" ref="D71:D85" si="33">SUMIF($M$15:$M$40,A71,$R$15:$R$40)</f>
        <v>3.3198951835254016E-2</v>
      </c>
      <c r="E71" s="299">
        <f t="shared" si="30"/>
        <v>3.3198951835254016E-2</v>
      </c>
      <c r="F71" s="3" t="s">
        <v>283</v>
      </c>
      <c r="G71" s="3" t="s">
        <v>283</v>
      </c>
      <c r="H71" s="3" t="s">
        <v>283</v>
      </c>
      <c r="I71" s="3"/>
      <c r="M71" s="3"/>
      <c r="O71" s="3"/>
      <c r="P71" s="3"/>
      <c r="Q71" s="3"/>
      <c r="R71" s="3"/>
      <c r="S71" s="3"/>
      <c r="T71" s="109"/>
      <c r="U71" s="109"/>
      <c r="V71" s="109"/>
      <c r="W71" s="109"/>
      <c r="X71" s="109"/>
      <c r="Y71" s="109"/>
      <c r="Z71" s="109"/>
      <c r="AA71" s="109"/>
      <c r="AB71" s="109"/>
      <c r="AC71" s="109"/>
      <c r="AD71" s="109"/>
      <c r="AE71" s="109"/>
    </row>
    <row r="72" spans="1:33" ht="14.4" x14ac:dyDescent="0.3">
      <c r="A72" s="70" t="s">
        <v>69</v>
      </c>
      <c r="B72" s="70">
        <f t="shared" si="31"/>
        <v>4.8603117668277802</v>
      </c>
      <c r="C72" s="70">
        <f t="shared" si="32"/>
        <v>5.0596624680697274E-5</v>
      </c>
      <c r="D72" s="70">
        <f t="shared" si="33"/>
        <v>2.023864987227891E-4</v>
      </c>
      <c r="E72" s="299">
        <f t="shared" si="30"/>
        <v>5.0596624680697274E-5</v>
      </c>
      <c r="F72" s="3" t="s">
        <v>283</v>
      </c>
      <c r="G72" s="3" t="s">
        <v>283</v>
      </c>
      <c r="H72" s="3" t="s">
        <v>283</v>
      </c>
      <c r="I72" s="3"/>
      <c r="M72" s="3"/>
      <c r="O72" s="3"/>
      <c r="P72" s="3"/>
      <c r="Q72" s="3"/>
      <c r="R72" s="3"/>
      <c r="S72" s="3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  <c r="AE72" s="109"/>
    </row>
    <row r="73" spans="1:33" ht="14.4" x14ac:dyDescent="0.3">
      <c r="A73" s="70" t="s">
        <v>67</v>
      </c>
      <c r="B73" s="70">
        <f t="shared" si="31"/>
        <v>0</v>
      </c>
      <c r="C73" s="70">
        <f t="shared" si="32"/>
        <v>0</v>
      </c>
      <c r="D73" s="70">
        <f t="shared" si="33"/>
        <v>0</v>
      </c>
      <c r="E73" s="299">
        <f t="shared" si="30"/>
        <v>0</v>
      </c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 spans="1:33" ht="14.4" x14ac:dyDescent="0.3">
      <c r="A74" s="70" t="s">
        <v>68</v>
      </c>
      <c r="B74" s="70">
        <f t="shared" si="31"/>
        <v>0</v>
      </c>
      <c r="C74" s="70">
        <f t="shared" si="32"/>
        <v>0</v>
      </c>
      <c r="D74" s="70">
        <f t="shared" si="33"/>
        <v>0</v>
      </c>
      <c r="E74" s="299">
        <f t="shared" si="30"/>
        <v>0</v>
      </c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 spans="1:33" ht="14.4" x14ac:dyDescent="0.3">
      <c r="A75" s="70" t="s">
        <v>79</v>
      </c>
      <c r="B75" s="70">
        <f t="shared" si="31"/>
        <v>0</v>
      </c>
      <c r="C75" s="70">
        <f t="shared" si="32"/>
        <v>0</v>
      </c>
      <c r="D75" s="70">
        <f t="shared" si="33"/>
        <v>0</v>
      </c>
      <c r="E75" s="299">
        <f t="shared" si="30"/>
        <v>0</v>
      </c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 spans="1:33" ht="14.4" x14ac:dyDescent="0.3">
      <c r="A76" s="70" t="s">
        <v>82</v>
      </c>
      <c r="B76" s="70">
        <f t="shared" si="31"/>
        <v>384.92765268733757</v>
      </c>
      <c r="C76" s="70">
        <f t="shared" si="32"/>
        <v>4.0531499703836751E-3</v>
      </c>
      <c r="D76" s="70">
        <f t="shared" si="33"/>
        <v>3.6478349733453076E-2</v>
      </c>
      <c r="E76" s="299">
        <f t="shared" si="30"/>
        <v>4.0531499703836751E-3</v>
      </c>
      <c r="F76" t="s">
        <v>283</v>
      </c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 spans="1:33" ht="14.4" x14ac:dyDescent="0.3">
      <c r="A77" s="70" t="s">
        <v>113</v>
      </c>
      <c r="B77" s="70">
        <f t="shared" si="31"/>
        <v>9.5115639657124371E-2</v>
      </c>
      <c r="C77" s="70">
        <f t="shared" si="32"/>
        <v>1.6173378618793466E-6</v>
      </c>
      <c r="D77" s="70">
        <f t="shared" si="33"/>
        <v>1.4556040756914119E-5</v>
      </c>
      <c r="E77" s="299">
        <f>C77</f>
        <v>1.6173378618793466E-6</v>
      </c>
      <c r="F77" t="s">
        <v>283</v>
      </c>
      <c r="G77" t="s">
        <v>283</v>
      </c>
      <c r="H77" t="s">
        <v>283</v>
      </c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</row>
    <row r="78" spans="1:33" ht="14.4" x14ac:dyDescent="0.3">
      <c r="A78" s="70" t="s">
        <v>112</v>
      </c>
      <c r="B78" s="70">
        <f t="shared" si="31"/>
        <v>0.75137183568288612</v>
      </c>
      <c r="C78" s="70">
        <f t="shared" si="32"/>
        <v>3.0316810671517355E-6</v>
      </c>
      <c r="D78" s="70">
        <f t="shared" si="33"/>
        <v>3.0316810671517355E-6</v>
      </c>
      <c r="E78" s="299">
        <f t="shared" si="30"/>
        <v>3.0316810671517355E-6</v>
      </c>
      <c r="F78" t="s">
        <v>283</v>
      </c>
      <c r="G78" t="s">
        <v>283</v>
      </c>
      <c r="H78" t="s">
        <v>283</v>
      </c>
    </row>
    <row r="79" spans="1:33" ht="14.4" x14ac:dyDescent="0.3">
      <c r="A79" s="70" t="s">
        <v>76</v>
      </c>
      <c r="B79" s="70">
        <f t="shared" si="31"/>
        <v>0.93823322383857333</v>
      </c>
      <c r="C79" s="70">
        <f t="shared" si="32"/>
        <v>5.8657907085875177E-6</v>
      </c>
      <c r="D79" s="70">
        <f t="shared" si="33"/>
        <v>2.3463162834350071E-5</v>
      </c>
      <c r="E79" s="299">
        <f t="shared" si="30"/>
        <v>5.8657907085875177E-6</v>
      </c>
      <c r="F79" t="s">
        <v>283</v>
      </c>
      <c r="G79" t="s">
        <v>283</v>
      </c>
      <c r="H79" t="s">
        <v>283</v>
      </c>
    </row>
    <row r="80" spans="1:33" ht="14.4" x14ac:dyDescent="0.3">
      <c r="A80" s="70" t="s">
        <v>79</v>
      </c>
      <c r="B80" s="70">
        <f t="shared" si="31"/>
        <v>0</v>
      </c>
      <c r="C80" s="70">
        <f t="shared" si="32"/>
        <v>0</v>
      </c>
      <c r="D80" s="70">
        <f t="shared" si="33"/>
        <v>0</v>
      </c>
      <c r="E80" s="299">
        <f t="shared" si="30"/>
        <v>0</v>
      </c>
    </row>
    <row r="81" spans="1:8" ht="14.4" x14ac:dyDescent="0.3">
      <c r="A81" s="70" t="s">
        <v>115</v>
      </c>
      <c r="B81" s="70">
        <f t="shared" si="31"/>
        <v>1.4683474037238351</v>
      </c>
      <c r="C81" s="70">
        <f t="shared" si="32"/>
        <v>1.1564704521799469E-5</v>
      </c>
      <c r="D81" s="70">
        <f t="shared" si="33"/>
        <v>4.6258818087197875E-5</v>
      </c>
      <c r="E81" s="299">
        <f t="shared" si="30"/>
        <v>1.1564704521799469E-5</v>
      </c>
      <c r="F81" t="s">
        <v>283</v>
      </c>
      <c r="H81" t="s">
        <v>283</v>
      </c>
    </row>
    <row r="82" spans="1:8" ht="14.4" x14ac:dyDescent="0.3">
      <c r="A82" s="70" t="s">
        <v>84</v>
      </c>
      <c r="B82" s="70">
        <f t="shared" si="31"/>
        <v>10.680323091015071</v>
      </c>
      <c r="C82" s="70">
        <f t="shared" si="32"/>
        <v>3.330835206928137E-4</v>
      </c>
      <c r="D82" s="70">
        <f t="shared" si="33"/>
        <v>1.3323340827712548E-3</v>
      </c>
      <c r="E82" s="299">
        <f t="shared" si="30"/>
        <v>3.330835206928137E-4</v>
      </c>
      <c r="F82" t="s">
        <v>283</v>
      </c>
    </row>
    <row r="83" spans="1:8" ht="14.4" x14ac:dyDescent="0.3">
      <c r="A83" s="70" t="s">
        <v>119</v>
      </c>
      <c r="B83" s="70">
        <f t="shared" si="31"/>
        <v>0</v>
      </c>
      <c r="C83" s="70">
        <f t="shared" si="32"/>
        <v>0</v>
      </c>
      <c r="D83" s="70">
        <f t="shared" si="33"/>
        <v>0</v>
      </c>
      <c r="E83" s="299">
        <f t="shared" si="30"/>
        <v>0</v>
      </c>
    </row>
    <row r="84" spans="1:8" ht="14.4" x14ac:dyDescent="0.3">
      <c r="A84" s="70" t="s">
        <v>299</v>
      </c>
      <c r="B84" s="70">
        <f t="shared" si="31"/>
        <v>200.00260060224474</v>
      </c>
      <c r="C84" s="70">
        <f t="shared" si="32"/>
        <v>6.8436901177114698E-4</v>
      </c>
      <c r="D84" s="70">
        <f t="shared" si="33"/>
        <v>2.7374760470845879E-3</v>
      </c>
      <c r="E84" s="299">
        <f t="shared" si="30"/>
        <v>6.8436901177114698E-4</v>
      </c>
    </row>
    <row r="85" spans="1:8" ht="14.4" x14ac:dyDescent="0.3">
      <c r="A85" s="70" t="s">
        <v>128</v>
      </c>
      <c r="B85" s="70">
        <f t="shared" si="31"/>
        <v>0</v>
      </c>
      <c r="C85" s="70">
        <f t="shared" si="32"/>
        <v>0</v>
      </c>
      <c r="D85" s="70">
        <f t="shared" si="33"/>
        <v>0</v>
      </c>
      <c r="E85" s="299">
        <f t="shared" si="30"/>
        <v>0</v>
      </c>
    </row>
    <row r="86" spans="1:8" ht="14.4" x14ac:dyDescent="0.3">
      <c r="A86" s="71" t="s">
        <v>356</v>
      </c>
      <c r="B86" s="70" t="s">
        <v>322</v>
      </c>
      <c r="C86" s="70"/>
      <c r="E86" s="299"/>
    </row>
    <row r="87" spans="1:8" ht="14.4" x14ac:dyDescent="0.3">
      <c r="A87" t="s">
        <v>116</v>
      </c>
      <c r="B87" s="70">
        <f>B81*78.96/126.96</f>
        <v>0.91320660836510725</v>
      </c>
      <c r="C87" s="70"/>
    </row>
    <row r="88" spans="1:8" ht="14.4" x14ac:dyDescent="0.3">
      <c r="A88" t="s">
        <v>87</v>
      </c>
      <c r="B88" s="70">
        <f>B79*95.95/159.95</f>
        <v>0.5628226184889723</v>
      </c>
      <c r="C88" s="70"/>
    </row>
    <row r="89" spans="1:8" ht="14.4" x14ac:dyDescent="0.3">
      <c r="A89" t="s">
        <v>88</v>
      </c>
      <c r="B89" s="70">
        <f>B77*10.911/58.81</f>
        <v>1.7646773410965547E-2</v>
      </c>
      <c r="C89" s="70"/>
    </row>
    <row r="90" spans="1:8" ht="14.4" x14ac:dyDescent="0.3">
      <c r="A90" t="s">
        <v>392</v>
      </c>
      <c r="B90" s="70">
        <f>C26*(Library!C14/Library!C15)*1000</f>
        <v>12.770506485566248</v>
      </c>
      <c r="C90" s="70"/>
    </row>
    <row r="91" spans="1:8" ht="14.4" x14ac:dyDescent="0.3">
      <c r="A91" s="71" t="s">
        <v>315</v>
      </c>
      <c r="B91" s="71" t="s">
        <v>322</v>
      </c>
      <c r="C91" s="71" t="s">
        <v>61</v>
      </c>
    </row>
    <row r="92" spans="1:8" ht="14.4" x14ac:dyDescent="0.3">
      <c r="A92" s="70" t="s">
        <v>44</v>
      </c>
      <c r="B92" s="70">
        <f>SUM(AD15:AD52)*1000</f>
        <v>125.52605458278241</v>
      </c>
      <c r="C92" s="70">
        <f>SUM(Z15:Z52)</f>
        <v>4.0531499703836751E-3</v>
      </c>
    </row>
    <row r="93" spans="1:8" ht="14.4" x14ac:dyDescent="0.3">
      <c r="A93" s="70" t="s">
        <v>47</v>
      </c>
      <c r="B93" s="70">
        <f>SUM(AC15:AC52)*1000</f>
        <v>283.22479505661272</v>
      </c>
      <c r="C93" s="70">
        <f>SUM(Y15:Y52)</f>
        <v>2.021590257363403E-2</v>
      </c>
    </row>
    <row r="94" spans="1:8" ht="14.4" x14ac:dyDescent="0.3">
      <c r="A94" s="70" t="s">
        <v>196</v>
      </c>
      <c r="B94" s="70">
        <f>SUM(AE15:AE52)*1000</f>
        <v>15.530498764022219</v>
      </c>
      <c r="C94" s="70">
        <f>SUM(AA15:AA52)</f>
        <v>4.8426874848837609E-4</v>
      </c>
    </row>
    <row r="95" spans="1:8" ht="14.4" x14ac:dyDescent="0.3">
      <c r="A95" s="70" t="s">
        <v>51</v>
      </c>
      <c r="B95" s="70">
        <f>SUM(AB15:AB52)*1000</f>
        <v>86.402945834704724</v>
      </c>
      <c r="C95" s="70">
        <f>SUM(X15:X52)</f>
        <v>7.1942502776606767E-3</v>
      </c>
    </row>
    <row r="96" spans="1:8" ht="14.4" x14ac:dyDescent="0.3">
      <c r="A96" s="71" t="s">
        <v>320</v>
      </c>
      <c r="B96" s="71" t="s">
        <v>325</v>
      </c>
      <c r="C96" s="7"/>
    </row>
    <row r="97" spans="1:3" ht="14.4" x14ac:dyDescent="0.3">
      <c r="A97" s="70" t="str">
        <f>'Mod Wolfe v2 calcs'!A42</f>
        <v>biotin</v>
      </c>
      <c r="B97" s="79">
        <f>VLOOKUP(A97,$A$42:$C$51,3,FALSE)*1000</f>
        <v>50</v>
      </c>
    </row>
    <row r="98" spans="1:3" ht="14.4" x14ac:dyDescent="0.3">
      <c r="A98" s="70" t="str">
        <f>'Mod Wolfe v2 calcs'!A43</f>
        <v>folic acid</v>
      </c>
      <c r="B98" s="79">
        <f t="shared" ref="B98:B106" si="34">VLOOKUP(A98,$A$42:$C$51,3,FALSE)*1000</f>
        <v>50</v>
      </c>
    </row>
    <row r="99" spans="1:3" ht="14.4" x14ac:dyDescent="0.3">
      <c r="A99" s="70" t="str">
        <f>'Mod Wolfe v2 calcs'!A44</f>
        <v>pyridoxine-HCl</v>
      </c>
      <c r="B99" s="79">
        <f t="shared" si="34"/>
        <v>121.55101075777277</v>
      </c>
    </row>
    <row r="100" spans="1:3" ht="14.4" x14ac:dyDescent="0.3">
      <c r="A100" s="70" t="str">
        <f>'Mod Wolfe v2 calcs'!A45</f>
        <v>thiamine-HCl</v>
      </c>
      <c r="B100" s="79">
        <f t="shared" si="34"/>
        <v>127.10105330594862</v>
      </c>
    </row>
    <row r="101" spans="1:3" ht="14.4" x14ac:dyDescent="0.3">
      <c r="A101" s="70" t="str">
        <f>'Mod Wolfe v2 calcs'!A46</f>
        <v>riboflavin</v>
      </c>
      <c r="B101" s="79">
        <f t="shared" si="34"/>
        <v>100</v>
      </c>
    </row>
    <row r="102" spans="1:3" ht="14.4" x14ac:dyDescent="0.3">
      <c r="A102" s="70" t="str">
        <f>'Mod Wolfe v2 calcs'!A47</f>
        <v>nicotinic acid</v>
      </c>
      <c r="B102" s="79">
        <f t="shared" si="34"/>
        <v>100</v>
      </c>
    </row>
    <row r="103" spans="1:3" ht="15" customHeight="1" x14ac:dyDescent="0.3">
      <c r="A103" s="70" t="str">
        <f>'Mod Wolfe v2 calcs'!A48</f>
        <v>D-Ca-pantothenate</v>
      </c>
      <c r="B103" s="79">
        <f t="shared" si="34"/>
        <v>100</v>
      </c>
    </row>
    <row r="104" spans="1:3" ht="15" customHeight="1" x14ac:dyDescent="0.3">
      <c r="A104" s="70" t="str">
        <f>'Mod Wolfe v2 calcs'!A49</f>
        <v>Vitamin B-12</v>
      </c>
      <c r="B104" s="79">
        <f t="shared" si="34"/>
        <v>50</v>
      </c>
    </row>
    <row r="105" spans="1:3" ht="15" customHeight="1" x14ac:dyDescent="0.3">
      <c r="A105" s="70" t="str">
        <f>'Mod Wolfe v2 calcs'!A50</f>
        <v>p-aminobenzoic acid</v>
      </c>
      <c r="B105" s="79">
        <f t="shared" si="34"/>
        <v>100</v>
      </c>
    </row>
    <row r="106" spans="1:3" ht="15" customHeight="1" x14ac:dyDescent="0.3">
      <c r="A106" s="70" t="str">
        <f>'Mod Wolfe v2 calcs'!A51</f>
        <v>alpha-lipoic acid</v>
      </c>
      <c r="B106" s="79">
        <f t="shared" si="34"/>
        <v>50</v>
      </c>
    </row>
    <row r="107" spans="1:3" ht="15" customHeight="1" x14ac:dyDescent="0.3">
      <c r="A107" s="181" t="s">
        <v>123</v>
      </c>
      <c r="B107" s="79">
        <f>B106</f>
        <v>50</v>
      </c>
    </row>
    <row r="108" spans="1:3" ht="15" customHeight="1" x14ac:dyDescent="0.3">
      <c r="A108" t="s">
        <v>288</v>
      </c>
      <c r="B108" s="79">
        <f>B106</f>
        <v>50</v>
      </c>
    </row>
    <row r="109" spans="1:3" ht="15" customHeight="1" x14ac:dyDescent="0.3">
      <c r="A109" t="s">
        <v>22</v>
      </c>
      <c r="B109" s="269">
        <f>B99*(Library!Q14/Library!Q6)</f>
        <v>100</v>
      </c>
    </row>
    <row r="110" spans="1:3" ht="15" customHeight="1" x14ac:dyDescent="0.3">
      <c r="A110" t="s">
        <v>26</v>
      </c>
      <c r="B110" s="269">
        <f>B100*(Library!Q15/Library!Q7)</f>
        <v>100.00158776430317</v>
      </c>
    </row>
    <row r="111" spans="1:3" ht="15" customHeight="1" x14ac:dyDescent="0.3">
      <c r="A111" s="7" t="s">
        <v>279</v>
      </c>
      <c r="B111" s="269">
        <f>SUM(B57:B61,B71:B75)/1000</f>
        <v>1.9784927078129202</v>
      </c>
      <c r="C111" t="s">
        <v>97</v>
      </c>
    </row>
    <row r="112" spans="1:3" ht="15" customHeight="1" x14ac:dyDescent="0.3">
      <c r="A112" s="7" t="s">
        <v>4</v>
      </c>
      <c r="B112" s="269">
        <f>SUM(D55:D69,D71:D85)/2</f>
        <v>6.1969826715584486E-2</v>
      </c>
    </row>
    <row r="113" spans="1:1" ht="15" customHeight="1" x14ac:dyDescent="0.3">
      <c r="A113" s="70"/>
    </row>
  </sheetData>
  <pageMargins left="0.7" right="0.7" top="0.75" bottom="0.75" header="0.3" footer="0.3"/>
  <pageSetup scale="4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FA144-2813-4F0E-B8D2-AFAA75C3D214}">
  <sheetPr>
    <tabColor rgb="FFFF0000"/>
    <pageSetUpPr fitToPage="1"/>
  </sheetPr>
  <dimension ref="A1:AI109"/>
  <sheetViews>
    <sheetView workbookViewId="0">
      <selection activeCell="D9" sqref="D9"/>
    </sheetView>
  </sheetViews>
  <sheetFormatPr defaultColWidth="9.109375" defaultRowHeight="15" customHeight="1" x14ac:dyDescent="0.3"/>
  <cols>
    <col min="1" max="1" width="24.109375" customWidth="1"/>
    <col min="2" max="2" width="11.77734375" customWidth="1"/>
    <col min="3" max="3" width="12" bestFit="1" customWidth="1"/>
    <col min="4" max="4" width="12.88671875" customWidth="1"/>
    <col min="5" max="5" width="11.77734375" bestFit="1" customWidth="1"/>
    <col min="6" max="6" width="7.21875" bestFit="1" customWidth="1"/>
    <col min="7" max="7" width="8.77734375" customWidth="1"/>
    <col min="8" max="8" width="6.109375" bestFit="1" customWidth="1"/>
    <col min="9" max="9" width="11.77734375" bestFit="1" customWidth="1"/>
    <col min="10" max="10" width="9.77734375" bestFit="1" customWidth="1"/>
    <col min="11" max="11" width="9.77734375" customWidth="1"/>
    <col min="12" max="12" width="11.77734375" bestFit="1" customWidth="1"/>
    <col min="13" max="13" width="7.21875" bestFit="1" customWidth="1"/>
    <col min="14" max="14" width="8.77734375" customWidth="1"/>
    <col min="15" max="15" width="6.109375" bestFit="1" customWidth="1"/>
    <col min="16" max="16" width="11.77734375" bestFit="1" customWidth="1"/>
    <col min="17" max="17" width="9.77734375" bestFit="1" customWidth="1"/>
    <col min="18" max="18" width="11" customWidth="1"/>
    <col min="19" max="20" width="9.109375" bestFit="1" customWidth="1"/>
    <col min="21" max="31" width="9.109375" customWidth="1"/>
    <col min="32" max="32" width="12.109375" customWidth="1"/>
    <col min="33" max="33" width="11.88671875" customWidth="1"/>
  </cols>
  <sheetData>
    <row r="1" spans="1:35" ht="14.4" customHeight="1" x14ac:dyDescent="0.35">
      <c r="A1" s="47" t="s">
        <v>90</v>
      </c>
    </row>
    <row r="2" spans="1:35" ht="14.4" x14ac:dyDescent="0.3"/>
    <row r="3" spans="1:35" ht="14.4" x14ac:dyDescent="0.3">
      <c r="A3" s="7" t="s">
        <v>91</v>
      </c>
      <c r="B3" s="7" t="s">
        <v>92</v>
      </c>
      <c r="C3" s="7" t="s">
        <v>3</v>
      </c>
      <c r="D3" s="7" t="s">
        <v>93</v>
      </c>
    </row>
    <row r="4" spans="1:35" ht="14.4" x14ac:dyDescent="0.3">
      <c r="A4" t="s">
        <v>94</v>
      </c>
      <c r="B4">
        <v>995</v>
      </c>
      <c r="C4" s="8">
        <f>B66</f>
        <v>7.4812763960581882E-2</v>
      </c>
      <c r="D4" s="9">
        <f>B4/1000</f>
        <v>0.995</v>
      </c>
    </row>
    <row r="5" spans="1:35" ht="14.4" x14ac:dyDescent="0.3">
      <c r="A5" t="s">
        <v>95</v>
      </c>
      <c r="B5">
        <v>5</v>
      </c>
      <c r="C5" s="8" t="e">
        <f>#REF!</f>
        <v>#REF!</v>
      </c>
      <c r="D5" s="9">
        <f>B5/1000</f>
        <v>5.0000000000000001E-3</v>
      </c>
    </row>
    <row r="6" spans="1:35" ht="18" x14ac:dyDescent="0.35">
      <c r="A6" s="10" t="s">
        <v>96</v>
      </c>
      <c r="B6" s="11" t="e">
        <f>B4/1000*C4+B5/1000*C5</f>
        <v>#REF!</v>
      </c>
      <c r="C6" s="12" t="s">
        <v>97</v>
      </c>
    </row>
    <row r="7" spans="1:35" ht="14.4" x14ac:dyDescent="0.3">
      <c r="A7" t="s">
        <v>13</v>
      </c>
      <c r="B7" t="e">
        <f>D4*SUM(#REF!,#REF!)+D5*SUM(#REF!,#REF!)</f>
        <v>#REF!</v>
      </c>
    </row>
    <row r="8" spans="1:35" ht="14.4" x14ac:dyDescent="0.3">
      <c r="A8" t="s">
        <v>18</v>
      </c>
      <c r="B8" t="e">
        <f>SUM(#REF!)*D4</f>
        <v>#REF!</v>
      </c>
    </row>
    <row r="9" spans="1:35" ht="14.4" x14ac:dyDescent="0.3">
      <c r="A9" t="s">
        <v>20</v>
      </c>
      <c r="B9" t="e">
        <f>SUM(#REF!)*D4</f>
        <v>#REF!</v>
      </c>
      <c r="I9" t="s">
        <v>313</v>
      </c>
      <c r="J9" t="s">
        <v>12</v>
      </c>
    </row>
    <row r="10" spans="1:35" ht="14.4" x14ac:dyDescent="0.3">
      <c r="A10" t="s">
        <v>24</v>
      </c>
      <c r="B10" t="e">
        <f>D5*SUM(#REF!,#REF!,#REF!,#REF!)</f>
        <v>#REF!</v>
      </c>
      <c r="I10" t="s">
        <v>314</v>
      </c>
      <c r="J10" t="s">
        <v>313</v>
      </c>
    </row>
    <row r="11" spans="1:35" ht="14.4" x14ac:dyDescent="0.3">
      <c r="A11" t="s">
        <v>28</v>
      </c>
      <c r="B11" t="e">
        <f>D5*SUM(#REF!,#REF!)</f>
        <v>#REF!</v>
      </c>
      <c r="T11" s="7"/>
    </row>
    <row r="12" spans="1:35" thickBot="1" x14ac:dyDescent="0.35">
      <c r="T12" s="7" t="s">
        <v>317</v>
      </c>
    </row>
    <row r="13" spans="1:35" ht="15" customHeight="1" thickBot="1" x14ac:dyDescent="0.35">
      <c r="F13" s="136" t="s">
        <v>98</v>
      </c>
      <c r="G13" s="137"/>
      <c r="H13" s="137"/>
      <c r="I13" s="137"/>
      <c r="J13" s="137"/>
      <c r="K13" s="137"/>
      <c r="L13" s="137"/>
      <c r="M13" s="194" t="s">
        <v>99</v>
      </c>
      <c r="N13" s="195"/>
      <c r="O13" s="196"/>
      <c r="P13" s="196"/>
      <c r="Q13" s="196"/>
      <c r="R13" s="196"/>
      <c r="S13" s="197"/>
      <c r="T13" s="52" t="s">
        <v>51</v>
      </c>
      <c r="U13" s="221" t="s">
        <v>47</v>
      </c>
      <c r="V13" s="221" t="s">
        <v>44</v>
      </c>
      <c r="W13" s="222" t="s">
        <v>196</v>
      </c>
      <c r="X13" s="52" t="s">
        <v>51</v>
      </c>
      <c r="Y13" s="221" t="s">
        <v>47</v>
      </c>
      <c r="Z13" s="221" t="s">
        <v>44</v>
      </c>
      <c r="AA13" s="222" t="s">
        <v>196</v>
      </c>
      <c r="AB13" s="52" t="s">
        <v>51</v>
      </c>
      <c r="AC13" s="221" t="s">
        <v>47</v>
      </c>
      <c r="AD13" s="221" t="s">
        <v>44</v>
      </c>
      <c r="AE13" s="222" t="s">
        <v>196</v>
      </c>
      <c r="AF13" s="7"/>
      <c r="AG13" s="7"/>
      <c r="AI13" s="7"/>
    </row>
    <row r="14" spans="1:35" ht="14.4" x14ac:dyDescent="0.3">
      <c r="A14" s="13" t="s">
        <v>101</v>
      </c>
      <c r="B14" s="14" t="s">
        <v>100</v>
      </c>
      <c r="C14" s="15" t="s">
        <v>102</v>
      </c>
      <c r="D14" s="16" t="s">
        <v>8</v>
      </c>
      <c r="E14" s="16" t="s">
        <v>103</v>
      </c>
      <c r="F14" s="17" t="s">
        <v>98</v>
      </c>
      <c r="G14" s="17" t="s">
        <v>104</v>
      </c>
      <c r="H14" s="17" t="s">
        <v>105</v>
      </c>
      <c r="I14" s="17" t="s">
        <v>106</v>
      </c>
      <c r="J14" s="179" t="s">
        <v>107</v>
      </c>
      <c r="K14" s="179" t="s">
        <v>318</v>
      </c>
      <c r="L14" s="37" t="s">
        <v>108</v>
      </c>
      <c r="M14" s="249" t="s">
        <v>99</v>
      </c>
      <c r="N14" s="184" t="s">
        <v>104</v>
      </c>
      <c r="O14" s="106" t="s">
        <v>105</v>
      </c>
      <c r="P14" s="40" t="s">
        <v>109</v>
      </c>
      <c r="Q14" s="40" t="s">
        <v>107</v>
      </c>
      <c r="R14" s="179" t="s">
        <v>318</v>
      </c>
      <c r="S14" s="199" t="s">
        <v>110</v>
      </c>
      <c r="T14" s="215" t="s">
        <v>104</v>
      </c>
      <c r="U14" s="184"/>
      <c r="V14" s="184"/>
      <c r="W14" s="216"/>
      <c r="X14" s="215" t="s">
        <v>61</v>
      </c>
      <c r="Y14" s="184"/>
      <c r="Z14" s="184"/>
      <c r="AA14" s="216"/>
      <c r="AB14" s="215" t="s">
        <v>334</v>
      </c>
      <c r="AC14" s="184"/>
      <c r="AD14" s="184"/>
      <c r="AE14" s="216"/>
      <c r="AG14" s="8"/>
    </row>
    <row r="15" spans="1:35" ht="14.4" x14ac:dyDescent="0.3">
      <c r="A15" s="25" t="s">
        <v>85</v>
      </c>
      <c r="B15" s="25">
        <f>VLOOKUP(A15,Library!$B$4:$C$57,2,FALSE)</f>
        <v>292.24</v>
      </c>
      <c r="C15" s="75">
        <f>VLOOKUP(A15,'Mod Wolfe v3'!$F$5:$G$16,2,FALSE)*(1000/'Mod Wolfe v3'!$G$19)</f>
        <v>0.2</v>
      </c>
      <c r="D15" s="26" t="s">
        <v>97</v>
      </c>
      <c r="E15" s="26">
        <f t="shared" ref="E15:E24" si="0">IF(D15="g/L",C15/B15,IF(D15="mg/L",C15/(1000*B15),IF(D15="ug/L",C15/(1000000*B15),"error")))</f>
        <v>6.8436901177114698E-4</v>
      </c>
      <c r="F15" s="25"/>
      <c r="G15" s="25"/>
      <c r="H15" s="25"/>
      <c r="I15" s="25"/>
      <c r="J15" s="178"/>
      <c r="K15" s="183"/>
      <c r="L15" s="28"/>
      <c r="M15" s="86" t="s">
        <v>299</v>
      </c>
      <c r="N15" s="22">
        <v>1</v>
      </c>
      <c r="O15" s="25">
        <f>VLOOKUP(M15,Library!$K$4:$M$36,3,FALSE)</f>
        <v>-2</v>
      </c>
      <c r="P15" s="25">
        <f>E15*N15</f>
        <v>6.8436901177114698E-4</v>
      </c>
      <c r="Q15" s="25">
        <f>IF(M15="N/A",0,VLOOKUP(M15,Library!$K$4:$N$36,2,FALSE))</f>
        <v>292.24380000000002</v>
      </c>
      <c r="R15" s="25">
        <f>P15*(O15^2)</f>
        <v>2.7374760470845879E-3</v>
      </c>
      <c r="S15" s="200">
        <f>P15*Q15</f>
        <v>0.20000260060224473</v>
      </c>
      <c r="T15" s="217">
        <f>VLOOKUP(A15,Library!$B$4:$G$69,3,FALSE)</f>
        <v>10</v>
      </c>
      <c r="U15" s="185">
        <f>VLOOKUP(A15,Library!$B$4:$G$69,4,FALSE)</f>
        <v>2</v>
      </c>
      <c r="V15" s="185">
        <f>VLOOKUP(A15,Library!$B$4:$G$69,5,FALSE)</f>
        <v>0</v>
      </c>
      <c r="W15" s="218">
        <f>VLOOKUP(A15,Library!$B$4:$G$69,6,FALSE)</f>
        <v>0</v>
      </c>
      <c r="X15" s="217">
        <f>T15*E15</f>
        <v>6.8436901177114703E-3</v>
      </c>
      <c r="Y15" s="185">
        <f>U15*E15</f>
        <v>1.368738023542294E-3</v>
      </c>
      <c r="Z15" s="185">
        <f>V15*E15</f>
        <v>0</v>
      </c>
      <c r="AA15" s="218">
        <f>W15*E15</f>
        <v>0</v>
      </c>
      <c r="AB15" s="217">
        <f>X15*VLOOKUP($AB$13,Library!$T$4:$U$7,2,FALSE)</f>
        <v>8.219271831371476E-2</v>
      </c>
      <c r="AC15" s="185">
        <f>Y15*VLOOKUP($AC$13,Library!$T$4:$U$7,2,FALSE)</f>
        <v>1.917601970982754E-2</v>
      </c>
      <c r="AD15" s="185">
        <f>Z15*VLOOKUP($AD$13,Library!$T$4:$U$7,2,FALSE)</f>
        <v>0</v>
      </c>
      <c r="AE15" s="218">
        <f>AA15*VLOOKUP($AE$13,Library!$T$4:$U$7,2,FALSE)</f>
        <v>0</v>
      </c>
      <c r="AG15" s="8"/>
    </row>
    <row r="16" spans="1:35" ht="14.4" x14ac:dyDescent="0.3">
      <c r="A16" s="25" t="s">
        <v>307</v>
      </c>
      <c r="B16" s="25">
        <f>VLOOKUP(A16,Library!$B$4:$C$57,2,FALSE)</f>
        <v>136.09</v>
      </c>
      <c r="C16" s="75">
        <f>VLOOKUP(A16,'Mod Wolfe v3'!$F$5:$G$16,2,FALSE)*(1000/'Mod Wolfe v3'!$G$19)</f>
        <v>0.3</v>
      </c>
      <c r="D16" s="26" t="s">
        <v>97</v>
      </c>
      <c r="E16" s="26">
        <f t="shared" si="0"/>
        <v>2.2044235432434416E-3</v>
      </c>
      <c r="F16" s="25" t="s">
        <v>66</v>
      </c>
      <c r="G16" s="25">
        <v>1</v>
      </c>
      <c r="H16" s="25">
        <f>VLOOKUP(F16,Library!$K$4:$M$36,3,FALSE)</f>
        <v>1</v>
      </c>
      <c r="I16" s="25">
        <f>E16*G16</f>
        <v>2.2044235432434416E-3</v>
      </c>
      <c r="J16" s="178">
        <f>IF(F16="N/A",0,VLOOKUP(F16,Library!$K$4:$M$36,2,FALSE))</f>
        <v>39.093800000000002</v>
      </c>
      <c r="K16" s="183">
        <f>I16*(H16^2)</f>
        <v>2.2044235432434416E-3</v>
      </c>
      <c r="L16" s="28">
        <f>I16*J16</f>
        <v>8.6179293114850467E-2</v>
      </c>
      <c r="M16" s="86" t="s">
        <v>82</v>
      </c>
      <c r="N16" s="22">
        <v>1</v>
      </c>
      <c r="O16" s="25">
        <f>VLOOKUP(M16,Library!$K$4:$M$36,3,FALSE)</f>
        <v>-3</v>
      </c>
      <c r="P16" s="25">
        <f>E16*N16</f>
        <v>2.2044235432434416E-3</v>
      </c>
      <c r="Q16" s="25">
        <f>IF(M16="N/A",0,VLOOKUP(M16,Library!$K$4:$N$36,2,FALSE))</f>
        <v>94.97</v>
      </c>
      <c r="R16" s="25">
        <f>P16*(O16^2)</f>
        <v>1.9839811889190973E-2</v>
      </c>
      <c r="S16" s="200">
        <f>P16*Q16</f>
        <v>0.20935410390182965</v>
      </c>
      <c r="T16" s="217">
        <f>VLOOKUP(A16,Library!$B$4:$G$69,3,FALSE)</f>
        <v>0</v>
      </c>
      <c r="U16" s="185">
        <f>VLOOKUP(A16,Library!$B$4:$G$69,4,FALSE)</f>
        <v>0</v>
      </c>
      <c r="V16" s="185">
        <f>VLOOKUP(A16,Library!$B$4:$G$69,5,FALSE)</f>
        <v>1</v>
      </c>
      <c r="W16" s="218">
        <f>VLOOKUP(A16,Library!$B$4:$G$69,6,FALSE)</f>
        <v>0</v>
      </c>
      <c r="X16" s="217">
        <f>T16*E16</f>
        <v>0</v>
      </c>
      <c r="Y16" s="185">
        <f>U16*E16</f>
        <v>0</v>
      </c>
      <c r="Z16" s="185">
        <f>V16*E16</f>
        <v>2.2044235432434416E-3</v>
      </c>
      <c r="AA16" s="218">
        <f>W16*E16</f>
        <v>0</v>
      </c>
      <c r="AB16" s="217">
        <f>X16*VLOOKUP($AB$13,Library!$T$4:$U$7,2,FALSE)</f>
        <v>0</v>
      </c>
      <c r="AC16" s="185">
        <f>Y16*VLOOKUP($AC$13,Library!$T$4:$U$7,2,FALSE)</f>
        <v>0</v>
      </c>
      <c r="AD16" s="185">
        <f>Z16*VLOOKUP($AD$13,Library!$T$4:$U$7,2,FALSE)</f>
        <v>6.8270997134249389E-2</v>
      </c>
      <c r="AE16" s="218">
        <f>AA16*VLOOKUP($AE$13,Library!$T$4:$U$7,2,FALSE)</f>
        <v>0</v>
      </c>
      <c r="AG16" s="8"/>
    </row>
    <row r="17" spans="1:33" ht="14.4" x14ac:dyDescent="0.3">
      <c r="A17" s="25" t="s">
        <v>308</v>
      </c>
      <c r="B17" s="25">
        <f>VLOOKUP(A17,Library!$B$4:$C$57,2,FALSE)</f>
        <v>174.18</v>
      </c>
      <c r="C17" s="75">
        <f>VLOOKUP(A17,'Mod Wolfe v3'!$F$5:$G$16,2,FALSE)*(1000/'Mod Wolfe v3'!$G$19)</f>
        <v>0.3</v>
      </c>
      <c r="D17" s="26" t="s">
        <v>97</v>
      </c>
      <c r="E17" s="26">
        <f t="shared" si="0"/>
        <v>1.7223561832586977E-3</v>
      </c>
      <c r="F17" s="25" t="s">
        <v>66</v>
      </c>
      <c r="G17" s="25">
        <v>2</v>
      </c>
      <c r="H17" s="25">
        <f>VLOOKUP(F17,Library!$K$4:$M$36,3,FALSE)</f>
        <v>1</v>
      </c>
      <c r="I17" s="25">
        <f t="shared" ref="I17:I37" si="1">E17*G17</f>
        <v>3.4447123665173954E-3</v>
      </c>
      <c r="J17" s="178">
        <f>IF(F17="N/A",0,VLOOKUP(F17,Library!$K$4:$M$36,2,FALSE))</f>
        <v>39.093800000000002</v>
      </c>
      <c r="K17" s="183">
        <f t="shared" ref="K17:K37" si="2">I17*(H17^2)</f>
        <v>3.4447123665173954E-3</v>
      </c>
      <c r="L17" s="28">
        <f t="shared" ref="L17:L37" si="3">I17*J17</f>
        <v>0.13466689631415776</v>
      </c>
      <c r="M17" s="86" t="s">
        <v>82</v>
      </c>
      <c r="N17" s="27">
        <v>1</v>
      </c>
      <c r="O17" s="25">
        <f>VLOOKUP(M17,Library!$K$4:$M$36,3,FALSE)</f>
        <v>-3</v>
      </c>
      <c r="P17" s="25">
        <f t="shared" ref="P17:P37" si="4">E17*N17</f>
        <v>1.7223561832586977E-3</v>
      </c>
      <c r="Q17" s="25">
        <f>IF(M17="N/A",0,VLOOKUP(M17,Library!$K$4:$N$36,2,FALSE))</f>
        <v>94.97</v>
      </c>
      <c r="R17" s="25">
        <f t="shared" ref="R17:R37" si="5">P17*(O17^2)</f>
        <v>1.5501205649328279E-2</v>
      </c>
      <c r="S17" s="200">
        <f t="shared" ref="S17:S37" si="6">P17*Q17</f>
        <v>0.16357216672407851</v>
      </c>
      <c r="T17" s="217">
        <f>VLOOKUP(A17,Library!$B$4:$G$69,3,FALSE)</f>
        <v>0</v>
      </c>
      <c r="U17" s="185">
        <f>VLOOKUP(A17,Library!$B$4:$G$69,4,FALSE)</f>
        <v>0</v>
      </c>
      <c r="V17" s="185">
        <f>VLOOKUP(A17,Library!$B$4:$G$69,5,FALSE)</f>
        <v>1</v>
      </c>
      <c r="W17" s="218">
        <f>VLOOKUP(A17,Library!$B$4:$G$69,6,FALSE)</f>
        <v>0</v>
      </c>
      <c r="X17" s="217">
        <f t="shared" ref="X17:X24" si="7">T17*E17</f>
        <v>0</v>
      </c>
      <c r="Y17" s="185">
        <f t="shared" ref="Y17:Y24" si="8">U17*E17</f>
        <v>0</v>
      </c>
      <c r="Z17" s="185">
        <f t="shared" ref="Z17:Z24" si="9">V17*E17</f>
        <v>1.7223561832586977E-3</v>
      </c>
      <c r="AA17" s="218">
        <f t="shared" ref="AA17:AA24" si="10">W17*E17</f>
        <v>0</v>
      </c>
      <c r="AB17" s="217">
        <f>X17*VLOOKUP($AB$13,Library!$T$4:$U$7,2,FALSE)</f>
        <v>0</v>
      </c>
      <c r="AC17" s="185">
        <f>Y17*VLOOKUP($AC$13,Library!$T$4:$U$7,2,FALSE)</f>
        <v>0</v>
      </c>
      <c r="AD17" s="185">
        <f>Z17*VLOOKUP($AD$13,Library!$T$4:$U$7,2,FALSE)</f>
        <v>5.3341370995521865E-2</v>
      </c>
      <c r="AE17" s="218">
        <f>AA17*VLOOKUP($AE$13,Library!$T$4:$U$7,2,FALSE)</f>
        <v>0</v>
      </c>
      <c r="AG17" s="8"/>
    </row>
    <row r="18" spans="1:33" ht="14.4" x14ac:dyDescent="0.3">
      <c r="A18" s="25" t="s">
        <v>21</v>
      </c>
      <c r="B18" s="25">
        <f>VLOOKUP(A18,Library!$B$4:$C$57,2,FALSE)</f>
        <v>53.49</v>
      </c>
      <c r="C18" s="75">
        <f>VLOOKUP(A18,'Mod Wolfe v3'!$F$5:$G$16,2,FALSE)*(1000/'Mod Wolfe v3'!$G$19)</f>
        <v>1</v>
      </c>
      <c r="D18" s="26" t="s">
        <v>97</v>
      </c>
      <c r="E18" s="26">
        <f t="shared" si="0"/>
        <v>1.8695083193120209E-2</v>
      </c>
      <c r="F18" s="25" t="s">
        <v>78</v>
      </c>
      <c r="G18" s="25">
        <v>1</v>
      </c>
      <c r="H18" s="25">
        <f>VLOOKUP(F18,Library!$K$4:$M$36,3,FALSE)</f>
        <v>1</v>
      </c>
      <c r="I18" s="25">
        <f t="shared" si="1"/>
        <v>1.8695083193120209E-2</v>
      </c>
      <c r="J18" s="178">
        <f>IF(F18="N/A",0,VLOOKUP(F18,Library!$K$4:$M$36,2,FALSE))</f>
        <v>18.04</v>
      </c>
      <c r="K18" s="183">
        <f t="shared" si="2"/>
        <v>1.8695083193120209E-2</v>
      </c>
      <c r="L18" s="28">
        <f t="shared" si="3"/>
        <v>0.33725930080388855</v>
      </c>
      <c r="M18" s="86" t="s">
        <v>70</v>
      </c>
      <c r="N18" s="27">
        <v>1</v>
      </c>
      <c r="O18" s="25">
        <f>VLOOKUP(M18,Library!$K$4:$M$36,3,FALSE)</f>
        <v>-1</v>
      </c>
      <c r="P18" s="25">
        <f t="shared" si="4"/>
        <v>1.8695083193120209E-2</v>
      </c>
      <c r="Q18" s="25">
        <f>IF(M18="N/A",0,VLOOKUP(M18,Library!$K$4:$N$36,2,FALSE))</f>
        <v>35.453000000000003</v>
      </c>
      <c r="R18" s="25">
        <f t="shared" si="5"/>
        <v>1.8695083193120209E-2</v>
      </c>
      <c r="S18" s="200">
        <f t="shared" si="6"/>
        <v>0.66279678444569079</v>
      </c>
      <c r="T18" s="217">
        <f>VLOOKUP(A18,Library!$B$4:$G$69,3,FALSE)</f>
        <v>0</v>
      </c>
      <c r="U18" s="185">
        <f>VLOOKUP(A18,Library!$B$4:$G$69,4,FALSE)</f>
        <v>1</v>
      </c>
      <c r="V18" s="185">
        <f>VLOOKUP(A18,Library!$B$4:$G$69,5,FALSE)</f>
        <v>0</v>
      </c>
      <c r="W18" s="218">
        <f>VLOOKUP(A18,Library!$B$4:$G$69,6,FALSE)</f>
        <v>0</v>
      </c>
      <c r="X18" s="217">
        <f t="shared" si="7"/>
        <v>0</v>
      </c>
      <c r="Y18" s="185">
        <f t="shared" si="8"/>
        <v>1.8695083193120209E-2</v>
      </c>
      <c r="Z18" s="185">
        <f t="shared" si="9"/>
        <v>0</v>
      </c>
      <c r="AA18" s="218">
        <f t="shared" si="10"/>
        <v>0</v>
      </c>
      <c r="AB18" s="217">
        <f>X18*VLOOKUP($AB$13,Library!$T$4:$U$7,2,FALSE)</f>
        <v>0</v>
      </c>
      <c r="AC18" s="185">
        <f>Y18*VLOOKUP($AC$13,Library!$T$4:$U$7,2,FALSE)</f>
        <v>0.26191811553561412</v>
      </c>
      <c r="AD18" s="185">
        <f>Z18*VLOOKUP($AD$13,Library!$T$4:$U$7,2,FALSE)</f>
        <v>0</v>
      </c>
      <c r="AE18" s="218">
        <f>AA18*VLOOKUP($AE$13,Library!$T$4:$U$7,2,FALSE)</f>
        <v>0</v>
      </c>
      <c r="AG18" s="8"/>
    </row>
    <row r="19" spans="1:33" ht="14.4" x14ac:dyDescent="0.3">
      <c r="A19" s="25" t="s">
        <v>25</v>
      </c>
      <c r="B19" s="25">
        <f>VLOOKUP(A19,Library!$B$4:$C$57,2,FALSE)</f>
        <v>203.3</v>
      </c>
      <c r="C19" s="75">
        <f>VLOOKUP(A19,'Mod Wolfe v3'!$F$5:$G$16,2,FALSE)*(1000/'Mod Wolfe v3'!$G$19)</f>
        <v>0.16</v>
      </c>
      <c r="D19" s="26" t="s">
        <v>97</v>
      </c>
      <c r="E19" s="26">
        <f t="shared" si="0"/>
        <v>7.8701426463354646E-4</v>
      </c>
      <c r="F19" s="25" t="s">
        <v>64</v>
      </c>
      <c r="G19" s="25">
        <v>1</v>
      </c>
      <c r="H19" s="25">
        <f>VLOOKUP(F19,Library!$K$4:$M$36,3,FALSE)</f>
        <v>2</v>
      </c>
      <c r="I19" s="25">
        <f t="shared" si="1"/>
        <v>7.8701426463354646E-4</v>
      </c>
      <c r="J19" s="178">
        <f>IF(F19="N/A",0,VLOOKUP(F19,Library!$K$4:$M$36,2,FALSE))</f>
        <v>24.305</v>
      </c>
      <c r="K19" s="183">
        <f t="shared" si="2"/>
        <v>3.1480570585341859E-3</v>
      </c>
      <c r="L19" s="28">
        <f t="shared" si="3"/>
        <v>1.9128381701918346E-2</v>
      </c>
      <c r="M19" s="86" t="s">
        <v>70</v>
      </c>
      <c r="N19" s="27">
        <v>2</v>
      </c>
      <c r="O19" s="25">
        <f>VLOOKUP(M19,Library!$K$4:$M$36,3,FALSE)</f>
        <v>-1</v>
      </c>
      <c r="P19" s="25">
        <f t="shared" si="4"/>
        <v>1.5740285292670929E-3</v>
      </c>
      <c r="Q19" s="25">
        <f>IF(M19="N/A",0,VLOOKUP(M19,Library!$K$4:$N$36,2,FALSE))</f>
        <v>35.453000000000003</v>
      </c>
      <c r="R19" s="25">
        <f t="shared" si="5"/>
        <v>1.5740285292670929E-3</v>
      </c>
      <c r="S19" s="200">
        <f t="shared" si="6"/>
        <v>5.5804033448106249E-2</v>
      </c>
      <c r="T19" s="217">
        <f>VLOOKUP(A19,Library!$B$4:$G$69,3,FALSE)</f>
        <v>0</v>
      </c>
      <c r="U19" s="185">
        <f>VLOOKUP(A19,Library!$B$4:$G$69,4,FALSE)</f>
        <v>0</v>
      </c>
      <c r="V19" s="185">
        <f>VLOOKUP(A19,Library!$B$4:$G$69,5,FALSE)</f>
        <v>0</v>
      </c>
      <c r="W19" s="218">
        <f>VLOOKUP(A19,Library!$B$4:$G$69,6,FALSE)</f>
        <v>0</v>
      </c>
      <c r="X19" s="217">
        <f t="shared" si="7"/>
        <v>0</v>
      </c>
      <c r="Y19" s="185">
        <f t="shared" si="8"/>
        <v>0</v>
      </c>
      <c r="Z19" s="185">
        <f t="shared" si="9"/>
        <v>0</v>
      </c>
      <c r="AA19" s="218">
        <f t="shared" si="10"/>
        <v>0</v>
      </c>
      <c r="AB19" s="217">
        <f>X19*VLOOKUP($AB$13,Library!$T$4:$U$7,2,FALSE)</f>
        <v>0</v>
      </c>
      <c r="AC19" s="185">
        <f>Y19*VLOOKUP($AC$13,Library!$T$4:$U$7,2,FALSE)</f>
        <v>0</v>
      </c>
      <c r="AD19" s="185">
        <f>Z19*VLOOKUP($AD$13,Library!$T$4:$U$7,2,FALSE)</f>
        <v>0</v>
      </c>
      <c r="AE19" s="218">
        <f>AA19*VLOOKUP($AE$13,Library!$T$4:$U$7,2,FALSE)</f>
        <v>0</v>
      </c>
      <c r="AG19" s="8"/>
    </row>
    <row r="20" spans="1:33" ht="14.4" x14ac:dyDescent="0.3">
      <c r="A20" s="25" t="s">
        <v>29</v>
      </c>
      <c r="B20" s="25">
        <f>VLOOKUP(A20,Library!$B$4:$C$57,2,FALSE)</f>
        <v>147.01</v>
      </c>
      <c r="C20" s="75">
        <f>VLOOKUP(A20,'Mod Wolfe v3'!$F$5:$G$16,2,FALSE)*(1000/'Mod Wolfe v3'!$G$19)</f>
        <v>8.9999999999999993E-3</v>
      </c>
      <c r="D20" s="26" t="s">
        <v>97</v>
      </c>
      <c r="E20" s="26">
        <f t="shared" si="0"/>
        <v>6.122032514794912E-5</v>
      </c>
      <c r="F20" s="25" t="s">
        <v>65</v>
      </c>
      <c r="G20" s="25">
        <v>1</v>
      </c>
      <c r="H20" s="25">
        <f>VLOOKUP(F20,Library!$K$4:$M$36,3,FALSE)</f>
        <v>2</v>
      </c>
      <c r="I20" s="25">
        <f t="shared" si="1"/>
        <v>6.122032514794912E-5</v>
      </c>
      <c r="J20" s="178">
        <f>IF(F20="N/A",0,VLOOKUP(F20,Library!$K$4:$M$36,2,FALSE))</f>
        <v>40.078000000000003</v>
      </c>
      <c r="K20" s="183">
        <f t="shared" si="2"/>
        <v>2.4488130059179648E-4</v>
      </c>
      <c r="L20" s="28">
        <f t="shared" si="3"/>
        <v>2.4535881912795049E-3</v>
      </c>
      <c r="M20" s="86" t="s">
        <v>70</v>
      </c>
      <c r="N20" s="27">
        <v>2</v>
      </c>
      <c r="O20" s="25">
        <f>VLOOKUP(M20,Library!$K$4:$M$36,3,FALSE)</f>
        <v>-1</v>
      </c>
      <c r="P20" s="25">
        <f t="shared" si="4"/>
        <v>1.2244065029589824E-4</v>
      </c>
      <c r="Q20" s="25">
        <f>IF(M20="N/A",0,VLOOKUP(M20,Library!$K$4:$N$36,2,FALSE))</f>
        <v>35.453000000000003</v>
      </c>
      <c r="R20" s="25">
        <f t="shared" si="5"/>
        <v>1.2244065029589824E-4</v>
      </c>
      <c r="S20" s="200">
        <f t="shared" si="6"/>
        <v>4.3408883749404808E-3</v>
      </c>
      <c r="T20" s="217">
        <f>VLOOKUP(A20,Library!$B$4:$G$69,3,FALSE)</f>
        <v>0</v>
      </c>
      <c r="U20" s="185">
        <f>VLOOKUP(A20,Library!$B$4:$G$69,4,FALSE)</f>
        <v>0</v>
      </c>
      <c r="V20" s="185">
        <f>VLOOKUP(A20,Library!$B$4:$G$69,5,FALSE)</f>
        <v>0</v>
      </c>
      <c r="W20" s="218">
        <f>VLOOKUP(A20,Library!$B$4:$G$69,6,FALSE)</f>
        <v>0</v>
      </c>
      <c r="X20" s="217">
        <f t="shared" si="7"/>
        <v>0</v>
      </c>
      <c r="Y20" s="185">
        <f t="shared" si="8"/>
        <v>0</v>
      </c>
      <c r="Z20" s="185">
        <f t="shared" si="9"/>
        <v>0</v>
      </c>
      <c r="AA20" s="218">
        <f t="shared" si="10"/>
        <v>0</v>
      </c>
      <c r="AB20" s="217">
        <f>X20*VLOOKUP($AB$13,Library!$T$4:$U$7,2,FALSE)</f>
        <v>0</v>
      </c>
      <c r="AC20" s="185">
        <f>Y20*VLOOKUP($AC$13,Library!$T$4:$U$7,2,FALSE)</f>
        <v>0</v>
      </c>
      <c r="AD20" s="185">
        <f>Z20*VLOOKUP($AD$13,Library!$T$4:$U$7,2,FALSE)</f>
        <v>0</v>
      </c>
      <c r="AE20" s="218">
        <f>AA20*VLOOKUP($AE$13,Library!$T$4:$U$7,2,FALSE)</f>
        <v>0</v>
      </c>
      <c r="AG20" s="8"/>
    </row>
    <row r="21" spans="1:33" ht="14.4" x14ac:dyDescent="0.3">
      <c r="A21" s="25" t="s">
        <v>33</v>
      </c>
      <c r="B21" s="25">
        <f>VLOOKUP(A21,Library!$B$4:$C$57,2,FALSE)</f>
        <v>58.44</v>
      </c>
      <c r="C21" s="75">
        <f>VLOOKUP(A21,'Mod Wolfe v3'!$F$5:$G$16,2,FALSE)*(1000/'Mod Wolfe v3'!$G$19)</f>
        <v>0.6</v>
      </c>
      <c r="D21" s="26" t="s">
        <v>97</v>
      </c>
      <c r="E21" s="26">
        <f t="shared" si="0"/>
        <v>1.0266940451745379E-2</v>
      </c>
      <c r="F21" s="25" t="s">
        <v>63</v>
      </c>
      <c r="G21" s="25">
        <v>1</v>
      </c>
      <c r="H21" s="25">
        <f>VLOOKUP(F21,Library!$K$4:$M$36,3,FALSE)</f>
        <v>1</v>
      </c>
      <c r="I21" s="25">
        <f t="shared" si="1"/>
        <v>1.0266940451745379E-2</v>
      </c>
      <c r="J21" s="178">
        <f>IF(F21="N/A",0,VLOOKUP(F21,Library!$K$4:$M$36,2,FALSE))</f>
        <v>28.989768999999999</v>
      </c>
      <c r="K21" s="183">
        <f t="shared" si="2"/>
        <v>1.0266940451745379E-2</v>
      </c>
      <c r="L21" s="28">
        <f t="shared" si="3"/>
        <v>0.29763623203285416</v>
      </c>
      <c r="M21" s="86" t="s">
        <v>70</v>
      </c>
      <c r="N21" s="27">
        <v>1</v>
      </c>
      <c r="O21" s="25">
        <f>VLOOKUP(M21,Library!$K$4:$M$36,3,FALSE)</f>
        <v>-1</v>
      </c>
      <c r="P21" s="25">
        <f t="shared" si="4"/>
        <v>1.0266940451745379E-2</v>
      </c>
      <c r="Q21" s="25">
        <f>IF(M21="N/A",0,VLOOKUP(M21,Library!$K$4:$N$36,2,FALSE))</f>
        <v>35.453000000000003</v>
      </c>
      <c r="R21" s="25">
        <f t="shared" si="5"/>
        <v>1.0266940451745379E-2</v>
      </c>
      <c r="S21" s="200">
        <f t="shared" si="6"/>
        <v>0.36399383983572897</v>
      </c>
      <c r="T21" s="217">
        <f>VLOOKUP(A21,Library!$B$4:$G$69,3,FALSE)</f>
        <v>0</v>
      </c>
      <c r="U21" s="185">
        <f>VLOOKUP(A21,Library!$B$4:$G$69,4,FALSE)</f>
        <v>0</v>
      </c>
      <c r="V21" s="185">
        <f>VLOOKUP(A21,Library!$B$4:$G$69,5,FALSE)</f>
        <v>0</v>
      </c>
      <c r="W21" s="218">
        <f>VLOOKUP(A21,Library!$B$4:$G$69,6,FALSE)</f>
        <v>0</v>
      </c>
      <c r="X21" s="217">
        <f t="shared" si="7"/>
        <v>0</v>
      </c>
      <c r="Y21" s="185">
        <f t="shared" si="8"/>
        <v>0</v>
      </c>
      <c r="Z21" s="185">
        <f t="shared" si="9"/>
        <v>0</v>
      </c>
      <c r="AA21" s="218">
        <f t="shared" si="10"/>
        <v>0</v>
      </c>
      <c r="AB21" s="217">
        <f>X21*VLOOKUP($AB$13,Library!$T$4:$U$7,2,FALSE)</f>
        <v>0</v>
      </c>
      <c r="AC21" s="185">
        <f>Y21*VLOOKUP($AC$13,Library!$T$4:$U$7,2,FALSE)</f>
        <v>0</v>
      </c>
      <c r="AD21" s="185">
        <f>Z21*VLOOKUP($AD$13,Library!$T$4:$U$7,2,FALSE)</f>
        <v>0</v>
      </c>
      <c r="AE21" s="218">
        <f>AA21*VLOOKUP($AE$13,Library!$T$4:$U$7,2,FALSE)</f>
        <v>0</v>
      </c>
      <c r="AG21" s="8"/>
    </row>
    <row r="22" spans="1:33" ht="14.4" x14ac:dyDescent="0.3">
      <c r="A22" s="25" t="s">
        <v>52</v>
      </c>
      <c r="B22" s="25">
        <f>VLOOKUP(A22,Library!$B$4:$C$57,2,FALSE)</f>
        <v>84.01</v>
      </c>
      <c r="C22" s="75">
        <f>VLOOKUP(A22,'Mod Wolfe v3'!$F$5:$G$16,2,FALSE)*(1000/'Mod Wolfe v3'!$G$19)</f>
        <v>0</v>
      </c>
      <c r="D22" s="26" t="s">
        <v>97</v>
      </c>
      <c r="E22" s="26">
        <f t="shared" si="0"/>
        <v>0</v>
      </c>
      <c r="F22" s="25" t="s">
        <v>63</v>
      </c>
      <c r="G22" s="25">
        <v>1</v>
      </c>
      <c r="H22" s="25">
        <f>VLOOKUP(F22,Library!$K$4:$M$36,3,FALSE)</f>
        <v>1</v>
      </c>
      <c r="I22" s="25">
        <f t="shared" si="1"/>
        <v>0</v>
      </c>
      <c r="J22" s="178">
        <f>IF(F22="N/A",0,VLOOKUP(F22,Library!$K$4:$M$36,2,FALSE))</f>
        <v>28.989768999999999</v>
      </c>
      <c r="K22" s="183">
        <f t="shared" si="2"/>
        <v>0</v>
      </c>
      <c r="L22" s="28">
        <f t="shared" si="3"/>
        <v>0</v>
      </c>
      <c r="M22" s="86" t="s">
        <v>67</v>
      </c>
      <c r="N22" s="27">
        <v>1</v>
      </c>
      <c r="O22" s="25">
        <f>VLOOKUP(M22,Library!$K$4:$M$36,3,FALSE)</f>
        <v>-1</v>
      </c>
      <c r="P22" s="25">
        <f t="shared" si="4"/>
        <v>0</v>
      </c>
      <c r="Q22" s="25">
        <f>IF(M22="N/A",0,VLOOKUP(M22,Library!$K$4:$N$36,2,FALSE))</f>
        <v>61.016800000000003</v>
      </c>
      <c r="R22" s="25">
        <f t="shared" si="5"/>
        <v>0</v>
      </c>
      <c r="S22" s="200">
        <f t="shared" si="6"/>
        <v>0</v>
      </c>
      <c r="T22" s="217">
        <f>VLOOKUP(A22,Library!$B$4:$G$69,3,FALSE)</f>
        <v>1</v>
      </c>
      <c r="U22" s="185">
        <f>VLOOKUP(A22,Library!$B$4:$G$69,4,FALSE)</f>
        <v>0</v>
      </c>
      <c r="V22" s="185">
        <f>VLOOKUP(A22,Library!$B$4:$G$69,5,FALSE)</f>
        <v>0</v>
      </c>
      <c r="W22" s="218">
        <f>VLOOKUP(A22,Library!$B$4:$G$69,6,FALSE)</f>
        <v>0</v>
      </c>
      <c r="X22" s="217">
        <f t="shared" si="7"/>
        <v>0</v>
      </c>
      <c r="Y22" s="185">
        <f t="shared" si="8"/>
        <v>0</v>
      </c>
      <c r="Z22" s="185">
        <f t="shared" si="9"/>
        <v>0</v>
      </c>
      <c r="AA22" s="218">
        <f t="shared" si="10"/>
        <v>0</v>
      </c>
      <c r="AB22" s="217">
        <f>X22*VLOOKUP($AB$13,Library!$T$4:$U$7,2,FALSE)</f>
        <v>0</v>
      </c>
      <c r="AC22" s="185">
        <f>Y22*VLOOKUP($AC$13,Library!$T$4:$U$7,2,FALSE)</f>
        <v>0</v>
      </c>
      <c r="AD22" s="185">
        <f>Z22*VLOOKUP($AD$13,Library!$T$4:$U$7,2,FALSE)</f>
        <v>0</v>
      </c>
      <c r="AE22" s="218">
        <f>AA22*VLOOKUP($AE$13,Library!$T$4:$U$7,2,FALSE)</f>
        <v>0</v>
      </c>
      <c r="AG22" s="8"/>
    </row>
    <row r="23" spans="1:33" ht="14.4" x14ac:dyDescent="0.3">
      <c r="A23" s="86" t="s">
        <v>298</v>
      </c>
      <c r="B23" s="25">
        <f>VLOOKUP(A23,Library!$B$4:$C$57,2,FALSE)</f>
        <v>240.18</v>
      </c>
      <c r="C23" s="75">
        <f>VLOOKUP(A23,'Mod Wolfe v3'!$I$20:$J$21,2,FALSE)*('Mod Wolfe v3'!$G$12/'Mod Wolfe v3'!$G$19)</f>
        <v>0.08</v>
      </c>
      <c r="D23" s="26" t="s">
        <v>97</v>
      </c>
      <c r="E23" s="26">
        <f t="shared" si="0"/>
        <v>3.330835206928137E-4</v>
      </c>
      <c r="F23" s="25" t="s">
        <v>63</v>
      </c>
      <c r="G23" s="25">
        <v>2</v>
      </c>
      <c r="H23" s="25">
        <f>VLOOKUP(F23,Library!$K$4:$M$36,3,FALSE)</f>
        <v>1</v>
      </c>
      <c r="I23" s="25">
        <f t="shared" si="1"/>
        <v>6.6616704138562741E-4</v>
      </c>
      <c r="J23" s="178">
        <f>IF(F23="N/A",0,VLOOKUP(F23,Library!$K$4:$M$36,2,FALSE))</f>
        <v>28.989768999999999</v>
      </c>
      <c r="K23" s="183">
        <f t="shared" si="2"/>
        <v>6.6616704138562741E-4</v>
      </c>
      <c r="L23" s="28">
        <f t="shared" si="3"/>
        <v>1.9312028645182777E-2</v>
      </c>
      <c r="M23" s="86" t="s">
        <v>84</v>
      </c>
      <c r="N23" s="27">
        <v>1</v>
      </c>
      <c r="O23" s="25">
        <f>VLOOKUP(M23,Library!$K$4:$M$36,3,FALSE)</f>
        <v>-2</v>
      </c>
      <c r="P23" s="25">
        <f t="shared" si="4"/>
        <v>3.330835206928137E-4</v>
      </c>
      <c r="Q23" s="25">
        <f>IF(M23="N/A",0,VLOOKUP(M23,Library!$K$4:$N$36,2,FALSE))</f>
        <v>32.064999999999998</v>
      </c>
      <c r="R23" s="25">
        <f t="shared" si="5"/>
        <v>1.3323340827712548E-3</v>
      </c>
      <c r="S23" s="200">
        <f t="shared" si="6"/>
        <v>1.0680323091015071E-2</v>
      </c>
      <c r="T23" s="217">
        <f>VLOOKUP(A23,Library!$B$4:$G$69,3,FALSE)</f>
        <v>0</v>
      </c>
      <c r="U23" s="185">
        <f>VLOOKUP(A23,Library!$B$4:$G$69,4,FALSE)</f>
        <v>0</v>
      </c>
      <c r="V23" s="185">
        <f>VLOOKUP(A23,Library!$B$4:$G$69,5,FALSE)</f>
        <v>0</v>
      </c>
      <c r="W23" s="218">
        <f>VLOOKUP(A23,Library!$B$4:$G$69,6,FALSE)</f>
        <v>1</v>
      </c>
      <c r="X23" s="217">
        <f t="shared" si="7"/>
        <v>0</v>
      </c>
      <c r="Y23" s="185">
        <f t="shared" si="8"/>
        <v>0</v>
      </c>
      <c r="Z23" s="185">
        <f t="shared" si="9"/>
        <v>0</v>
      </c>
      <c r="AA23" s="218">
        <f t="shared" si="10"/>
        <v>3.330835206928137E-4</v>
      </c>
      <c r="AB23" s="217">
        <f>X23*VLOOKUP($AB$13,Library!$T$4:$U$7,2,FALSE)</f>
        <v>0</v>
      </c>
      <c r="AC23" s="185">
        <f>Y23*VLOOKUP($AC$13,Library!$T$4:$U$7,2,FALSE)</f>
        <v>0</v>
      </c>
      <c r="AD23" s="185">
        <f>Z23*VLOOKUP($AD$13,Library!$T$4:$U$7,2,FALSE)</f>
        <v>0</v>
      </c>
      <c r="AE23" s="218">
        <f>AA23*VLOOKUP($AE$13,Library!$T$4:$U$7,2,FALSE)</f>
        <v>1.0681988508618536E-2</v>
      </c>
      <c r="AG23" s="8"/>
    </row>
    <row r="24" spans="1:33" ht="14.4" x14ac:dyDescent="0.3">
      <c r="A24" s="86" t="s">
        <v>195</v>
      </c>
      <c r="B24" s="25">
        <f>VLOOKUP(A24,Library!$B$4:$C$57,2,FALSE)</f>
        <v>175.63</v>
      </c>
      <c r="C24" s="75">
        <f>VLOOKUP(A24,'Mod Wolfe v3'!$I$26:$J$28,2,FALSE)*('Mod Wolfe v3'!$J$26/'Mod Wolfe v3'!$J$28)*('Mod Wolfe v3'!$G$13/'Mod Wolfe v3'!$G$19)</f>
        <v>1.8511753500000002E-2</v>
      </c>
      <c r="D24" s="26" t="s">
        <v>97</v>
      </c>
      <c r="E24" s="26">
        <f t="shared" si="0"/>
        <v>1.0540200136650915E-4</v>
      </c>
      <c r="F24" s="25" t="s">
        <v>339</v>
      </c>
      <c r="G24" s="25">
        <v>1</v>
      </c>
      <c r="H24" s="25">
        <v>1</v>
      </c>
      <c r="I24" s="25">
        <f t="shared" si="1"/>
        <v>1.0540200136650915E-4</v>
      </c>
      <c r="J24" s="178">
        <f>IF(F24="N/A",0,VLOOKUP(F24,Library!$K$4:$M$36,2,FALSE))</f>
        <v>1.0078400000000001</v>
      </c>
      <c r="K24" s="183">
        <f t="shared" si="2"/>
        <v>1.0540200136650915E-4</v>
      </c>
      <c r="L24" s="28"/>
      <c r="M24" s="86" t="s">
        <v>70</v>
      </c>
      <c r="N24" s="27">
        <v>1</v>
      </c>
      <c r="O24" s="25">
        <f>VLOOKUP(M24,Library!$K$4:$M$36,3,FALSE)</f>
        <v>-1</v>
      </c>
      <c r="P24" s="25">
        <f t="shared" si="4"/>
        <v>1.0540200136650915E-4</v>
      </c>
      <c r="Q24" s="25">
        <f>IF(M24="N/A",0,VLOOKUP(M24,Library!$K$4:$N$36,2,FALSE))</f>
        <v>35.453000000000003</v>
      </c>
      <c r="R24" s="25">
        <f t="shared" si="5"/>
        <v>1.0540200136650915E-4</v>
      </c>
      <c r="S24" s="200">
        <f t="shared" si="6"/>
        <v>3.7368171544468493E-3</v>
      </c>
      <c r="T24" s="217">
        <f>VLOOKUP(A24,Library!$B$4:$G$69,3,FALSE)</f>
        <v>3</v>
      </c>
      <c r="U24" s="185">
        <f>VLOOKUP(A24,Library!$B$4:$G$69,4,FALSE)</f>
        <v>1</v>
      </c>
      <c r="V24" s="185">
        <f>VLOOKUP(A24,Library!$B$4:$G$69,5,FALSE)</f>
        <v>0</v>
      </c>
      <c r="W24" s="218">
        <f>VLOOKUP(A24,Library!$B$4:$G$69,6,FALSE)</f>
        <v>1</v>
      </c>
      <c r="X24" s="217">
        <f t="shared" si="7"/>
        <v>3.1620600409952744E-4</v>
      </c>
      <c r="Y24" s="185">
        <f t="shared" si="8"/>
        <v>1.0540200136650915E-4</v>
      </c>
      <c r="Z24" s="185">
        <f t="shared" si="9"/>
        <v>0</v>
      </c>
      <c r="AA24" s="218">
        <f t="shared" si="10"/>
        <v>1.0540200136650915E-4</v>
      </c>
      <c r="AB24" s="217">
        <f>X24*VLOOKUP($AB$13,Library!$T$4:$U$7,2,FALSE)</f>
        <v>3.7976341092353246E-3</v>
      </c>
      <c r="AC24" s="185">
        <f>Y24*VLOOKUP($AC$13,Library!$T$4:$U$7,2,FALSE)</f>
        <v>1.4766820391447931E-3</v>
      </c>
      <c r="AD24" s="185">
        <f>Z24*VLOOKUP($AD$13,Library!$T$4:$U$7,2,FALSE)</f>
        <v>0</v>
      </c>
      <c r="AE24" s="218">
        <f>AA24*VLOOKUP($AE$13,Library!$T$4:$U$7,2,FALSE)</f>
        <v>3.3802421838239486E-3</v>
      </c>
      <c r="AG24" s="8"/>
    </row>
    <row r="25" spans="1:33" ht="14.4" x14ac:dyDescent="0.3">
      <c r="A25" s="20" t="s">
        <v>2</v>
      </c>
      <c r="B25" s="234"/>
      <c r="C25" s="235"/>
      <c r="D25" s="235"/>
      <c r="E25" s="235"/>
      <c r="F25" s="234"/>
      <c r="G25" s="234"/>
      <c r="H25" s="234"/>
      <c r="I25" s="234"/>
      <c r="J25" s="236"/>
      <c r="K25" s="237"/>
      <c r="L25" s="238"/>
      <c r="M25" s="239"/>
      <c r="N25" s="234"/>
      <c r="O25" s="234"/>
      <c r="P25" s="234"/>
      <c r="Q25" s="234" t="e">
        <f>IF(M25="N/A",0,VLOOKUP(M25,Library!$K$4:$N$36,2,FALSE))</f>
        <v>#N/A</v>
      </c>
      <c r="R25" s="234"/>
      <c r="S25" s="240"/>
      <c r="T25" s="241"/>
      <c r="U25" s="242"/>
      <c r="V25" s="242"/>
      <c r="W25" s="243"/>
      <c r="X25" s="241"/>
      <c r="Y25" s="242"/>
      <c r="Z25" s="242"/>
      <c r="AA25" s="243"/>
      <c r="AB25" s="241"/>
      <c r="AC25" s="242"/>
      <c r="AD25" s="242"/>
      <c r="AE25" s="243"/>
      <c r="AG25" s="8"/>
    </row>
    <row r="26" spans="1:33" ht="14.4" x14ac:dyDescent="0.3">
      <c r="A26" s="25" t="s">
        <v>312</v>
      </c>
      <c r="B26" s="25">
        <f>VLOOKUP(A26,Library!$B$4:$C$57,2,FALSE)</f>
        <v>191.14</v>
      </c>
      <c r="C26" s="177">
        <f>VLOOKUP(A26,'Mod Wolfe v3'!$L$4:$M$14,2, FALSE)*'Mod Wolfe v3'!$G$14/'Mod Wolfe v3'!$G$19*1000</f>
        <v>11.15</v>
      </c>
      <c r="D26" s="26" t="s">
        <v>16</v>
      </c>
      <c r="E26" s="26">
        <f t="shared" ref="E26:E48" si="11">IF(D26="g/L",C26/B26,IF(D26="mg/L",C26/(1000*B26),IF(D26="ug/L",C26/(1000000*B26),"error")))</f>
        <v>5.8334205294548499E-5</v>
      </c>
      <c r="F26" s="25" t="s">
        <v>63</v>
      </c>
      <c r="G26" s="25">
        <v>3</v>
      </c>
      <c r="H26" s="25">
        <f>VLOOKUP(F26,Library!$K$4:$M$36,3,FALSE)</f>
        <v>1</v>
      </c>
      <c r="I26" s="25">
        <f t="shared" si="1"/>
        <v>1.7500261588364549E-4</v>
      </c>
      <c r="J26" s="178">
        <f>IF(F26="N/A",0,VLOOKUP(F26,Library!$K$4:$M$36,2,FALSE))</f>
        <v>28.989768999999999</v>
      </c>
      <c r="K26" s="183">
        <f t="shared" si="2"/>
        <v>1.7500261588364549E-4</v>
      </c>
      <c r="L26" s="28">
        <f t="shared" si="3"/>
        <v>5.0732854088626133E-3</v>
      </c>
      <c r="M26" s="86" t="s">
        <v>111</v>
      </c>
      <c r="N26" s="27">
        <v>1</v>
      </c>
      <c r="O26" s="25">
        <f>VLOOKUP(M26,Library!$K$4:$M$36,3,FALSE)</f>
        <v>-3</v>
      </c>
      <c r="P26" s="25">
        <f t="shared" si="4"/>
        <v>5.8334205294548499E-5</v>
      </c>
      <c r="Q26" s="25">
        <f>IF(M26="N/A",0,VLOOKUP(M26,Library!$K$4:$N$36,2,FALSE))</f>
        <v>191.14</v>
      </c>
      <c r="R26" s="25">
        <f t="shared" si="5"/>
        <v>5.250078476509365E-4</v>
      </c>
      <c r="S26" s="200">
        <f t="shared" si="6"/>
        <v>1.115E-2</v>
      </c>
      <c r="T26" s="217">
        <f>VLOOKUP(A26,Library!$B$4:$G$69,3,FALSE)</f>
        <v>6</v>
      </c>
      <c r="U26" s="185">
        <f>VLOOKUP(A26,Library!$B$4:$G$69,4,FALSE)</f>
        <v>1</v>
      </c>
      <c r="V26" s="185">
        <f>VLOOKUP(A26,Library!$B$4:$G$69,5,FALSE)</f>
        <v>0</v>
      </c>
      <c r="W26" s="218">
        <f>VLOOKUP(A26,Library!$B$4:$G$69,6,FALSE)</f>
        <v>0</v>
      </c>
      <c r="X26" s="217">
        <f t="shared" ref="X26:X48" si="12">T26*E26</f>
        <v>3.5000523176729098E-4</v>
      </c>
      <c r="Y26" s="185">
        <f t="shared" ref="Y26:Y48" si="13">U26*E26</f>
        <v>5.8334205294548499E-5</v>
      </c>
      <c r="Z26" s="185">
        <f t="shared" ref="Z26:Z48" si="14">V26*E26</f>
        <v>0</v>
      </c>
      <c r="AA26" s="218">
        <f t="shared" ref="AA26:AA48" si="15">W26*E26</f>
        <v>0</v>
      </c>
      <c r="AB26" s="217">
        <f>X26*VLOOKUP($AB$13,Library!$T$4:$U$7,2,FALSE)</f>
        <v>4.2035628335251648E-3</v>
      </c>
      <c r="AC26" s="185">
        <f>Y26*VLOOKUP($AC$13,Library!$T$4:$U$7,2,FALSE)</f>
        <v>8.1726221617662448E-4</v>
      </c>
      <c r="AD26" s="185">
        <f>Z26*VLOOKUP($AD$13,Library!$T$4:$U$7,2,FALSE)</f>
        <v>0</v>
      </c>
      <c r="AE26" s="218">
        <f>AA26*VLOOKUP($AE$13,Library!$T$4:$U$7,2,FALSE)</f>
        <v>0</v>
      </c>
      <c r="AG26" s="8"/>
    </row>
    <row r="27" spans="1:33" ht="14.4" x14ac:dyDescent="0.3">
      <c r="A27" s="25" t="s">
        <v>17</v>
      </c>
      <c r="B27" s="25">
        <f>VLOOKUP(A27,Library!$B$4:$C$57,2,FALSE)</f>
        <v>392.14</v>
      </c>
      <c r="C27" s="177">
        <f>VLOOKUP(A27,'Mod Wolfe v3'!$L$4:$M$14,2, FALSE)*'Mod Wolfe v3'!$G$14/'Mod Wolfe v3'!$G$19*1000</f>
        <v>8</v>
      </c>
      <c r="D27" s="26" t="s">
        <v>16</v>
      </c>
      <c r="E27" s="26">
        <f t="shared" si="11"/>
        <v>2.0400877237721223E-5</v>
      </c>
      <c r="F27" s="25" t="s">
        <v>80</v>
      </c>
      <c r="G27" s="25">
        <v>2</v>
      </c>
      <c r="H27" s="25">
        <f>VLOOKUP(F27,Library!$K$4:$M$36,3,FALSE)</f>
        <v>2</v>
      </c>
      <c r="I27" s="25">
        <f t="shared" si="1"/>
        <v>4.0801754475442447E-5</v>
      </c>
      <c r="J27" s="178">
        <f>IF(F27="N/A",0,VLOOKUP(F27,Library!$K$4:$M$36,2,FALSE))</f>
        <v>55.844999999999999</v>
      </c>
      <c r="K27" s="183">
        <f t="shared" si="2"/>
        <v>1.6320701790176979E-4</v>
      </c>
      <c r="L27" s="28">
        <f t="shared" si="3"/>
        <v>2.2785739786810835E-3</v>
      </c>
      <c r="M27" s="86" t="s">
        <v>69</v>
      </c>
      <c r="N27" s="27">
        <v>2</v>
      </c>
      <c r="O27" s="25">
        <f>VLOOKUP(M27,Library!$K$4:$M$36,3,FALSE)</f>
        <v>-2</v>
      </c>
      <c r="P27" s="25">
        <f t="shared" si="4"/>
        <v>4.0801754475442447E-5</v>
      </c>
      <c r="Q27" s="25">
        <f>IF(M27="N/A",0,VLOOKUP(M27,Library!$K$4:$N$36,2,FALSE))</f>
        <v>96.06</v>
      </c>
      <c r="R27" s="25">
        <f t="shared" si="5"/>
        <v>1.6320701790176979E-4</v>
      </c>
      <c r="S27" s="200">
        <f t="shared" si="6"/>
        <v>3.9194165349110011E-3</v>
      </c>
      <c r="T27" s="217">
        <f>VLOOKUP(A27,Library!$B$4:$G$69,3,FALSE)</f>
        <v>0</v>
      </c>
      <c r="U27" s="185">
        <f>VLOOKUP(A27,Library!$B$4:$G$69,4,FALSE)</f>
        <v>2</v>
      </c>
      <c r="V27" s="185">
        <f>VLOOKUP(A27,Library!$B$4:$G$69,5,FALSE)</f>
        <v>0</v>
      </c>
      <c r="W27" s="218">
        <f>VLOOKUP(A27,Library!$B$4:$G$69,6,FALSE)</f>
        <v>2</v>
      </c>
      <c r="X27" s="217">
        <f t="shared" si="12"/>
        <v>0</v>
      </c>
      <c r="Y27" s="185">
        <f t="shared" si="13"/>
        <v>4.0801754475442447E-5</v>
      </c>
      <c r="Z27" s="185">
        <f t="shared" si="14"/>
        <v>0</v>
      </c>
      <c r="AA27" s="218">
        <f t="shared" si="15"/>
        <v>4.0801754475442447E-5</v>
      </c>
      <c r="AB27" s="217">
        <f>X27*VLOOKUP($AB$13,Library!$T$4:$U$7,2,FALSE)</f>
        <v>0</v>
      </c>
      <c r="AC27" s="185">
        <f>Y27*VLOOKUP($AC$13,Library!$T$4:$U$7,2,FALSE)</f>
        <v>5.7163258020094868E-4</v>
      </c>
      <c r="AD27" s="185">
        <f>Z27*VLOOKUP($AD$13,Library!$T$4:$U$7,2,FALSE)</f>
        <v>0</v>
      </c>
      <c r="AE27" s="218">
        <f>AA27*VLOOKUP($AE$13,Library!$T$4:$U$7,2,FALSE)</f>
        <v>1.3085122660274392E-3</v>
      </c>
      <c r="AG27" s="8"/>
    </row>
    <row r="28" spans="1:33" ht="14.4" x14ac:dyDescent="0.3">
      <c r="A28" s="25" t="s">
        <v>17</v>
      </c>
      <c r="B28" s="25">
        <f>VLOOKUP(A28,Library!$B$4:$C$57,2,FALSE)</f>
        <v>392.14</v>
      </c>
      <c r="C28" s="177">
        <f>VLOOKUP(A28,'Mod Wolfe v3'!$L$4:$M$14,2, FALSE)*'Mod Wolfe v3'!$G$14/'Mod Wolfe v3'!$G$19*1000</f>
        <v>8</v>
      </c>
      <c r="D28" s="26" t="s">
        <v>16</v>
      </c>
      <c r="E28" s="26">
        <f t="shared" si="11"/>
        <v>2.0400877237721223E-5</v>
      </c>
      <c r="F28" s="25" t="s">
        <v>78</v>
      </c>
      <c r="G28" s="25">
        <v>2</v>
      </c>
      <c r="H28" s="25">
        <f>VLOOKUP(F28,Library!$K$4:$M$36,3,FALSE)</f>
        <v>1</v>
      </c>
      <c r="I28" s="25">
        <f t="shared" si="1"/>
        <v>4.0801754475442447E-5</v>
      </c>
      <c r="J28" s="178">
        <f>IF(F28="N/A",0,VLOOKUP(F28,Library!$K$4:$M$36,2,FALSE))</f>
        <v>18.04</v>
      </c>
      <c r="K28" s="183">
        <f t="shared" si="2"/>
        <v>4.0801754475442447E-5</v>
      </c>
      <c r="L28" s="28">
        <f t="shared" si="3"/>
        <v>7.3606365073698168E-4</v>
      </c>
      <c r="M28" s="86"/>
      <c r="N28" s="27"/>
      <c r="O28" s="25"/>
      <c r="P28" s="25">
        <f t="shared" si="4"/>
        <v>0</v>
      </c>
      <c r="Q28" s="25"/>
      <c r="R28" s="25">
        <f t="shared" si="5"/>
        <v>0</v>
      </c>
      <c r="S28" s="200">
        <f t="shared" si="6"/>
        <v>0</v>
      </c>
      <c r="T28" s="241"/>
      <c r="U28" s="242"/>
      <c r="V28" s="242"/>
      <c r="W28" s="243"/>
      <c r="X28" s="241"/>
      <c r="Y28" s="242"/>
      <c r="Z28" s="242"/>
      <c r="AA28" s="243"/>
      <c r="AB28" s="241"/>
      <c r="AC28" s="242"/>
      <c r="AD28" s="242"/>
      <c r="AE28" s="243"/>
      <c r="AG28" s="8"/>
    </row>
    <row r="29" spans="1:33" ht="14.4" x14ac:dyDescent="0.3">
      <c r="A29" s="25" t="s">
        <v>336</v>
      </c>
      <c r="B29" s="25">
        <f>VLOOKUP(A29,Library!$B$4:$C$57,2,FALSE)</f>
        <v>172.94</v>
      </c>
      <c r="C29" s="177">
        <f>VLOOKUP(A29,'Mod Wolfe v3'!$L$4:$M$14,2, FALSE)*'Mod Wolfe v3'!$G$14/'Mod Wolfe v3'!$G$19*1000</f>
        <v>2</v>
      </c>
      <c r="D29" s="26" t="s">
        <v>16</v>
      </c>
      <c r="E29" s="26">
        <f t="shared" si="11"/>
        <v>1.1564704521799469E-5</v>
      </c>
      <c r="F29" s="25" t="s">
        <v>63</v>
      </c>
      <c r="G29" s="25">
        <v>1</v>
      </c>
      <c r="H29" s="25">
        <f>VLOOKUP(F29,Library!$K$4:$M$36,3,FALSE)</f>
        <v>1</v>
      </c>
      <c r="I29" s="25">
        <f t="shared" si="1"/>
        <v>1.1564704521799469E-5</v>
      </c>
      <c r="J29" s="178">
        <f>IF(F29="N/A",0,VLOOKUP(F29,Library!$K$4:$M$36,2,FALSE))</f>
        <v>28.989768999999999</v>
      </c>
      <c r="K29" s="183">
        <f t="shared" si="2"/>
        <v>1.1564704521799469E-5</v>
      </c>
      <c r="L29" s="28">
        <f t="shared" si="3"/>
        <v>3.3525811264022208E-4</v>
      </c>
      <c r="M29" s="86" t="s">
        <v>115</v>
      </c>
      <c r="N29" s="27">
        <v>1</v>
      </c>
      <c r="O29" s="25">
        <f>VLOOKUP(M29,Library!$K$4:$M$36,3,FALSE)</f>
        <v>-2</v>
      </c>
      <c r="P29" s="25">
        <f t="shared" si="4"/>
        <v>1.1564704521799469E-5</v>
      </c>
      <c r="Q29" s="25">
        <f>IF(M29="N/A",0,VLOOKUP(M29,Library!$K$4:$N$36,2,FALSE))</f>
        <v>126.968</v>
      </c>
      <c r="R29" s="25">
        <f t="shared" si="5"/>
        <v>4.6258818087197875E-5</v>
      </c>
      <c r="S29" s="200">
        <f t="shared" si="6"/>
        <v>1.468347403723835E-3</v>
      </c>
      <c r="T29" s="217">
        <f>VLOOKUP(A29,Library!$B$4:$G$69,3,FALSE)</f>
        <v>0</v>
      </c>
      <c r="U29" s="185">
        <f>VLOOKUP(A29,Library!$B$4:$G$69,4,FALSE)</f>
        <v>0</v>
      </c>
      <c r="V29" s="185">
        <f>VLOOKUP(A29,Library!$B$4:$G$69,5,FALSE)</f>
        <v>0</v>
      </c>
      <c r="W29" s="218">
        <f>VLOOKUP(A29,Library!$B$4:$G$69,6,FALSE)</f>
        <v>0</v>
      </c>
      <c r="X29" s="217">
        <f t="shared" si="12"/>
        <v>0</v>
      </c>
      <c r="Y29" s="185">
        <f t="shared" si="13"/>
        <v>0</v>
      </c>
      <c r="Z29" s="185">
        <f t="shared" si="14"/>
        <v>0</v>
      </c>
      <c r="AA29" s="218">
        <f t="shared" si="15"/>
        <v>0</v>
      </c>
      <c r="AB29" s="217">
        <f>X29*VLOOKUP($AB$13,Library!$T$4:$U$7,2,FALSE)</f>
        <v>0</v>
      </c>
      <c r="AC29" s="185">
        <f>Y29*VLOOKUP($AC$13,Library!$T$4:$U$7,2,FALSE)</f>
        <v>0</v>
      </c>
      <c r="AD29" s="185">
        <f>Z29*VLOOKUP($AD$13,Library!$T$4:$U$7,2,FALSE)</f>
        <v>0</v>
      </c>
      <c r="AE29" s="218">
        <f>AA29*VLOOKUP($AE$13,Library!$T$4:$U$7,2,FALSE)</f>
        <v>0</v>
      </c>
      <c r="AG29" s="8"/>
    </row>
    <row r="30" spans="1:33" ht="14.4" x14ac:dyDescent="0.3">
      <c r="A30" s="25" t="s">
        <v>23</v>
      </c>
      <c r="B30" s="25">
        <f>VLOOKUP(A30,Library!$B$4:$C$57,2,FALSE)</f>
        <v>287.52999999999997</v>
      </c>
      <c r="C30" s="177">
        <f>VLOOKUP(A30,'Mod Wolfe v3'!$L$4:$M$14,2, FALSE)*'Mod Wolfe v3'!$G$14/'Mod Wolfe v3'!$G$19*1000</f>
        <v>1</v>
      </c>
      <c r="D30" s="26" t="s">
        <v>16</v>
      </c>
      <c r="E30" s="26">
        <f t="shared" si="11"/>
        <v>3.4778979584738982E-6</v>
      </c>
      <c r="F30" s="25" t="s">
        <v>73</v>
      </c>
      <c r="G30" s="25">
        <v>1</v>
      </c>
      <c r="H30" s="25">
        <f>VLOOKUP(F30,Library!$K$4:$M$36,3,FALSE)</f>
        <v>2</v>
      </c>
      <c r="I30" s="25">
        <f t="shared" si="1"/>
        <v>3.4778979584738982E-6</v>
      </c>
      <c r="J30" s="178">
        <f>IF(F30="N/A",0,VLOOKUP(F30,Library!$K$4:$M$36,2,FALSE))</f>
        <v>65.926034000000001</v>
      </c>
      <c r="K30" s="183">
        <f t="shared" si="2"/>
        <v>1.3911591833895593E-5</v>
      </c>
      <c r="L30" s="28">
        <f t="shared" si="3"/>
        <v>2.2928401905888081E-4</v>
      </c>
      <c r="M30" s="86" t="s">
        <v>69</v>
      </c>
      <c r="N30" s="27">
        <v>1</v>
      </c>
      <c r="O30" s="25">
        <f>VLOOKUP(M30,Library!$K$4:$M$36,3,FALSE)</f>
        <v>-2</v>
      </c>
      <c r="P30" s="25">
        <f t="shared" si="4"/>
        <v>3.4778979584738982E-6</v>
      </c>
      <c r="Q30" s="25">
        <f>IF(M30="N/A",0,VLOOKUP(M30,Library!$K$4:$N$36,2,FALSE))</f>
        <v>96.06</v>
      </c>
      <c r="R30" s="25">
        <f t="shared" si="5"/>
        <v>1.3911591833895593E-5</v>
      </c>
      <c r="S30" s="200">
        <f t="shared" si="6"/>
        <v>3.3408687789100266E-4</v>
      </c>
      <c r="T30" s="217">
        <f>VLOOKUP(A30,Library!$B$4:$G$69,3,FALSE)</f>
        <v>0</v>
      </c>
      <c r="U30" s="185">
        <f>VLOOKUP(A30,Library!$B$4:$G$69,4,FALSE)</f>
        <v>0</v>
      </c>
      <c r="V30" s="185">
        <f>VLOOKUP(A30,Library!$B$4:$G$69,5,FALSE)</f>
        <v>0</v>
      </c>
      <c r="W30" s="218">
        <f>VLOOKUP(A30,Library!$B$4:$G$69,6,FALSE)</f>
        <v>1</v>
      </c>
      <c r="X30" s="217">
        <f t="shared" si="12"/>
        <v>0</v>
      </c>
      <c r="Y30" s="185">
        <f t="shared" si="13"/>
        <v>0</v>
      </c>
      <c r="Z30" s="185">
        <f t="shared" si="14"/>
        <v>0</v>
      </c>
      <c r="AA30" s="218">
        <f t="shared" si="15"/>
        <v>3.4778979584738982E-6</v>
      </c>
      <c r="AB30" s="217">
        <f>X30*VLOOKUP($AB$13,Library!$T$4:$U$7,2,FALSE)</f>
        <v>0</v>
      </c>
      <c r="AC30" s="185">
        <f>Y30*VLOOKUP($AC$13,Library!$T$4:$U$7,2,FALSE)</f>
        <v>0</v>
      </c>
      <c r="AD30" s="185">
        <f>Z30*VLOOKUP($AD$13,Library!$T$4:$U$7,2,FALSE)</f>
        <v>0</v>
      </c>
      <c r="AE30" s="218">
        <f>AA30*VLOOKUP($AE$13,Library!$T$4:$U$7,2,FALSE)</f>
        <v>1.1153618752825792E-4</v>
      </c>
      <c r="AG30" s="8"/>
    </row>
    <row r="31" spans="1:33" ht="14.4" x14ac:dyDescent="0.3">
      <c r="A31" s="25" t="s">
        <v>27</v>
      </c>
      <c r="B31" s="25">
        <f>VLOOKUP(A31,Library!$B$4:$C$57,2,FALSE)</f>
        <v>329.85</v>
      </c>
      <c r="C31" s="177">
        <f>VLOOKUP(A31,'Mod Wolfe v3'!$L$4:$M$14,2, FALSE)*'Mod Wolfe v3'!$G$14/'Mod Wolfe v3'!$G$19*1000</f>
        <v>1</v>
      </c>
      <c r="D31" s="26" t="s">
        <v>16</v>
      </c>
      <c r="E31" s="26">
        <f t="shared" si="11"/>
        <v>3.0316810671517355E-6</v>
      </c>
      <c r="F31" s="25" t="s">
        <v>63</v>
      </c>
      <c r="G31" s="25">
        <v>1</v>
      </c>
      <c r="H31" s="25">
        <f>VLOOKUP(F31,Library!$K$4:$M$36,3,FALSE)</f>
        <v>1</v>
      </c>
      <c r="I31" s="25">
        <f t="shared" si="1"/>
        <v>3.0316810671517355E-6</v>
      </c>
      <c r="J31" s="178">
        <f>IF(F31="N/A",0,VLOOKUP(F31,Library!$K$4:$M$36,2,FALSE))</f>
        <v>28.989768999999999</v>
      </c>
      <c r="K31" s="183">
        <f t="shared" si="2"/>
        <v>3.0316810671517355E-6</v>
      </c>
      <c r="L31" s="28">
        <f t="shared" si="3"/>
        <v>8.7887733818402304E-5</v>
      </c>
      <c r="M31" s="86" t="s">
        <v>112</v>
      </c>
      <c r="N31" s="27">
        <v>1</v>
      </c>
      <c r="O31" s="25">
        <f>VLOOKUP(M31,Library!$K$4:$M$36,3,FALSE)</f>
        <v>-1</v>
      </c>
      <c r="P31" s="25">
        <f t="shared" si="4"/>
        <v>3.0316810671517355E-6</v>
      </c>
      <c r="Q31" s="25">
        <f>IF(M31="N/A",0,VLOOKUP(M31,Library!$K$4:$N$36,2,FALSE))</f>
        <v>247.84</v>
      </c>
      <c r="R31" s="25">
        <f t="shared" si="5"/>
        <v>3.0316810671517355E-6</v>
      </c>
      <c r="S31" s="200">
        <f t="shared" si="6"/>
        <v>7.5137183568288609E-4</v>
      </c>
      <c r="T31" s="217">
        <f>VLOOKUP(A31,Library!$B$4:$G$69,3,FALSE)</f>
        <v>0</v>
      </c>
      <c r="U31" s="185">
        <f>VLOOKUP(A31,Library!$B$4:$G$69,4,FALSE)</f>
        <v>0</v>
      </c>
      <c r="V31" s="185">
        <f>VLOOKUP(A31,Library!$B$4:$G$69,5,FALSE)</f>
        <v>0</v>
      </c>
      <c r="W31" s="218">
        <f>VLOOKUP(A31,Library!$B$4:$G$69,6,FALSE)</f>
        <v>0</v>
      </c>
      <c r="X31" s="217">
        <f t="shared" si="12"/>
        <v>0</v>
      </c>
      <c r="Y31" s="185">
        <f t="shared" si="13"/>
        <v>0</v>
      </c>
      <c r="Z31" s="185">
        <f t="shared" si="14"/>
        <v>0</v>
      </c>
      <c r="AA31" s="218">
        <f t="shared" si="15"/>
        <v>0</v>
      </c>
      <c r="AB31" s="217">
        <f>X31*VLOOKUP($AB$13,Library!$T$4:$U$7,2,FALSE)</f>
        <v>0</v>
      </c>
      <c r="AC31" s="185">
        <f>Y31*VLOOKUP($AC$13,Library!$T$4:$U$7,2,FALSE)</f>
        <v>0</v>
      </c>
      <c r="AD31" s="185">
        <f>Z31*VLOOKUP($AD$13,Library!$T$4:$U$7,2,FALSE)</f>
        <v>0</v>
      </c>
      <c r="AE31" s="218">
        <f>AA31*VLOOKUP($AE$13,Library!$T$4:$U$7,2,FALSE)</f>
        <v>0</v>
      </c>
      <c r="AG31" s="8"/>
    </row>
    <row r="32" spans="1:33" ht="14.4" x14ac:dyDescent="0.3">
      <c r="A32" s="25" t="s">
        <v>31</v>
      </c>
      <c r="B32" s="25">
        <f>VLOOKUP(A32,Library!$B$4:$C$57,2,FALSE)</f>
        <v>61.83</v>
      </c>
      <c r="C32" s="177">
        <f>VLOOKUP(A32,'Mod Wolfe v3'!$L$4:$M$14,2, FALSE)*'Mod Wolfe v3'!$G$14/'Mod Wolfe v3'!$G$19*1000</f>
        <v>0.1</v>
      </c>
      <c r="D32" s="26" t="s">
        <v>16</v>
      </c>
      <c r="E32" s="26">
        <f t="shared" si="11"/>
        <v>1.6173378618793466E-6</v>
      </c>
      <c r="F32" s="25" t="s">
        <v>339</v>
      </c>
      <c r="G32" s="25">
        <v>0</v>
      </c>
      <c r="H32" s="25">
        <f>VLOOKUP(F32,Library!$K$4:$M$36,3,FALSE)</f>
        <v>1</v>
      </c>
      <c r="I32" s="25">
        <f t="shared" si="1"/>
        <v>0</v>
      </c>
      <c r="J32" s="178">
        <f>IF(F32="N/A",0,VLOOKUP(F32,Library!$K$4:$M$36,2,FALSE))</f>
        <v>1.0078400000000001</v>
      </c>
      <c r="K32" s="183">
        <f t="shared" si="2"/>
        <v>0</v>
      </c>
      <c r="L32" s="28">
        <f t="shared" si="3"/>
        <v>0</v>
      </c>
      <c r="M32" s="86" t="s">
        <v>113</v>
      </c>
      <c r="N32" s="27">
        <v>1</v>
      </c>
      <c r="O32" s="25">
        <f>VLOOKUP(M32,Library!$K$4:$M$36,3,FALSE)</f>
        <v>-3</v>
      </c>
      <c r="P32" s="25">
        <f t="shared" si="4"/>
        <v>1.6173378618793466E-6</v>
      </c>
      <c r="Q32" s="25">
        <f>IF(M32="N/A",0,VLOOKUP(M32,Library!$K$4:$N$36,2,FALSE))</f>
        <v>58.81</v>
      </c>
      <c r="R32" s="25">
        <f t="shared" si="5"/>
        <v>1.4556040756914119E-5</v>
      </c>
      <c r="S32" s="200">
        <f t="shared" si="6"/>
        <v>9.5115639657124374E-5</v>
      </c>
      <c r="T32" s="217">
        <f>VLOOKUP(A32,Library!$B$4:$G$69,3,FALSE)</f>
        <v>0</v>
      </c>
      <c r="U32" s="185">
        <f>VLOOKUP(A32,Library!$B$4:$G$69,4,FALSE)</f>
        <v>0</v>
      </c>
      <c r="V32" s="185">
        <f>VLOOKUP(A32,Library!$B$4:$G$69,5,FALSE)</f>
        <v>0</v>
      </c>
      <c r="W32" s="218">
        <f>VLOOKUP(A32,Library!$B$4:$G$69,6,FALSE)</f>
        <v>0</v>
      </c>
      <c r="X32" s="217">
        <f t="shared" si="12"/>
        <v>0</v>
      </c>
      <c r="Y32" s="185">
        <f t="shared" si="13"/>
        <v>0</v>
      </c>
      <c r="Z32" s="185">
        <f t="shared" si="14"/>
        <v>0</v>
      </c>
      <c r="AA32" s="218">
        <f t="shared" si="15"/>
        <v>0</v>
      </c>
      <c r="AB32" s="217">
        <f>X32*VLOOKUP($AB$13,Library!$T$4:$U$7,2,FALSE)</f>
        <v>0</v>
      </c>
      <c r="AC32" s="185">
        <f>Y32*VLOOKUP($AC$13,Library!$T$4:$U$7,2,FALSE)</f>
        <v>0</v>
      </c>
      <c r="AD32" s="185">
        <f>Z32*VLOOKUP($AD$13,Library!$T$4:$U$7,2,FALSE)</f>
        <v>0</v>
      </c>
      <c r="AE32" s="218">
        <f>AA32*VLOOKUP($AE$13,Library!$T$4:$U$7,2,FALSE)</f>
        <v>0</v>
      </c>
      <c r="AG32" s="8"/>
    </row>
    <row r="33" spans="1:33" ht="14.4" x14ac:dyDescent="0.3">
      <c r="A33" s="25" t="s">
        <v>35</v>
      </c>
      <c r="B33" s="25">
        <f>VLOOKUP(A33,Library!$B$4:$C$57,2,FALSE)</f>
        <v>237.93</v>
      </c>
      <c r="C33" s="177">
        <f>VLOOKUP(A33,'Mod Wolfe v3'!$L$4:$M$14,2, FALSE)*'Mod Wolfe v3'!$G$14/'Mod Wolfe v3'!$G$19*1000</f>
        <v>1</v>
      </c>
      <c r="D33" s="26" t="s">
        <v>16</v>
      </c>
      <c r="E33" s="26">
        <f t="shared" si="11"/>
        <v>4.2029168242760473E-6</v>
      </c>
      <c r="F33" s="25" t="s">
        <v>75</v>
      </c>
      <c r="G33" s="25">
        <v>1</v>
      </c>
      <c r="H33" s="25">
        <f>VLOOKUP(F33,Library!$K$4:$M$36,3,FALSE)</f>
        <v>2</v>
      </c>
      <c r="I33" s="25">
        <f t="shared" si="1"/>
        <v>4.2029168242760473E-6</v>
      </c>
      <c r="J33" s="178">
        <f>IF(F33="N/A",0,VLOOKUP(F33,Library!$K$4:$M$36,2,FALSE))</f>
        <v>58.933190000000003</v>
      </c>
      <c r="K33" s="183">
        <f t="shared" si="2"/>
        <v>1.6811667297104189E-5</v>
      </c>
      <c r="L33" s="28">
        <f t="shared" si="3"/>
        <v>2.476912957592569E-4</v>
      </c>
      <c r="M33" s="86" t="s">
        <v>70</v>
      </c>
      <c r="N33" s="27">
        <v>2</v>
      </c>
      <c r="O33" s="25">
        <f>VLOOKUP(M33,Library!$K$4:$M$36,3,FALSE)</f>
        <v>-1</v>
      </c>
      <c r="P33" s="25">
        <f t="shared" si="4"/>
        <v>8.4058336485520945E-6</v>
      </c>
      <c r="Q33" s="25">
        <f>IF(M33="N/A",0,VLOOKUP(M33,Library!$K$4:$N$36,2,FALSE))</f>
        <v>35.453000000000003</v>
      </c>
      <c r="R33" s="25">
        <f t="shared" si="5"/>
        <v>8.4058336485520945E-6</v>
      </c>
      <c r="S33" s="200">
        <f t="shared" si="6"/>
        <v>2.9801202034211743E-4</v>
      </c>
      <c r="T33" s="217">
        <f>VLOOKUP(A33,Library!$B$4:$G$69,3,FALSE)</f>
        <v>0</v>
      </c>
      <c r="U33" s="185">
        <f>VLOOKUP(A33,Library!$B$4:$G$69,4,FALSE)</f>
        <v>0</v>
      </c>
      <c r="V33" s="185">
        <f>VLOOKUP(A33,Library!$B$4:$G$69,5,FALSE)</f>
        <v>0</v>
      </c>
      <c r="W33" s="218">
        <f>VLOOKUP(A33,Library!$B$4:$G$69,6,FALSE)</f>
        <v>0</v>
      </c>
      <c r="X33" s="217">
        <f t="shared" si="12"/>
        <v>0</v>
      </c>
      <c r="Y33" s="185">
        <f t="shared" si="13"/>
        <v>0</v>
      </c>
      <c r="Z33" s="185">
        <f t="shared" si="14"/>
        <v>0</v>
      </c>
      <c r="AA33" s="218">
        <f t="shared" si="15"/>
        <v>0</v>
      </c>
      <c r="AB33" s="217">
        <f>X33*VLOOKUP($AB$13,Library!$T$4:$U$7,2,FALSE)</f>
        <v>0</v>
      </c>
      <c r="AC33" s="185">
        <f>Y33*VLOOKUP($AC$13,Library!$T$4:$U$7,2,FALSE)</f>
        <v>0</v>
      </c>
      <c r="AD33" s="185">
        <f>Z33*VLOOKUP($AD$13,Library!$T$4:$U$7,2,FALSE)</f>
        <v>0</v>
      </c>
      <c r="AE33" s="218">
        <f>AA33*VLOOKUP($AE$13,Library!$T$4:$U$7,2,FALSE)</f>
        <v>0</v>
      </c>
      <c r="AG33" s="8"/>
    </row>
    <row r="34" spans="1:33" ht="14.4" x14ac:dyDescent="0.3">
      <c r="A34" s="25" t="s">
        <v>179</v>
      </c>
      <c r="B34" s="25">
        <f>VLOOKUP(A34,Library!$B$4:$C$57,2,FALSE)</f>
        <v>170.48</v>
      </c>
      <c r="C34" s="177">
        <f>VLOOKUP(A34,'Mod Wolfe v3'!$L$4:$M$14,2, FALSE)*'Mod Wolfe v3'!$G$14/'Mod Wolfe v3'!$G$19*1000</f>
        <v>6.7999999999999991E-2</v>
      </c>
      <c r="D34" s="26" t="s">
        <v>16</v>
      </c>
      <c r="E34" s="26">
        <f t="shared" si="11"/>
        <v>3.9887376818395113E-7</v>
      </c>
      <c r="F34" s="25" t="s">
        <v>81</v>
      </c>
      <c r="G34" s="25">
        <v>1</v>
      </c>
      <c r="H34" s="25">
        <f>VLOOKUP(F34,Library!$K$4:$M$36,3,FALSE)</f>
        <v>2</v>
      </c>
      <c r="I34" s="25">
        <f t="shared" si="1"/>
        <v>3.9887376818395113E-7</v>
      </c>
      <c r="J34" s="178">
        <f>IF(F34="N/A",0,VLOOKUP(F34,Library!$K$4:$M$36,2,FALSE))</f>
        <v>187.56</v>
      </c>
      <c r="K34" s="183">
        <f t="shared" si="2"/>
        <v>1.5954950727358045E-6</v>
      </c>
      <c r="L34" s="28">
        <f t="shared" si="3"/>
        <v>7.4812763960581876E-5</v>
      </c>
      <c r="M34" s="86" t="s">
        <v>70</v>
      </c>
      <c r="N34" s="27">
        <v>1</v>
      </c>
      <c r="O34" s="25">
        <f>VLOOKUP(M34,Library!$K$4:$M$36,3,FALSE)</f>
        <v>-1</v>
      </c>
      <c r="P34" s="25">
        <f t="shared" si="4"/>
        <v>3.9887376818395113E-7</v>
      </c>
      <c r="Q34" s="25">
        <f>IF(M34="N/A",0,VLOOKUP(M34,Library!$K$4:$N$36,2,FALSE))</f>
        <v>35.453000000000003</v>
      </c>
      <c r="R34" s="25">
        <f t="shared" si="5"/>
        <v>3.9887376818395113E-7</v>
      </c>
      <c r="S34" s="200">
        <f t="shared" si="6"/>
        <v>1.4141271703425621E-5</v>
      </c>
      <c r="T34" s="217">
        <f>VLOOKUP(A34,Library!$B$4:$G$69,3,FALSE)</f>
        <v>0</v>
      </c>
      <c r="U34" s="185">
        <f>VLOOKUP(A34,Library!$B$4:$G$69,4,FALSE)</f>
        <v>0</v>
      </c>
      <c r="V34" s="185">
        <f>VLOOKUP(A34,Library!$B$4:$G$69,5,FALSE)</f>
        <v>0</v>
      </c>
      <c r="W34" s="218">
        <f>VLOOKUP(A34,Library!$B$4:$G$69,6,FALSE)</f>
        <v>0</v>
      </c>
      <c r="X34" s="217">
        <f t="shared" si="12"/>
        <v>0</v>
      </c>
      <c r="Y34" s="185">
        <f t="shared" si="13"/>
        <v>0</v>
      </c>
      <c r="Z34" s="185">
        <f t="shared" si="14"/>
        <v>0</v>
      </c>
      <c r="AA34" s="218">
        <f t="shared" si="15"/>
        <v>0</v>
      </c>
      <c r="AB34" s="217">
        <f>X34*VLOOKUP($AB$13,Library!$T$4:$U$7,2,FALSE)</f>
        <v>0</v>
      </c>
      <c r="AC34" s="185">
        <f>Y34*VLOOKUP($AC$13,Library!$T$4:$U$7,2,FALSE)</f>
        <v>0</v>
      </c>
      <c r="AD34" s="185">
        <f>Z34*VLOOKUP($AD$13,Library!$T$4:$U$7,2,FALSE)</f>
        <v>0</v>
      </c>
      <c r="AE34" s="218">
        <f>AA34*VLOOKUP($AE$13,Library!$T$4:$U$7,2,FALSE)</f>
        <v>0</v>
      </c>
      <c r="AG34" s="8"/>
    </row>
    <row r="35" spans="1:33" ht="14.4" x14ac:dyDescent="0.3">
      <c r="A35" s="25" t="s">
        <v>43</v>
      </c>
      <c r="B35" s="25">
        <f>VLOOKUP(A35,Library!$B$4:$C$57,2,FALSE)</f>
        <v>237.69</v>
      </c>
      <c r="C35" s="177">
        <f>VLOOKUP(A35,'Mod Wolfe v3'!$L$4:$M$14,2, FALSE)*'Mod Wolfe v3'!$G$14/'Mod Wolfe v3'!$G$19*1000</f>
        <v>1</v>
      </c>
      <c r="D35" s="26" t="s">
        <v>16</v>
      </c>
      <c r="E35" s="26">
        <f t="shared" si="11"/>
        <v>4.2071605873196181E-6</v>
      </c>
      <c r="F35" s="25" t="s">
        <v>72</v>
      </c>
      <c r="G35" s="25">
        <v>1</v>
      </c>
      <c r="H35" s="25">
        <f>VLOOKUP(F35,Library!$K$4:$M$36,3,FALSE)</f>
        <v>2</v>
      </c>
      <c r="I35" s="25">
        <f t="shared" si="1"/>
        <v>4.2071605873196181E-6</v>
      </c>
      <c r="J35" s="178">
        <f>IF(F35="N/A",0,VLOOKUP(F35,Library!$K$4:$M$36,2,FALSE))</f>
        <v>58.692999999999998</v>
      </c>
      <c r="K35" s="183">
        <f t="shared" si="2"/>
        <v>1.6828642349278473E-5</v>
      </c>
      <c r="L35" s="28">
        <f t="shared" si="3"/>
        <v>2.4693087635155032E-4</v>
      </c>
      <c r="M35" s="86" t="s">
        <v>70</v>
      </c>
      <c r="N35" s="27">
        <v>2</v>
      </c>
      <c r="O35" s="25">
        <f>VLOOKUP(M35,Library!$K$4:$M$36,3,FALSE)</f>
        <v>-1</v>
      </c>
      <c r="P35" s="25">
        <f t="shared" si="4"/>
        <v>8.4143211746392363E-6</v>
      </c>
      <c r="Q35" s="25">
        <f>IF(M35="N/A",0,VLOOKUP(M35,Library!$K$4:$N$36,2,FALSE))</f>
        <v>35.453000000000003</v>
      </c>
      <c r="R35" s="25">
        <f t="shared" si="5"/>
        <v>8.4143211746392363E-6</v>
      </c>
      <c r="S35" s="200">
        <f t="shared" si="6"/>
        <v>2.9831292860448488E-4</v>
      </c>
      <c r="T35" s="217">
        <f>VLOOKUP(A35,Library!$B$4:$G$69,3,FALSE)</f>
        <v>0</v>
      </c>
      <c r="U35" s="185">
        <f>VLOOKUP(A35,Library!$B$4:$G$69,4,FALSE)</f>
        <v>0</v>
      </c>
      <c r="V35" s="185">
        <f>VLOOKUP(A35,Library!$B$4:$G$69,5,FALSE)</f>
        <v>0</v>
      </c>
      <c r="W35" s="218">
        <f>VLOOKUP(A35,Library!$B$4:$G$69,6,FALSE)</f>
        <v>0</v>
      </c>
      <c r="X35" s="217">
        <f t="shared" si="12"/>
        <v>0</v>
      </c>
      <c r="Y35" s="185">
        <f t="shared" si="13"/>
        <v>0</v>
      </c>
      <c r="Z35" s="185">
        <f t="shared" si="14"/>
        <v>0</v>
      </c>
      <c r="AA35" s="218">
        <f t="shared" si="15"/>
        <v>0</v>
      </c>
      <c r="AB35" s="217">
        <f>X35*VLOOKUP($AB$13,Library!$T$4:$U$7,2,FALSE)</f>
        <v>0</v>
      </c>
      <c r="AC35" s="185">
        <f>Y35*VLOOKUP($AC$13,Library!$T$4:$U$7,2,FALSE)</f>
        <v>0</v>
      </c>
      <c r="AD35" s="185">
        <f>Z35*VLOOKUP($AD$13,Library!$T$4:$U$7,2,FALSE)</f>
        <v>0</v>
      </c>
      <c r="AE35" s="218">
        <f>AA35*VLOOKUP($AE$13,Library!$T$4:$U$7,2,FALSE)</f>
        <v>0</v>
      </c>
      <c r="AG35" s="8"/>
    </row>
    <row r="36" spans="1:33" ht="14.4" x14ac:dyDescent="0.3">
      <c r="A36" s="25" t="s">
        <v>46</v>
      </c>
      <c r="B36" s="25">
        <f>VLOOKUP(A36,Library!$B$4:$C$57,2,FALSE)</f>
        <v>169.02</v>
      </c>
      <c r="C36" s="177">
        <f>VLOOKUP(A36,'Mod Wolfe v3'!$L$4:$M$14,2, FALSE)*'Mod Wolfe v3'!$G$14/'Mod Wolfe v3'!$G$19*1000</f>
        <v>1</v>
      </c>
      <c r="D36" s="26" t="s">
        <v>16</v>
      </c>
      <c r="E36" s="26">
        <f t="shared" si="11"/>
        <v>5.9164595905809962E-6</v>
      </c>
      <c r="F36" s="25" t="s">
        <v>74</v>
      </c>
      <c r="G36" s="25">
        <v>1</v>
      </c>
      <c r="H36" s="25">
        <f>VLOOKUP(F36,Library!$K$4:$M$36,3,FALSE)</f>
        <v>2</v>
      </c>
      <c r="I36" s="25">
        <f t="shared" si="1"/>
        <v>5.9164595905809962E-6</v>
      </c>
      <c r="J36" s="178">
        <f>IF(F36="N/A",0,VLOOKUP(F36,Library!$K$4:$M$36,2,FALSE))</f>
        <v>54.94</v>
      </c>
      <c r="K36" s="183">
        <f t="shared" si="2"/>
        <v>2.3665838362323985E-5</v>
      </c>
      <c r="L36" s="28">
        <f t="shared" si="3"/>
        <v>3.2505028990651992E-4</v>
      </c>
      <c r="M36" s="86" t="s">
        <v>69</v>
      </c>
      <c r="N36" s="27">
        <v>1</v>
      </c>
      <c r="O36" s="25">
        <f>VLOOKUP(M36,Library!$K$4:$M$36,3,FALSE)</f>
        <v>-2</v>
      </c>
      <c r="P36" s="25">
        <f t="shared" si="4"/>
        <v>5.9164595905809962E-6</v>
      </c>
      <c r="Q36" s="25">
        <f>IF(M36="N/A",0,VLOOKUP(M36,Library!$K$4:$N$36,2,FALSE))</f>
        <v>96.06</v>
      </c>
      <c r="R36" s="25">
        <f t="shared" si="5"/>
        <v>2.3665838362323985E-5</v>
      </c>
      <c r="S36" s="200">
        <f t="shared" si="6"/>
        <v>5.6833510827121046E-4</v>
      </c>
      <c r="T36" s="217">
        <f>VLOOKUP(A36,Library!$B$4:$G$69,3,FALSE)</f>
        <v>0</v>
      </c>
      <c r="U36" s="185">
        <f>VLOOKUP(A36,Library!$B$4:$G$69,4,FALSE)</f>
        <v>0</v>
      </c>
      <c r="V36" s="185">
        <f>VLOOKUP(A36,Library!$B$4:$G$69,5,FALSE)</f>
        <v>0</v>
      </c>
      <c r="W36" s="218">
        <f>VLOOKUP(A36,Library!$B$4:$G$69,6,FALSE)</f>
        <v>0</v>
      </c>
      <c r="X36" s="217">
        <f t="shared" si="12"/>
        <v>0</v>
      </c>
      <c r="Y36" s="185">
        <f t="shared" si="13"/>
        <v>0</v>
      </c>
      <c r="Z36" s="185">
        <f t="shared" si="14"/>
        <v>0</v>
      </c>
      <c r="AA36" s="218">
        <f t="shared" si="15"/>
        <v>0</v>
      </c>
      <c r="AB36" s="217">
        <f>X36*VLOOKUP($AB$13,Library!$T$4:$U$7,2,FALSE)</f>
        <v>0</v>
      </c>
      <c r="AC36" s="185">
        <f>Y36*VLOOKUP($AC$13,Library!$T$4:$U$7,2,FALSE)</f>
        <v>0</v>
      </c>
      <c r="AD36" s="185">
        <f>Z36*VLOOKUP($AD$13,Library!$T$4:$U$7,2,FALSE)</f>
        <v>0</v>
      </c>
      <c r="AE36" s="218">
        <f>AA36*VLOOKUP($AE$13,Library!$T$4:$U$7,2,FALSE)</f>
        <v>0</v>
      </c>
      <c r="AG36" s="8"/>
    </row>
    <row r="37" spans="1:33" thickBot="1" x14ac:dyDescent="0.35">
      <c r="A37" s="25" t="s">
        <v>50</v>
      </c>
      <c r="B37" s="25">
        <v>170.48</v>
      </c>
      <c r="C37" s="177">
        <f>VLOOKUP(A37,'Mod Wolfe v3'!$L$4:$M$14,2, FALSE)*'Mod Wolfe v3'!$G$14/'Mod Wolfe v3'!$G$19*1000</f>
        <v>1</v>
      </c>
      <c r="D37" s="26" t="s">
        <v>16</v>
      </c>
      <c r="E37" s="26">
        <f t="shared" si="11"/>
        <v>5.8657907085875177E-6</v>
      </c>
      <c r="F37" s="25" t="s">
        <v>63</v>
      </c>
      <c r="G37" s="25">
        <v>2</v>
      </c>
      <c r="H37" s="25">
        <f>VLOOKUP(F37,Library!$K$4:$M$36,3,FALSE)</f>
        <v>1</v>
      </c>
      <c r="I37" s="25">
        <f t="shared" si="1"/>
        <v>1.1731581417175035E-5</v>
      </c>
      <c r="J37" s="178">
        <f>IF(F37="N/A",0,VLOOKUP(F37,Library!$K$4:$M$36,2,FALSE))</f>
        <v>28.989768999999999</v>
      </c>
      <c r="K37" s="183">
        <f t="shared" si="2"/>
        <v>1.1731581417175035E-5</v>
      </c>
      <c r="L37" s="28">
        <f t="shared" si="3"/>
        <v>3.4009583528859692E-4</v>
      </c>
      <c r="M37" s="201" t="s">
        <v>76</v>
      </c>
      <c r="N37" s="202">
        <v>1</v>
      </c>
      <c r="O37" s="203">
        <f>VLOOKUP(M37,Library!$K$4:$M$36,3,FALSE)</f>
        <v>-2</v>
      </c>
      <c r="P37" s="203">
        <f t="shared" si="4"/>
        <v>5.8657907085875177E-6</v>
      </c>
      <c r="Q37" s="25">
        <f>IF(M37="N/A",0,VLOOKUP(M37,Library!$K$4:$N$36,2,FALSE))</f>
        <v>159.94999999999999</v>
      </c>
      <c r="R37" s="203">
        <f t="shared" si="5"/>
        <v>2.3463162834350071E-5</v>
      </c>
      <c r="S37" s="204">
        <f t="shared" si="6"/>
        <v>9.3823322383857334E-4</v>
      </c>
      <c r="T37" s="217">
        <f>VLOOKUP(A37,Library!$B$4:$G$69,3,FALSE)</f>
        <v>0</v>
      </c>
      <c r="U37" s="185">
        <f>VLOOKUP(A37,Library!$B$4:$G$69,4,FALSE)</f>
        <v>0</v>
      </c>
      <c r="V37" s="185">
        <f>VLOOKUP(A37,Library!$B$4:$G$69,5,FALSE)</f>
        <v>0</v>
      </c>
      <c r="W37" s="218">
        <f>VLOOKUP(A37,Library!$B$4:$G$69,6,FALSE)</f>
        <v>0</v>
      </c>
      <c r="X37" s="217">
        <f t="shared" si="12"/>
        <v>0</v>
      </c>
      <c r="Y37" s="185">
        <f t="shared" si="13"/>
        <v>0</v>
      </c>
      <c r="Z37" s="185">
        <f t="shared" si="14"/>
        <v>0</v>
      </c>
      <c r="AA37" s="218">
        <f t="shared" si="15"/>
        <v>0</v>
      </c>
      <c r="AB37" s="217">
        <f>X37*VLOOKUP($AB$13,Library!$T$4:$U$7,2,FALSE)</f>
        <v>0</v>
      </c>
      <c r="AC37" s="185">
        <f>Y37*VLOOKUP($AC$13,Library!$T$4:$U$7,2,FALSE)</f>
        <v>0</v>
      </c>
      <c r="AD37" s="185">
        <f>Z37*VLOOKUP($AD$13,Library!$T$4:$U$7,2,FALSE)</f>
        <v>0</v>
      </c>
      <c r="AE37" s="218">
        <f>AA37*VLOOKUP($AE$13,Library!$T$4:$U$7,2,FALSE)</f>
        <v>0</v>
      </c>
      <c r="AG37" s="8"/>
    </row>
    <row r="38" spans="1:33" ht="14.4" x14ac:dyDescent="0.3">
      <c r="A38" s="94" t="s">
        <v>320</v>
      </c>
      <c r="B38" s="244"/>
      <c r="C38" s="245"/>
      <c r="D38" s="246"/>
      <c r="E38" s="235"/>
      <c r="F38" s="244"/>
      <c r="G38" s="244"/>
      <c r="H38" s="244"/>
      <c r="I38" s="244"/>
      <c r="J38" s="247"/>
      <c r="K38" s="245"/>
      <c r="L38" s="244"/>
      <c r="M38" s="248"/>
      <c r="N38" s="248"/>
      <c r="O38" s="248"/>
      <c r="P38" s="248"/>
      <c r="Q38" s="248"/>
      <c r="R38" s="248"/>
      <c r="S38" s="248"/>
      <c r="T38" s="241"/>
      <c r="U38" s="242"/>
      <c r="V38" s="242"/>
      <c r="W38" s="243"/>
      <c r="X38" s="241"/>
      <c r="Y38" s="242"/>
      <c r="Z38" s="242"/>
      <c r="AA38" s="243"/>
      <c r="AB38" s="241"/>
      <c r="AC38" s="242"/>
      <c r="AD38" s="242"/>
      <c r="AE38" s="243"/>
      <c r="AG38" s="8"/>
    </row>
    <row r="39" spans="1:33" ht="14.4" x14ac:dyDescent="0.3">
      <c r="A39" s="25" t="s">
        <v>15</v>
      </c>
      <c r="B39">
        <f>VLOOKUP(A39,Library!$P$4:$Q$18,2,FALSE)</f>
        <v>244.31</v>
      </c>
      <c r="C39" s="117">
        <f>VLOOKUP(A39,'Mod Wolfe v3'!$I$5:$K$14,2,FALSE)*'Mod Wolfe v3'!$G$17/'Mod Wolfe v3'!$G$19</f>
        <v>0.05</v>
      </c>
      <c r="D39" s="6" t="str">
        <f>VLOOKUP(A39,'Mod Wolfe v1'!$I$5:$K$14,3,FALSE)</f>
        <v>mg/L</v>
      </c>
      <c r="E39" s="26">
        <f t="shared" si="11"/>
        <v>2.0465801645450452E-7</v>
      </c>
      <c r="J39" s="205"/>
      <c r="K39" s="205"/>
      <c r="T39" s="217">
        <f>VLOOKUP(A39,Library!$B$4:$G$69,3,FALSE)</f>
        <v>10</v>
      </c>
      <c r="U39" s="185">
        <f>VLOOKUP(A39,Library!$B$4:$G$69,4,FALSE)</f>
        <v>2</v>
      </c>
      <c r="V39" s="185">
        <f>VLOOKUP(A39,Library!$B$4:$G$69,5,FALSE)</f>
        <v>0</v>
      </c>
      <c r="W39" s="218">
        <f>VLOOKUP(A39,Library!$B$4:$G$69,6,FALSE)</f>
        <v>1</v>
      </c>
      <c r="X39" s="217">
        <f t="shared" si="12"/>
        <v>2.046580164545045E-6</v>
      </c>
      <c r="Y39" s="185">
        <f t="shared" si="13"/>
        <v>4.0931603290900905E-7</v>
      </c>
      <c r="Z39" s="185">
        <f t="shared" si="14"/>
        <v>0</v>
      </c>
      <c r="AA39" s="218">
        <f t="shared" si="15"/>
        <v>2.0465801645450452E-7</v>
      </c>
      <c r="AB39" s="217">
        <f>X39*VLOOKUP($AB$13,Library!$T$4:$U$7,2,FALSE)</f>
        <v>2.4579427776185991E-5</v>
      </c>
      <c r="AC39" s="185">
        <f>Y39*VLOOKUP($AC$13,Library!$T$4:$U$7,2,FALSE)</f>
        <v>5.7345176210552166E-6</v>
      </c>
      <c r="AD39" s="185">
        <f>Z39*VLOOKUP($AD$13,Library!$T$4:$U$7,2,FALSE)</f>
        <v>0</v>
      </c>
      <c r="AE39" s="218">
        <f>AA39*VLOOKUP($AE$13,Library!$T$4:$U$7,2,FALSE)</f>
        <v>6.5633825876959597E-6</v>
      </c>
      <c r="AG39" s="8"/>
    </row>
    <row r="40" spans="1:33" ht="14.4" x14ac:dyDescent="0.3">
      <c r="A40" s="25" t="s">
        <v>19</v>
      </c>
      <c r="B40">
        <f>VLOOKUP(A40,Library!$P$4:$Q$18,2,FALSE)</f>
        <v>441.4</v>
      </c>
      <c r="C40" s="117">
        <f>VLOOKUP(A40,'Mod Wolfe v3'!$I$5:$K$14,2,FALSE)*'Mod Wolfe v3'!$G$17/'Mod Wolfe v3'!$G$19</f>
        <v>0.05</v>
      </c>
      <c r="D40" s="6" t="str">
        <f>VLOOKUP(A40,'Mod Wolfe v1'!$I$5:$K$14,3,FALSE)</f>
        <v>mg/L</v>
      </c>
      <c r="E40" s="26">
        <f t="shared" si="11"/>
        <v>1.1327594019030359E-7</v>
      </c>
      <c r="J40" s="205"/>
      <c r="K40" s="205"/>
      <c r="T40" s="217">
        <f>VLOOKUP(A40,Library!$B$4:$G$69,3,FALSE)</f>
        <v>19</v>
      </c>
      <c r="U40" s="185">
        <f>VLOOKUP(A40,Library!$B$4:$G$69,4,FALSE)</f>
        <v>7</v>
      </c>
      <c r="V40" s="185">
        <f>VLOOKUP(A40,Library!$B$4:$G$69,5,FALSE)</f>
        <v>0</v>
      </c>
      <c r="W40" s="218">
        <f>VLOOKUP(A40,Library!$B$4:$G$69,6,FALSE)</f>
        <v>0</v>
      </c>
      <c r="X40" s="217">
        <f t="shared" si="12"/>
        <v>2.152242863615768E-6</v>
      </c>
      <c r="Y40" s="185">
        <f t="shared" si="13"/>
        <v>7.9293158133212518E-7</v>
      </c>
      <c r="Z40" s="185">
        <f t="shared" si="14"/>
        <v>0</v>
      </c>
      <c r="AA40" s="218">
        <f t="shared" si="15"/>
        <v>0</v>
      </c>
      <c r="AB40" s="217">
        <f>X40*VLOOKUP($AB$13,Library!$T$4:$U$7,2,FALSE)</f>
        <v>2.5848436792025374E-5</v>
      </c>
      <c r="AC40" s="185">
        <f>Y40*VLOOKUP($AC$13,Library!$T$4:$U$7,2,FALSE)</f>
        <v>1.1108971454463074E-5</v>
      </c>
      <c r="AD40" s="185">
        <f>Z40*VLOOKUP($AD$13,Library!$T$4:$U$7,2,FALSE)</f>
        <v>0</v>
      </c>
      <c r="AE40" s="218">
        <f>AA40*VLOOKUP($AE$13,Library!$T$4:$U$7,2,FALSE)</f>
        <v>0</v>
      </c>
      <c r="AG40" s="8"/>
    </row>
    <row r="41" spans="1:33" ht="14.4" x14ac:dyDescent="0.3">
      <c r="A41" s="25" t="s">
        <v>22</v>
      </c>
      <c r="B41">
        <f>VLOOKUP(A41,Library!$P$4:$Q$18,2,FALSE)</f>
        <v>169.18</v>
      </c>
      <c r="C41" s="117">
        <f>VLOOKUP(A41,'Mod Wolfe v3'!$I$5:$K$14,2,FALSE)*'Mod Wolfe v3'!$G$17/'Mod Wolfe v3'!$G$19</f>
        <v>0.1</v>
      </c>
      <c r="D41" s="6" t="str">
        <f>VLOOKUP(A41,'Mod Wolfe v1'!$I$5:$K$14,3,FALSE)</f>
        <v>mg/L</v>
      </c>
      <c r="E41" s="26">
        <f t="shared" si="11"/>
        <v>5.9108641683414121E-7</v>
      </c>
      <c r="J41" s="205"/>
      <c r="K41" s="205"/>
      <c r="T41" s="217">
        <f>VLOOKUP(A41,Library!$B$4:$G$69,3,FALSE)</f>
        <v>8</v>
      </c>
      <c r="U41" s="185">
        <f>VLOOKUP(A41,Library!$B$4:$G$69,4,FALSE)</f>
        <v>1</v>
      </c>
      <c r="V41" s="185">
        <f>VLOOKUP(A41,Library!$B$4:$G$69,5,FALSE)</f>
        <v>0</v>
      </c>
      <c r="W41" s="218">
        <f>VLOOKUP(A41,Library!$B$4:$G$69,6,FALSE)</f>
        <v>0</v>
      </c>
      <c r="X41" s="217">
        <f t="shared" si="12"/>
        <v>4.7286913346731297E-6</v>
      </c>
      <c r="Y41" s="185">
        <f t="shared" si="13"/>
        <v>5.9108641683414121E-7</v>
      </c>
      <c r="Z41" s="185">
        <f t="shared" si="14"/>
        <v>0</v>
      </c>
      <c r="AA41" s="218">
        <f t="shared" si="15"/>
        <v>0</v>
      </c>
      <c r="AB41" s="217">
        <f>X41*VLOOKUP($AB$13,Library!$T$4:$U$7,2,FALSE)</f>
        <v>5.6791582929424287E-5</v>
      </c>
      <c r="AC41" s="185">
        <f>Y41*VLOOKUP($AC$13,Library!$T$4:$U$7,2,FALSE)</f>
        <v>8.2811206998463181E-6</v>
      </c>
      <c r="AD41" s="185">
        <f>Z41*VLOOKUP($AD$13,Library!$T$4:$U$7,2,FALSE)</f>
        <v>0</v>
      </c>
      <c r="AE41" s="218">
        <f>AA41*VLOOKUP($AE$13,Library!$T$4:$U$7,2,FALSE)</f>
        <v>0</v>
      </c>
      <c r="AG41" s="8"/>
    </row>
    <row r="42" spans="1:33" ht="14.4" x14ac:dyDescent="0.3">
      <c r="A42" s="25" t="s">
        <v>26</v>
      </c>
      <c r="B42">
        <f>VLOOKUP(A42,Library!$P$4:$Q$18,2,FALSE)</f>
        <v>265.36</v>
      </c>
      <c r="C42" s="117">
        <f>VLOOKUP(A42,'Mod Wolfe v3'!$I$5:$K$14,2,FALSE)*'Mod Wolfe v3'!$G$17/'Mod Wolfe v3'!$G$19</f>
        <v>0.1</v>
      </c>
      <c r="D42" s="6" t="str">
        <f>VLOOKUP(A42,'Mod Wolfe v1'!$I$5:$K$14,3,FALSE)</f>
        <v>mg/L</v>
      </c>
      <c r="E42" s="26">
        <f t="shared" si="11"/>
        <v>3.7684654808561953E-7</v>
      </c>
      <c r="J42" s="205"/>
      <c r="K42" s="205"/>
      <c r="T42" s="217">
        <f>VLOOKUP(A42,Library!$B$4:$G$69,3,FALSE)</f>
        <v>12</v>
      </c>
      <c r="U42" s="185">
        <f>VLOOKUP(A42,Library!$B$4:$G$69,4,FALSE)</f>
        <v>2</v>
      </c>
      <c r="V42" s="185">
        <f>VLOOKUP(A42,Library!$B$4:$G$69,5,FALSE)</f>
        <v>0</v>
      </c>
      <c r="W42" s="218">
        <f>VLOOKUP(A42,Library!$B$4:$G$69,6,FALSE)</f>
        <v>1</v>
      </c>
      <c r="X42" s="217">
        <f t="shared" si="12"/>
        <v>4.5221585770274342E-6</v>
      </c>
      <c r="Y42" s="185">
        <f t="shared" si="13"/>
        <v>7.5369309617123907E-7</v>
      </c>
      <c r="Z42" s="185">
        <f t="shared" si="14"/>
        <v>0</v>
      </c>
      <c r="AA42" s="218">
        <f t="shared" si="15"/>
        <v>3.7684654808561953E-7</v>
      </c>
      <c r="AB42" s="217">
        <f>X42*VLOOKUP($AB$13,Library!$T$4:$U$7,2,FALSE)</f>
        <v>5.4311124510099485E-5</v>
      </c>
      <c r="AC42" s="185">
        <f>Y42*VLOOKUP($AC$13,Library!$T$4:$U$7,2,FALSE)</f>
        <v>1.055924027735906E-5</v>
      </c>
      <c r="AD42" s="185">
        <f>Z42*VLOOKUP($AD$13,Library!$T$4:$U$7,2,FALSE)</f>
        <v>0</v>
      </c>
      <c r="AE42" s="218">
        <f>AA42*VLOOKUP($AE$13,Library!$T$4:$U$7,2,FALSE)</f>
        <v>1.2085468797105819E-5</v>
      </c>
      <c r="AG42" s="8"/>
    </row>
    <row r="43" spans="1:33" ht="14.4" x14ac:dyDescent="0.3">
      <c r="A43" s="25" t="s">
        <v>30</v>
      </c>
      <c r="B43">
        <f>VLOOKUP(A43,Library!$P$4:$Q$18,2,FALSE)</f>
        <v>376.37</v>
      </c>
      <c r="C43" s="117">
        <f>VLOOKUP(A43,'Mod Wolfe v3'!$I$5:$K$14,2,FALSE)*'Mod Wolfe v3'!$G$17/'Mod Wolfe v3'!$G$19</f>
        <v>0.1</v>
      </c>
      <c r="D43" s="6" t="str">
        <f>VLOOKUP(A43,'Mod Wolfe v1'!$I$5:$K$14,3,FALSE)</f>
        <v>mg/L</v>
      </c>
      <c r="E43" s="26">
        <f t="shared" si="11"/>
        <v>2.6569599064750117E-7</v>
      </c>
      <c r="J43" s="205"/>
      <c r="K43" s="205"/>
      <c r="T43" s="217">
        <f>VLOOKUP(A43,Library!$B$4:$G$69,3,FALSE)</f>
        <v>17</v>
      </c>
      <c r="U43" s="185">
        <f>VLOOKUP(A43,Library!$B$4:$G$69,4,FALSE)</f>
        <v>4</v>
      </c>
      <c r="V43" s="185">
        <f>VLOOKUP(A43,Library!$B$4:$G$69,5,FALSE)</f>
        <v>0</v>
      </c>
      <c r="W43" s="218">
        <f>VLOOKUP(A43,Library!$B$4:$G$69,6,FALSE)</f>
        <v>0</v>
      </c>
      <c r="X43" s="217">
        <f t="shared" si="12"/>
        <v>4.5168318410075203E-6</v>
      </c>
      <c r="Y43" s="185">
        <f t="shared" si="13"/>
        <v>1.0627839625900047E-6</v>
      </c>
      <c r="Z43" s="185">
        <f t="shared" si="14"/>
        <v>0</v>
      </c>
      <c r="AA43" s="218">
        <f t="shared" si="15"/>
        <v>0</v>
      </c>
      <c r="AB43" s="217">
        <f>X43*VLOOKUP($AB$13,Library!$T$4:$U$7,2,FALSE)</f>
        <v>5.4247150410500316E-5</v>
      </c>
      <c r="AC43" s="185">
        <f>Y43*VLOOKUP($AC$13,Library!$T$4:$U$7,2,FALSE)</f>
        <v>1.4889603315885966E-5</v>
      </c>
      <c r="AD43" s="185">
        <f>Z43*VLOOKUP($AD$13,Library!$T$4:$U$7,2,FALSE)</f>
        <v>0</v>
      </c>
      <c r="AE43" s="218">
        <f>AA43*VLOOKUP($AE$13,Library!$T$4:$U$7,2,FALSE)</f>
        <v>0</v>
      </c>
      <c r="AG43" s="8"/>
    </row>
    <row r="44" spans="1:33" ht="14.4" x14ac:dyDescent="0.3">
      <c r="A44" s="25" t="s">
        <v>34</v>
      </c>
      <c r="B44">
        <f>VLOOKUP(A44,Library!$P$4:$Q$18,2,FALSE)</f>
        <v>123.11</v>
      </c>
      <c r="C44" s="117">
        <f>VLOOKUP(A44,'Mod Wolfe v3'!$I$5:$K$14,2,FALSE)*'Mod Wolfe v3'!$G$17/'Mod Wolfe v3'!$G$19</f>
        <v>0.1</v>
      </c>
      <c r="D44" s="6" t="str">
        <f>VLOOKUP(A44,'Mod Wolfe v1'!$I$5:$K$14,3,FALSE)</f>
        <v>mg/L</v>
      </c>
      <c r="E44" s="26">
        <f t="shared" si="11"/>
        <v>8.1228169929331495E-7</v>
      </c>
      <c r="J44" s="205"/>
      <c r="K44" s="205"/>
      <c r="T44" s="217">
        <f>VLOOKUP(A44,Library!$B$4:$G$69,3,FALSE)</f>
        <v>6</v>
      </c>
      <c r="U44" s="185">
        <f>VLOOKUP(A44,Library!$B$4:$G$69,4,FALSE)</f>
        <v>1</v>
      </c>
      <c r="V44" s="185">
        <f>VLOOKUP(A44,Library!$B$4:$G$69,5,FALSE)</f>
        <v>0</v>
      </c>
      <c r="W44" s="218">
        <f>VLOOKUP(A44,Library!$B$4:$G$69,6,FALSE)</f>
        <v>0</v>
      </c>
      <c r="X44" s="217">
        <f t="shared" si="12"/>
        <v>4.8736901957598899E-6</v>
      </c>
      <c r="Y44" s="185">
        <f t="shared" si="13"/>
        <v>8.1228169929331495E-7</v>
      </c>
      <c r="Z44" s="185">
        <f t="shared" si="14"/>
        <v>0</v>
      </c>
      <c r="AA44" s="218">
        <f t="shared" si="15"/>
        <v>0</v>
      </c>
      <c r="AB44" s="217">
        <f>X44*VLOOKUP($AB$13,Library!$T$4:$U$7,2,FALSE)</f>
        <v>5.8533019251076275E-5</v>
      </c>
      <c r="AC44" s="185">
        <f>Y44*VLOOKUP($AC$13,Library!$T$4:$U$7,2,FALSE)</f>
        <v>1.1380066607099342E-5</v>
      </c>
      <c r="AD44" s="185">
        <f>Z44*VLOOKUP($AD$13,Library!$T$4:$U$7,2,FALSE)</f>
        <v>0</v>
      </c>
      <c r="AE44" s="218">
        <f>AA44*VLOOKUP($AE$13,Library!$T$4:$U$7,2,FALSE)</f>
        <v>0</v>
      </c>
    </row>
    <row r="45" spans="1:33" ht="14.4" x14ac:dyDescent="0.3">
      <c r="A45" s="25" t="s">
        <v>38</v>
      </c>
      <c r="B45">
        <f>VLOOKUP(A45,Library!$P$4:$Q$18,2,FALSE)</f>
        <v>476.53</v>
      </c>
      <c r="C45" s="117">
        <f>VLOOKUP(A45,'Mod Wolfe v3'!$I$5:$K$14,2,FALSE)*'Mod Wolfe v3'!$G$17/'Mod Wolfe v3'!$G$19</f>
        <v>0.1</v>
      </c>
      <c r="D45" s="6" t="str">
        <f>VLOOKUP(A45,'Mod Wolfe v1'!$I$5:$K$14,3,FALSE)</f>
        <v>mg/L</v>
      </c>
      <c r="E45" s="26">
        <f t="shared" si="11"/>
        <v>2.0985037668142615E-7</v>
      </c>
      <c r="J45" s="205"/>
      <c r="K45" s="205"/>
      <c r="T45" s="217">
        <f>VLOOKUP(A45,Library!$B$4:$G$69,3,FALSE)</f>
        <v>9</v>
      </c>
      <c r="U45" s="185">
        <f>VLOOKUP(A45,Library!$B$4:$G$69,4,FALSE)</f>
        <v>1</v>
      </c>
      <c r="V45" s="185">
        <f>VLOOKUP(A45,Library!$B$4:$G$69,5,FALSE)</f>
        <v>0</v>
      </c>
      <c r="W45" s="218">
        <f>VLOOKUP(A45,Library!$B$4:$G$69,6,FALSE)</f>
        <v>0</v>
      </c>
      <c r="X45" s="217">
        <f t="shared" si="12"/>
        <v>1.8886533901328354E-6</v>
      </c>
      <c r="Y45" s="185">
        <f t="shared" si="13"/>
        <v>2.0985037668142615E-7</v>
      </c>
      <c r="Z45" s="185">
        <f t="shared" si="14"/>
        <v>0</v>
      </c>
      <c r="AA45" s="218">
        <f t="shared" si="15"/>
        <v>0</v>
      </c>
      <c r="AB45" s="217">
        <f>X45*VLOOKUP($AB$13,Library!$T$4:$U$7,2,FALSE)</f>
        <v>2.2682727215495352E-5</v>
      </c>
      <c r="AC45" s="185">
        <f>Y45*VLOOKUP($AC$13,Library!$T$4:$U$7,2,FALSE)</f>
        <v>2.9400037773067804E-6</v>
      </c>
      <c r="AD45" s="185">
        <f>Z45*VLOOKUP($AD$13,Library!$T$4:$U$7,2,FALSE)</f>
        <v>0</v>
      </c>
      <c r="AE45" s="218">
        <f>AA45*VLOOKUP($AE$13,Library!$T$4:$U$7,2,FALSE)</f>
        <v>0</v>
      </c>
    </row>
    <row r="46" spans="1:33" ht="14.4" x14ac:dyDescent="0.3">
      <c r="A46" s="25" t="s">
        <v>42</v>
      </c>
      <c r="B46">
        <f>VLOOKUP(A46,Library!$P$4:$Q$18,2,FALSE)</f>
        <v>1355.37</v>
      </c>
      <c r="C46" s="117">
        <f>VLOOKUP(A46,'Mod Wolfe v3'!$I$5:$K$14,2,FALSE)*'Mod Wolfe v3'!$G$17/'Mod Wolfe v3'!$G$19</f>
        <v>0.05</v>
      </c>
      <c r="D46" s="6" t="str">
        <f>VLOOKUP(A46,'Mod Wolfe v1'!$I$5:$K$14,3,FALSE)</f>
        <v>mg/L</v>
      </c>
      <c r="E46" s="26">
        <f t="shared" si="11"/>
        <v>3.6890295638829251E-8</v>
      </c>
      <c r="J46" s="205"/>
      <c r="K46" s="205"/>
      <c r="T46" s="217">
        <f>VLOOKUP(A46,Library!$B$4:$G$69,3,FALSE)</f>
        <v>70</v>
      </c>
      <c r="U46" s="185">
        <f>VLOOKUP(A46,Library!$B$4:$G$69,4,FALSE)</f>
        <v>14</v>
      </c>
      <c r="V46" s="185">
        <f>VLOOKUP(A46,Library!$B$4:$G$69,5,FALSE)</f>
        <v>0</v>
      </c>
      <c r="W46" s="218">
        <f>VLOOKUP(A46,Library!$B$4:$G$69,6,FALSE)</f>
        <v>1</v>
      </c>
      <c r="X46" s="217">
        <f t="shared" si="12"/>
        <v>2.5823206947180473E-6</v>
      </c>
      <c r="Y46" s="185">
        <f t="shared" si="13"/>
        <v>5.1646413894360951E-7</v>
      </c>
      <c r="Z46" s="185">
        <f t="shared" si="14"/>
        <v>0</v>
      </c>
      <c r="AA46" s="218">
        <f t="shared" si="15"/>
        <v>3.6890295638829251E-8</v>
      </c>
      <c r="AB46" s="217">
        <f>X46*VLOOKUP($AB$13,Library!$T$4:$U$7,2,FALSE)</f>
        <v>3.1013671543563748E-5</v>
      </c>
      <c r="AC46" s="185">
        <f>Y46*VLOOKUP($AC$13,Library!$T$4:$U$7,2,FALSE)</f>
        <v>7.2356625865999692E-6</v>
      </c>
      <c r="AD46" s="185">
        <f>Z46*VLOOKUP($AD$13,Library!$T$4:$U$7,2,FALSE)</f>
        <v>0</v>
      </c>
      <c r="AE46" s="218">
        <f>AA46*VLOOKUP($AE$13,Library!$T$4:$U$7,2,FALSE)</f>
        <v>1.183071781137254E-6</v>
      </c>
    </row>
    <row r="47" spans="1:33" ht="14.4" x14ac:dyDescent="0.3">
      <c r="A47" s="25" t="s">
        <v>45</v>
      </c>
      <c r="B47">
        <f>VLOOKUP(A47,Library!$P$4:$Q$18,2,FALSE)</f>
        <v>137.13999999999999</v>
      </c>
      <c r="C47" s="117">
        <f>VLOOKUP(A47,'Mod Wolfe v3'!$I$5:$K$14,2,FALSE)*'Mod Wolfe v3'!$G$17/'Mod Wolfe v3'!$G$19</f>
        <v>0.1</v>
      </c>
      <c r="D47" s="6" t="str">
        <f>VLOOKUP(A47,'Mod Wolfe v1'!$I$5:$K$14,3,FALSE)</f>
        <v>mg/L</v>
      </c>
      <c r="E47" s="26">
        <f t="shared" si="11"/>
        <v>7.2918185795537416E-7</v>
      </c>
      <c r="J47" s="205"/>
      <c r="K47" s="205"/>
      <c r="T47" s="217">
        <f>VLOOKUP(A47,Library!$B$4:$G$69,3,FALSE)</f>
        <v>7</v>
      </c>
      <c r="U47" s="185">
        <f>VLOOKUP(A47,Library!$B$4:$G$69,4,FALSE)</f>
        <v>1</v>
      </c>
      <c r="V47" s="185">
        <f>VLOOKUP(A47,Library!$B$4:$G$69,5,FALSE)</f>
        <v>0</v>
      </c>
      <c r="W47" s="218">
        <f>VLOOKUP(A47,Library!$B$4:$G$69,6,FALSE)</f>
        <v>0</v>
      </c>
      <c r="X47" s="217">
        <f t="shared" si="12"/>
        <v>5.1042730056876194E-6</v>
      </c>
      <c r="Y47" s="185">
        <f t="shared" si="13"/>
        <v>7.2918185795537416E-7</v>
      </c>
      <c r="Z47" s="185">
        <f t="shared" si="14"/>
        <v>0</v>
      </c>
      <c r="AA47" s="218">
        <f t="shared" si="15"/>
        <v>0</v>
      </c>
      <c r="AB47" s="217">
        <f>X47*VLOOKUP($AB$13,Library!$T$4:$U$7,2,FALSE)</f>
        <v>6.1302318798308312E-5</v>
      </c>
      <c r="AC47" s="185">
        <f>Y47*VLOOKUP($AC$13,Library!$T$4:$U$7,2,FALSE)</f>
        <v>1.0215837829954792E-5</v>
      </c>
      <c r="AD47" s="185">
        <f>Z47*VLOOKUP($AD$13,Library!$T$4:$U$7,2,FALSE)</f>
        <v>0</v>
      </c>
      <c r="AE47" s="218">
        <f>AA47*VLOOKUP($AE$13,Library!$T$4:$U$7,2,FALSE)</f>
        <v>0</v>
      </c>
    </row>
    <row r="48" spans="1:33" ht="14.4" x14ac:dyDescent="0.3">
      <c r="A48" s="25" t="s">
        <v>288</v>
      </c>
      <c r="B48">
        <f>VLOOKUP(A48,Library!$P$4:$Q$18,2,FALSE)</f>
        <v>206.33</v>
      </c>
      <c r="C48" s="117">
        <f>VLOOKUP(A48,'Mod Wolfe v3'!$I$5:$K$14,2,FALSE)*'Mod Wolfe v3'!$G$17/'Mod Wolfe v3'!$G$19</f>
        <v>0.05</v>
      </c>
      <c r="D48" s="6" t="str">
        <f>VLOOKUP(A48,'Mod Wolfe v1'!$I$5:$K$14,3,FALSE)</f>
        <v>mg/L</v>
      </c>
      <c r="E48" s="26">
        <f t="shared" si="11"/>
        <v>2.4233024766151311E-7</v>
      </c>
      <c r="J48" s="205"/>
      <c r="K48" s="205"/>
      <c r="T48" s="217">
        <f>VLOOKUP(A48,Library!$B$4:$G$69,3,FALSE)</f>
        <v>8</v>
      </c>
      <c r="U48" s="185">
        <f>VLOOKUP(A48,Library!$B$4:$G$69,4,FALSE)</f>
        <v>0</v>
      </c>
      <c r="V48" s="185">
        <f>VLOOKUP(A48,Library!$B$4:$G$69,5,FALSE)</f>
        <v>0</v>
      </c>
      <c r="W48" s="218">
        <f>VLOOKUP(A48,Library!$B$4:$G$69,6,FALSE)</f>
        <v>2</v>
      </c>
      <c r="X48" s="217">
        <f t="shared" si="12"/>
        <v>1.9386419812921049E-6</v>
      </c>
      <c r="Y48" s="185">
        <f t="shared" si="13"/>
        <v>0</v>
      </c>
      <c r="Z48" s="185">
        <f t="shared" si="14"/>
        <v>0</v>
      </c>
      <c r="AA48" s="218">
        <f t="shared" si="15"/>
        <v>4.8466049532302623E-7</v>
      </c>
      <c r="AB48" s="217">
        <f>X48*VLOOKUP($AB$13,Library!$T$4:$U$7,2,FALSE)</f>
        <v>2.3283090195318181E-5</v>
      </c>
      <c r="AC48" s="185">
        <f>Y48*VLOOKUP($AC$13,Library!$T$4:$U$7,2,FALSE)</f>
        <v>0</v>
      </c>
      <c r="AD48" s="185">
        <f>Z48*VLOOKUP($AD$13,Library!$T$4:$U$7,2,FALSE)</f>
        <v>0</v>
      </c>
      <c r="AE48" s="218">
        <f>AA48*VLOOKUP($AE$13,Library!$T$4:$U$7,2,FALSE)</f>
        <v>1.5543062085009453E-5</v>
      </c>
    </row>
    <row r="49" spans="1:33" thickBot="1" x14ac:dyDescent="0.35">
      <c r="C49" s="6"/>
      <c r="D49" s="6"/>
      <c r="E49" s="6"/>
      <c r="J49" s="205"/>
      <c r="K49" s="205"/>
      <c r="T49" s="219"/>
      <c r="U49" s="192"/>
      <c r="V49" s="192"/>
      <c r="W49" s="220"/>
      <c r="X49" s="219"/>
      <c r="Y49" s="192"/>
      <c r="Z49" s="192"/>
      <c r="AA49" s="220"/>
      <c r="AB49" s="219"/>
      <c r="AC49" s="192"/>
      <c r="AD49" s="192"/>
      <c r="AE49" s="220"/>
    </row>
    <row r="50" spans="1:33" ht="14.4" x14ac:dyDescent="0.3">
      <c r="C50" s="6"/>
      <c r="D50" s="6"/>
      <c r="E50" s="6"/>
      <c r="J50" s="205"/>
      <c r="K50" s="205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</row>
    <row r="51" spans="1:33" ht="14.4" x14ac:dyDescent="0.3">
      <c r="A51" s="7" t="s">
        <v>278</v>
      </c>
      <c r="B51" s="97"/>
      <c r="E51" s="6"/>
      <c r="J51" s="205"/>
      <c r="K51" s="205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</row>
    <row r="52" spans="1:33" ht="14.4" x14ac:dyDescent="0.3">
      <c r="A52" s="71" t="s">
        <v>98</v>
      </c>
      <c r="B52" s="71" t="s">
        <v>322</v>
      </c>
      <c r="C52" s="71" t="s">
        <v>103</v>
      </c>
      <c r="D52" s="71" t="s">
        <v>321</v>
      </c>
      <c r="J52" s="7"/>
      <c r="L52" s="6"/>
      <c r="M52" s="6"/>
      <c r="N52" s="6"/>
      <c r="AG52" s="6"/>
    </row>
    <row r="53" spans="1:33" ht="14.4" x14ac:dyDescent="0.3">
      <c r="A53" s="71" t="s">
        <v>339</v>
      </c>
      <c r="B53" s="70">
        <f>SUMIF($F$15:$F$37,A53,$L$15:$L$37)*1000</f>
        <v>0</v>
      </c>
      <c r="C53" s="70">
        <f>SUMIF($F$15:$F$37,A53,$I$15:$I$37)</f>
        <v>1.0540200136650915E-4</v>
      </c>
      <c r="D53" s="70">
        <f>SUMIF($F$15:$F$37,A53,$K$15:$K$37)</f>
        <v>1.0540200136650915E-4</v>
      </c>
      <c r="J53" s="7"/>
      <c r="L53" s="6"/>
      <c r="M53" s="6"/>
      <c r="N53" s="6"/>
      <c r="AG53" s="6"/>
    </row>
    <row r="54" spans="1:33" ht="14.4" x14ac:dyDescent="0.3">
      <c r="A54" s="70" t="s">
        <v>63</v>
      </c>
      <c r="B54" s="70">
        <f t="shared" ref="B54:B66" si="16">SUMIF($F$15:$F$37,A54,$L$15:$L$37)*1000</f>
        <v>322.78478776864677</v>
      </c>
      <c r="C54" s="70">
        <f t="shared" ref="C54:C66" si="17">SUMIF($F$15:$F$37,A54,$I$15:$I$37)</f>
        <v>1.1134438076020778E-2</v>
      </c>
      <c r="D54" s="70">
        <f t="shared" ref="D54:D66" si="18">SUMIF($F$15:$F$37,A54,$K$15:$K$37)</f>
        <v>1.1134438076020778E-2</v>
      </c>
      <c r="L54" s="6"/>
      <c r="M54" s="6"/>
      <c r="N54" s="6"/>
      <c r="AG54" s="6"/>
    </row>
    <row r="55" spans="1:33" ht="14.4" x14ac:dyDescent="0.3">
      <c r="A55" s="70" t="s">
        <v>64</v>
      </c>
      <c r="B55" s="70">
        <f t="shared" si="16"/>
        <v>19.128381701918347</v>
      </c>
      <c r="C55" s="70">
        <f t="shared" si="17"/>
        <v>7.8701426463354646E-4</v>
      </c>
      <c r="D55" s="70">
        <f t="shared" si="18"/>
        <v>3.1480570585341859E-3</v>
      </c>
      <c r="L55" s="6"/>
      <c r="M55" s="6"/>
      <c r="N55" s="6"/>
      <c r="AG55" s="6"/>
    </row>
    <row r="56" spans="1:33" ht="14.4" x14ac:dyDescent="0.3">
      <c r="A56" s="70" t="s">
        <v>65</v>
      </c>
      <c r="B56" s="70">
        <f t="shared" si="16"/>
        <v>2.453588191279505</v>
      </c>
      <c r="C56" s="70">
        <f t="shared" si="17"/>
        <v>6.122032514794912E-5</v>
      </c>
      <c r="D56" s="70">
        <f t="shared" si="18"/>
        <v>2.4488130059179648E-4</v>
      </c>
      <c r="L56" s="6"/>
      <c r="M56" s="6"/>
      <c r="N56" s="6"/>
      <c r="AG56" s="6"/>
    </row>
    <row r="57" spans="1:33" ht="14.4" x14ac:dyDescent="0.3">
      <c r="A57" s="70" t="s">
        <v>66</v>
      </c>
      <c r="B57" s="70">
        <f t="shared" si="16"/>
        <v>220.84618942900823</v>
      </c>
      <c r="C57" s="70">
        <f t="shared" si="17"/>
        <v>5.6491359097608374E-3</v>
      </c>
      <c r="D57" s="70">
        <f t="shared" si="18"/>
        <v>5.6491359097608374E-3</v>
      </c>
      <c r="L57" s="6"/>
      <c r="M57" s="6"/>
      <c r="N57" s="6"/>
      <c r="AG57" s="6"/>
    </row>
    <row r="58" spans="1:33" ht="14.4" x14ac:dyDescent="0.3">
      <c r="A58" s="70" t="s">
        <v>71</v>
      </c>
      <c r="B58" s="70">
        <f t="shared" si="16"/>
        <v>0</v>
      </c>
      <c r="C58" s="70">
        <f t="shared" si="17"/>
        <v>0</v>
      </c>
      <c r="D58" s="70">
        <f t="shared" si="18"/>
        <v>0</v>
      </c>
      <c r="L58" s="6"/>
      <c r="M58" s="6"/>
      <c r="N58" s="6"/>
      <c r="AG58" s="6"/>
    </row>
    <row r="59" spans="1:33" ht="14.4" x14ac:dyDescent="0.3">
      <c r="A59" s="70" t="s">
        <v>72</v>
      </c>
      <c r="B59" s="70">
        <f t="shared" si="16"/>
        <v>0.24693087635155031</v>
      </c>
      <c r="C59" s="70">
        <f t="shared" si="17"/>
        <v>4.2071605873196181E-6</v>
      </c>
      <c r="D59" s="70">
        <f t="shared" si="18"/>
        <v>1.6828642349278473E-5</v>
      </c>
      <c r="L59" s="6"/>
      <c r="M59" s="6"/>
      <c r="N59" s="6"/>
      <c r="AG59" s="6"/>
    </row>
    <row r="60" spans="1:33" ht="14.4" x14ac:dyDescent="0.3">
      <c r="A60" s="70" t="s">
        <v>73</v>
      </c>
      <c r="B60" s="70">
        <f t="shared" si="16"/>
        <v>0.22928401905888082</v>
      </c>
      <c r="C60" s="70">
        <f t="shared" si="17"/>
        <v>3.4778979584738982E-6</v>
      </c>
      <c r="D60" s="70">
        <f t="shared" si="18"/>
        <v>1.3911591833895593E-5</v>
      </c>
      <c r="L60" s="6"/>
      <c r="M60" s="6"/>
      <c r="N60" s="6"/>
      <c r="AG60" s="6"/>
    </row>
    <row r="61" spans="1:33" ht="14.4" x14ac:dyDescent="0.3">
      <c r="A61" s="70" t="s">
        <v>74</v>
      </c>
      <c r="B61" s="70">
        <f t="shared" si="16"/>
        <v>0.32505028990651991</v>
      </c>
      <c r="C61" s="70">
        <f t="shared" si="17"/>
        <v>5.9164595905809962E-6</v>
      </c>
      <c r="D61" s="70">
        <f t="shared" si="18"/>
        <v>2.3665838362323985E-5</v>
      </c>
      <c r="I61" s="3"/>
      <c r="L61" s="6"/>
      <c r="M61" s="6"/>
      <c r="N61" s="6"/>
      <c r="AG61" s="6"/>
    </row>
    <row r="62" spans="1:33" ht="14.4" x14ac:dyDescent="0.3">
      <c r="A62" s="70" t="s">
        <v>75</v>
      </c>
      <c r="B62" s="70">
        <f t="shared" si="16"/>
        <v>0.24769129575925691</v>
      </c>
      <c r="C62" s="70">
        <f t="shared" si="17"/>
        <v>4.2029168242760473E-6</v>
      </c>
      <c r="D62" s="70">
        <f t="shared" si="18"/>
        <v>1.6811667297104189E-5</v>
      </c>
      <c r="I62" s="3"/>
      <c r="L62" s="6"/>
      <c r="M62" s="6"/>
      <c r="N62" s="6"/>
      <c r="AG62" s="6"/>
    </row>
    <row r="63" spans="1:33" ht="14.4" x14ac:dyDescent="0.3">
      <c r="A63" s="70" t="s">
        <v>78</v>
      </c>
      <c r="B63" s="70">
        <f t="shared" si="16"/>
        <v>337.99536445462553</v>
      </c>
      <c r="C63" s="70">
        <f t="shared" si="17"/>
        <v>1.8735884947595653E-2</v>
      </c>
      <c r="D63" s="70">
        <f t="shared" si="18"/>
        <v>1.8735884947595653E-2</v>
      </c>
      <c r="I63" s="3"/>
      <c r="L63" s="6"/>
      <c r="M63" s="6"/>
      <c r="N63" s="6"/>
      <c r="AG63" s="6"/>
    </row>
    <row r="64" spans="1:33" ht="14.4" x14ac:dyDescent="0.3">
      <c r="A64" s="70" t="s">
        <v>80</v>
      </c>
      <c r="B64" s="70">
        <f t="shared" si="16"/>
        <v>2.2785739786810835</v>
      </c>
      <c r="C64" s="70">
        <f t="shared" si="17"/>
        <v>4.0801754475442447E-5</v>
      </c>
      <c r="D64" s="70">
        <f t="shared" si="18"/>
        <v>1.6320701790176979E-4</v>
      </c>
      <c r="I64" s="3"/>
      <c r="J64" s="3"/>
      <c r="K64" s="3"/>
      <c r="O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ht="14.4" x14ac:dyDescent="0.3">
      <c r="A65" s="70" t="s">
        <v>114</v>
      </c>
      <c r="B65" s="70">
        <f t="shared" si="16"/>
        <v>0</v>
      </c>
      <c r="C65" s="70">
        <f t="shared" si="17"/>
        <v>0</v>
      </c>
      <c r="D65" s="70">
        <f t="shared" si="18"/>
        <v>0</v>
      </c>
      <c r="I65" s="3"/>
      <c r="J65" s="3"/>
      <c r="K65" s="3"/>
      <c r="O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ht="14.4" x14ac:dyDescent="0.3">
      <c r="A66" s="70" t="s">
        <v>81</v>
      </c>
      <c r="B66" s="70">
        <f t="shared" si="16"/>
        <v>7.4812763960581882E-2</v>
      </c>
      <c r="C66" s="70">
        <f t="shared" si="17"/>
        <v>3.9887376818395113E-7</v>
      </c>
      <c r="D66" s="70">
        <f t="shared" si="18"/>
        <v>1.5954950727358045E-6</v>
      </c>
      <c r="I66" s="3"/>
      <c r="J66" s="3"/>
      <c r="K66" s="3"/>
      <c r="O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14.4" x14ac:dyDescent="0.3">
      <c r="A67" s="71" t="s">
        <v>99</v>
      </c>
      <c r="B67" s="71" t="s">
        <v>322</v>
      </c>
      <c r="C67" s="71" t="s">
        <v>103</v>
      </c>
      <c r="D67" s="71" t="s">
        <v>321</v>
      </c>
      <c r="E67" s="6"/>
      <c r="F67" s="3"/>
      <c r="G67" s="3"/>
      <c r="H67" s="3"/>
      <c r="I67" s="3"/>
      <c r="M67" s="3"/>
      <c r="O67" s="3"/>
      <c r="P67" s="3"/>
      <c r="Q67" s="3"/>
      <c r="R67" s="3"/>
      <c r="S67" s="3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</row>
    <row r="68" spans="1:31" ht="14.4" x14ac:dyDescent="0.3">
      <c r="A68" s="71" t="s">
        <v>111</v>
      </c>
      <c r="B68" s="70">
        <f t="shared" ref="B68:B83" si="19">SUMIF($M$15:$M$37,A68,$S$15:$S$37)*1000</f>
        <v>11.15</v>
      </c>
      <c r="C68" s="70">
        <f>SUMIF($M$15:$M$37,A68,$P$15:$P$37)</f>
        <v>5.8334205294548499E-5</v>
      </c>
      <c r="D68" s="70">
        <f>SUMIF($M$15:$M$37,A68,$R$15:$R$37)</f>
        <v>5.250078476509365E-4</v>
      </c>
      <c r="E68" s="6"/>
      <c r="F68" s="3"/>
      <c r="G68" s="3"/>
      <c r="H68" s="3"/>
      <c r="I68" s="3"/>
      <c r="M68" s="3"/>
      <c r="O68" s="3"/>
      <c r="P68" s="3"/>
      <c r="Q68" s="3"/>
      <c r="R68" s="3"/>
      <c r="S68" s="3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  <c r="AE68" s="109"/>
    </row>
    <row r="69" spans="1:31" ht="14.4" x14ac:dyDescent="0.3">
      <c r="A69" s="70" t="s">
        <v>70</v>
      </c>
      <c r="B69" s="70">
        <f t="shared" si="19"/>
        <v>1091.2828294795636</v>
      </c>
      <c r="C69" s="70">
        <f t="shared" ref="C69:C83" si="20">SUMIF($M$15:$M$37,A69,$P$15:$P$37)</f>
        <v>3.0781113854386467E-2</v>
      </c>
      <c r="D69" s="70">
        <f t="shared" ref="D69:D83" si="21">SUMIF($M$15:$M$37,A69,$R$15:$R$37)</f>
        <v>3.0781113854386467E-2</v>
      </c>
      <c r="E69" s="6"/>
      <c r="F69" s="3"/>
      <c r="G69" s="3"/>
      <c r="H69" s="3"/>
      <c r="I69" s="3"/>
      <c r="M69" s="3"/>
      <c r="O69" s="3"/>
      <c r="P69" s="3"/>
      <c r="Q69" s="3"/>
      <c r="R69" s="3"/>
      <c r="S69" s="3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  <c r="AE69" s="109"/>
    </row>
    <row r="70" spans="1:31" ht="14.4" x14ac:dyDescent="0.3">
      <c r="A70" s="70" t="s">
        <v>69</v>
      </c>
      <c r="B70" s="70">
        <f t="shared" si="19"/>
        <v>4.8218385210732144</v>
      </c>
      <c r="C70" s="70">
        <f t="shared" si="20"/>
        <v>5.0196112024497336E-5</v>
      </c>
      <c r="D70" s="70">
        <f t="shared" si="21"/>
        <v>2.0078444809798934E-4</v>
      </c>
      <c r="E70" s="6"/>
      <c r="F70" s="3"/>
      <c r="G70" s="3"/>
      <c r="H70" s="3"/>
      <c r="I70" s="3"/>
      <c r="M70" s="3"/>
      <c r="O70" s="3"/>
      <c r="P70" s="3"/>
      <c r="Q70" s="3"/>
      <c r="R70" s="3"/>
      <c r="S70" s="3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  <c r="AE70" s="109"/>
    </row>
    <row r="71" spans="1:31" ht="14.4" x14ac:dyDescent="0.3">
      <c r="A71" s="70" t="s">
        <v>67</v>
      </c>
      <c r="B71" s="70">
        <f t="shared" si="19"/>
        <v>0</v>
      </c>
      <c r="C71" s="70">
        <f t="shared" si="20"/>
        <v>0</v>
      </c>
      <c r="D71" s="70">
        <f t="shared" si="21"/>
        <v>0</v>
      </c>
      <c r="E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 spans="1:31" ht="14.4" x14ac:dyDescent="0.3">
      <c r="A72" s="70" t="s">
        <v>68</v>
      </c>
      <c r="B72" s="70">
        <f t="shared" si="19"/>
        <v>0</v>
      </c>
      <c r="C72" s="70">
        <f t="shared" si="20"/>
        <v>0</v>
      </c>
      <c r="D72" s="70">
        <f t="shared" si="21"/>
        <v>0</v>
      </c>
      <c r="E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 spans="1:31" ht="14.4" x14ac:dyDescent="0.3">
      <c r="A73" s="70" t="s">
        <v>79</v>
      </c>
      <c r="B73" s="70">
        <f t="shared" si="19"/>
        <v>0</v>
      </c>
      <c r="C73" s="70">
        <f t="shared" si="20"/>
        <v>0</v>
      </c>
      <c r="D73" s="70">
        <f t="shared" si="21"/>
        <v>0</v>
      </c>
      <c r="E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 spans="1:31" ht="14.4" x14ac:dyDescent="0.3">
      <c r="A74" s="70" t="s">
        <v>82</v>
      </c>
      <c r="B74" s="70">
        <f t="shared" si="19"/>
        <v>372.92627062590816</v>
      </c>
      <c r="C74" s="70">
        <f t="shared" si="20"/>
        <v>3.9267797265021397E-3</v>
      </c>
      <c r="D74" s="70">
        <f t="shared" si="21"/>
        <v>3.5341017538519252E-2</v>
      </c>
      <c r="E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 spans="1:31" ht="14.4" x14ac:dyDescent="0.3">
      <c r="A75" s="70" t="s">
        <v>113</v>
      </c>
      <c r="B75" s="70">
        <f t="shared" si="19"/>
        <v>9.5115639657124371E-2</v>
      </c>
      <c r="C75" s="70">
        <f t="shared" si="20"/>
        <v>1.6173378618793466E-6</v>
      </c>
      <c r="D75" s="70">
        <f t="shared" si="21"/>
        <v>1.4556040756914119E-5</v>
      </c>
      <c r="E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 spans="1:31" ht="14.4" x14ac:dyDescent="0.3">
      <c r="A76" s="70" t="s">
        <v>112</v>
      </c>
      <c r="B76" s="70">
        <f t="shared" si="19"/>
        <v>0.75137183568288612</v>
      </c>
      <c r="C76" s="70">
        <f t="shared" si="20"/>
        <v>3.0316810671517355E-6</v>
      </c>
      <c r="D76" s="70">
        <f t="shared" si="21"/>
        <v>3.0316810671517355E-6</v>
      </c>
    </row>
    <row r="77" spans="1:31" ht="14.4" x14ac:dyDescent="0.3">
      <c r="A77" s="70" t="s">
        <v>76</v>
      </c>
      <c r="B77" s="70">
        <f>SUMIF($M$15:$M$37,A77,$S$15:$S$37)*1000</f>
        <v>0.93823322383857333</v>
      </c>
      <c r="C77" s="70">
        <f t="shared" si="20"/>
        <v>5.8657907085875177E-6</v>
      </c>
      <c r="D77" s="70">
        <f t="shared" si="21"/>
        <v>2.3463162834350071E-5</v>
      </c>
    </row>
    <row r="78" spans="1:31" ht="14.4" x14ac:dyDescent="0.3">
      <c r="A78" s="70" t="s">
        <v>79</v>
      </c>
      <c r="B78" s="70">
        <f t="shared" si="19"/>
        <v>0</v>
      </c>
      <c r="C78" s="70">
        <f t="shared" si="20"/>
        <v>0</v>
      </c>
      <c r="D78" s="70">
        <f t="shared" si="21"/>
        <v>0</v>
      </c>
    </row>
    <row r="79" spans="1:31" ht="14.4" x14ac:dyDescent="0.3">
      <c r="A79" s="70" t="s">
        <v>115</v>
      </c>
      <c r="B79" s="70">
        <f t="shared" si="19"/>
        <v>1.4683474037238351</v>
      </c>
      <c r="C79" s="70">
        <f t="shared" si="20"/>
        <v>1.1564704521799469E-5</v>
      </c>
      <c r="D79" s="70">
        <f t="shared" si="21"/>
        <v>4.6258818087197875E-5</v>
      </c>
    </row>
    <row r="80" spans="1:31" ht="14.4" x14ac:dyDescent="0.3">
      <c r="A80" s="70" t="s">
        <v>84</v>
      </c>
      <c r="B80" s="70">
        <f t="shared" si="19"/>
        <v>10.680323091015071</v>
      </c>
      <c r="C80" s="70">
        <f t="shared" si="20"/>
        <v>3.330835206928137E-4</v>
      </c>
      <c r="D80" s="70">
        <f t="shared" si="21"/>
        <v>1.3323340827712548E-3</v>
      </c>
    </row>
    <row r="81" spans="1:4" ht="14.4" x14ac:dyDescent="0.3">
      <c r="A81" s="70" t="s">
        <v>119</v>
      </c>
      <c r="B81" s="70">
        <f t="shared" si="19"/>
        <v>0</v>
      </c>
      <c r="C81" s="70">
        <f t="shared" si="20"/>
        <v>0</v>
      </c>
      <c r="D81" s="70">
        <f t="shared" si="21"/>
        <v>0</v>
      </c>
    </row>
    <row r="82" spans="1:4" ht="14.4" x14ac:dyDescent="0.3">
      <c r="A82" s="70" t="s">
        <v>299</v>
      </c>
      <c r="B82" s="70">
        <f t="shared" si="19"/>
        <v>200.00260060224474</v>
      </c>
      <c r="C82" s="70">
        <f t="shared" si="20"/>
        <v>6.8436901177114698E-4</v>
      </c>
      <c r="D82" s="70">
        <f t="shared" si="21"/>
        <v>2.7374760470845879E-3</v>
      </c>
    </row>
    <row r="83" spans="1:4" ht="14.4" x14ac:dyDescent="0.3">
      <c r="A83" s="70" t="s">
        <v>128</v>
      </c>
      <c r="B83" s="70">
        <f t="shared" si="19"/>
        <v>0</v>
      </c>
      <c r="C83" s="70">
        <f t="shared" si="20"/>
        <v>0</v>
      </c>
      <c r="D83" s="70">
        <f t="shared" si="21"/>
        <v>0</v>
      </c>
    </row>
    <row r="84" spans="1:4" ht="14.4" x14ac:dyDescent="0.3">
      <c r="A84" s="71" t="s">
        <v>356</v>
      </c>
      <c r="B84" s="70" t="s">
        <v>322</v>
      </c>
      <c r="C84" s="70"/>
    </row>
    <row r="85" spans="1:4" ht="14.4" x14ac:dyDescent="0.3">
      <c r="A85" t="s">
        <v>116</v>
      </c>
      <c r="B85" s="70">
        <f>B79*78.96/126.96</f>
        <v>0.91320660836510725</v>
      </c>
      <c r="C85" s="70"/>
    </row>
    <row r="86" spans="1:4" ht="14.4" x14ac:dyDescent="0.3">
      <c r="A86" t="s">
        <v>87</v>
      </c>
      <c r="B86" s="70">
        <f>B77*95.95/159.95</f>
        <v>0.5628226184889723</v>
      </c>
      <c r="C86" s="70"/>
    </row>
    <row r="87" spans="1:4" ht="14.4" x14ac:dyDescent="0.3">
      <c r="A87" t="s">
        <v>88</v>
      </c>
      <c r="B87" s="70">
        <f>B75*10.911/58.81</f>
        <v>1.7646773410965547E-2</v>
      </c>
      <c r="C87" s="70"/>
    </row>
    <row r="88" spans="1:4" ht="14.4" x14ac:dyDescent="0.3">
      <c r="A88" t="s">
        <v>393</v>
      </c>
      <c r="B88" s="70">
        <f>C24*Library!C14/Library!C15*1000</f>
        <v>12.770506485566248</v>
      </c>
      <c r="C88" s="70"/>
    </row>
    <row r="89" spans="1:4" ht="14.4" x14ac:dyDescent="0.3">
      <c r="A89" s="71" t="s">
        <v>315</v>
      </c>
      <c r="B89" s="71" t="s">
        <v>322</v>
      </c>
      <c r="C89" s="71" t="s">
        <v>61</v>
      </c>
    </row>
    <row r="90" spans="1:4" ht="14.4" x14ac:dyDescent="0.3">
      <c r="A90" s="70" t="s">
        <v>44</v>
      </c>
      <c r="B90" s="70">
        <f>SUM(AD15:AD49)*1000</f>
        <v>121.61236812977124</v>
      </c>
      <c r="C90" s="70">
        <f>SUM(Z15:Z49)</f>
        <v>3.9267797265021397E-3</v>
      </c>
    </row>
    <row r="91" spans="1:4" ht="14.4" x14ac:dyDescent="0.3">
      <c r="A91" s="70" t="s">
        <v>47</v>
      </c>
      <c r="B91" s="70">
        <f>SUM(AC15:AC49)*1000</f>
        <v>284.04205710513355</v>
      </c>
      <c r="C91" s="70">
        <f>SUM(Y15:Y49)</f>
        <v>2.0274236766961707E-2</v>
      </c>
    </row>
    <row r="92" spans="1:4" ht="14.4" x14ac:dyDescent="0.3">
      <c r="A92" s="70" t="s">
        <v>196</v>
      </c>
      <c r="B92" s="70">
        <f>SUM(AE15:AE49)*1000</f>
        <v>15.517654131249127</v>
      </c>
      <c r="C92" s="70">
        <f>SUM(AA15:AA49)</f>
        <v>4.8386822984874115E-4</v>
      </c>
    </row>
    <row r="93" spans="1:4" ht="14.4" x14ac:dyDescent="0.3">
      <c r="A93" s="70" t="s">
        <v>51</v>
      </c>
      <c r="B93" s="70">
        <f>SUM(AB15:AB49)*1000</f>
        <v>90.606507805897238</v>
      </c>
      <c r="C93" s="70">
        <f>SUM(X15:X49)</f>
        <v>7.5442554376267479E-3</v>
      </c>
    </row>
    <row r="94" spans="1:4" ht="14.4" x14ac:dyDescent="0.3">
      <c r="A94" s="71" t="s">
        <v>320</v>
      </c>
      <c r="B94" s="71" t="s">
        <v>325</v>
      </c>
      <c r="C94" s="7"/>
    </row>
    <row r="95" spans="1:4" ht="14.4" x14ac:dyDescent="0.3">
      <c r="A95" s="70" t="str">
        <f>'Mod Wolfe v3 calcs'!A39</f>
        <v>biotin</v>
      </c>
      <c r="B95" s="79">
        <f>VLOOKUP(A95,$A$39:$C$48,3,FALSE)*1000</f>
        <v>50</v>
      </c>
    </row>
    <row r="96" spans="1:4" ht="14.4" x14ac:dyDescent="0.3">
      <c r="A96" s="70" t="str">
        <f>'Mod Wolfe v3 calcs'!A40</f>
        <v>folic acid</v>
      </c>
      <c r="B96" s="79">
        <f t="shared" ref="B96:B106" si="22">VLOOKUP(A96,$A$39:$C$48,3,FALSE)*1000</f>
        <v>50</v>
      </c>
    </row>
    <row r="97" spans="1:3" ht="14.4" x14ac:dyDescent="0.3">
      <c r="A97" s="70" t="str">
        <f>'Mod Wolfe v3 calcs'!A41</f>
        <v>pyridoxine</v>
      </c>
      <c r="B97" s="79">
        <f t="shared" si="22"/>
        <v>100</v>
      </c>
    </row>
    <row r="98" spans="1:3" ht="14.4" x14ac:dyDescent="0.3">
      <c r="A98" s="70" t="str">
        <f>'Mod Wolfe v3 calcs'!A42</f>
        <v>thiamine</v>
      </c>
      <c r="B98" s="79">
        <f t="shared" si="22"/>
        <v>100</v>
      </c>
    </row>
    <row r="99" spans="1:3" ht="14.4" x14ac:dyDescent="0.3">
      <c r="A99" s="70" t="str">
        <f>'Mod Wolfe v3 calcs'!A43</f>
        <v>riboflavin</v>
      </c>
      <c r="B99" s="79">
        <f t="shared" si="22"/>
        <v>100</v>
      </c>
    </row>
    <row r="100" spans="1:3" ht="14.4" x14ac:dyDescent="0.3">
      <c r="A100" s="70" t="str">
        <f>'Mod Wolfe v3 calcs'!A44</f>
        <v>nicotinic acid</v>
      </c>
      <c r="B100" s="79">
        <f t="shared" si="22"/>
        <v>100</v>
      </c>
    </row>
    <row r="101" spans="1:3" ht="15" customHeight="1" x14ac:dyDescent="0.3">
      <c r="A101" s="70" t="str">
        <f>'Mod Wolfe v3 calcs'!A45</f>
        <v>Ca-pantothenate</v>
      </c>
      <c r="B101" s="79">
        <f t="shared" si="22"/>
        <v>100</v>
      </c>
    </row>
    <row r="102" spans="1:3" ht="15" customHeight="1" x14ac:dyDescent="0.3">
      <c r="A102" s="70" t="str">
        <f>'Mod Wolfe v3 calcs'!A46</f>
        <v>Vitamin B-12</v>
      </c>
      <c r="B102" s="79">
        <f t="shared" si="22"/>
        <v>50</v>
      </c>
    </row>
    <row r="103" spans="1:3" ht="15" customHeight="1" x14ac:dyDescent="0.3">
      <c r="A103" s="70" t="str">
        <f>'Mod Wolfe v3 calcs'!A47</f>
        <v>p-aminobenzoic acid</v>
      </c>
      <c r="B103" s="79">
        <f t="shared" si="22"/>
        <v>100</v>
      </c>
    </row>
    <row r="104" spans="1:3" ht="15" customHeight="1" x14ac:dyDescent="0.3">
      <c r="A104" s="70" t="str">
        <f>'Mod Wolfe v3 calcs'!A48</f>
        <v>lipoic acid</v>
      </c>
      <c r="B104" s="79">
        <f t="shared" si="22"/>
        <v>50</v>
      </c>
    </row>
    <row r="105" spans="1:3" ht="15" customHeight="1" x14ac:dyDescent="0.3">
      <c r="A105" s="181" t="s">
        <v>123</v>
      </c>
      <c r="B105" s="79" t="e">
        <f t="shared" si="22"/>
        <v>#N/A</v>
      </c>
    </row>
    <row r="106" spans="1:3" ht="15" customHeight="1" x14ac:dyDescent="0.3">
      <c r="A106" t="s">
        <v>288</v>
      </c>
      <c r="B106" s="79">
        <f t="shared" si="22"/>
        <v>50</v>
      </c>
    </row>
    <row r="107" spans="1:3" ht="15" customHeight="1" x14ac:dyDescent="0.3">
      <c r="A107" s="7" t="s">
        <v>279</v>
      </c>
      <c r="B107" s="269">
        <f>SUM(B54:B58,B69:B73)/1000</f>
        <v>1.6613176150914897</v>
      </c>
      <c r="C107" t="s">
        <v>97</v>
      </c>
    </row>
    <row r="108" spans="1:3" ht="15" customHeight="1" x14ac:dyDescent="0.3">
      <c r="A108" s="7" t="s">
        <v>4</v>
      </c>
      <c r="B108" s="269">
        <f>SUM(D53:D66,D68:D83)/2</f>
        <v>5.5129431533971471E-2</v>
      </c>
    </row>
    <row r="109" spans="1:3" ht="15" customHeight="1" x14ac:dyDescent="0.3">
      <c r="A109" s="70"/>
    </row>
  </sheetData>
  <pageMargins left="0.7" right="0.7" top="0.75" bottom="0.75" header="0.3" footer="0.3"/>
  <pageSetup scale="42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C7113-99F3-472C-9D98-F5E5CCA5A782}">
  <sheetPr>
    <tabColor rgb="FFFF0000"/>
    <pageSetUpPr fitToPage="1"/>
  </sheetPr>
  <dimension ref="A1:AI109"/>
  <sheetViews>
    <sheetView topLeftCell="A16" workbookViewId="0">
      <selection activeCell="H47" sqref="H47"/>
    </sheetView>
  </sheetViews>
  <sheetFormatPr defaultColWidth="9.109375" defaultRowHeight="15" customHeight="1" x14ac:dyDescent="0.3"/>
  <cols>
    <col min="1" max="1" width="24.109375" customWidth="1"/>
    <col min="2" max="2" width="11.77734375" customWidth="1"/>
    <col min="3" max="3" width="12" bestFit="1" customWidth="1"/>
    <col min="4" max="4" width="12.88671875" customWidth="1"/>
    <col min="5" max="5" width="11.77734375" bestFit="1" customWidth="1"/>
    <col min="6" max="6" width="7.21875" bestFit="1" customWidth="1"/>
    <col min="7" max="7" width="8.77734375" customWidth="1"/>
    <col min="8" max="8" width="6.109375" bestFit="1" customWidth="1"/>
    <col min="9" max="9" width="11.77734375" bestFit="1" customWidth="1"/>
    <col min="10" max="10" width="9.77734375" bestFit="1" customWidth="1"/>
    <col min="11" max="11" width="9.77734375" customWidth="1"/>
    <col min="12" max="12" width="11.77734375" bestFit="1" customWidth="1"/>
    <col min="13" max="13" width="7.21875" bestFit="1" customWidth="1"/>
    <col min="14" max="14" width="8.77734375" customWidth="1"/>
    <col min="15" max="15" width="6.109375" bestFit="1" customWidth="1"/>
    <col min="16" max="16" width="11.77734375" bestFit="1" customWidth="1"/>
    <col min="17" max="17" width="9.77734375" bestFit="1" customWidth="1"/>
    <col min="18" max="18" width="11" customWidth="1"/>
    <col min="19" max="20" width="9.109375" bestFit="1" customWidth="1"/>
    <col min="21" max="31" width="9.109375" customWidth="1"/>
    <col min="32" max="32" width="12.109375" customWidth="1"/>
    <col min="33" max="33" width="11.88671875" customWidth="1"/>
  </cols>
  <sheetData>
    <row r="1" spans="1:35" ht="14.4" customHeight="1" x14ac:dyDescent="0.35">
      <c r="A1" s="47" t="s">
        <v>90</v>
      </c>
    </row>
    <row r="2" spans="1:35" ht="14.4" x14ac:dyDescent="0.3"/>
    <row r="3" spans="1:35" ht="14.4" x14ac:dyDescent="0.3">
      <c r="A3" s="7" t="s">
        <v>91</v>
      </c>
      <c r="B3" s="7" t="s">
        <v>92</v>
      </c>
      <c r="C3" s="7" t="s">
        <v>3</v>
      </c>
      <c r="D3" s="7" t="s">
        <v>93</v>
      </c>
    </row>
    <row r="4" spans="1:35" ht="14.4" x14ac:dyDescent="0.3">
      <c r="A4" t="s">
        <v>94</v>
      </c>
      <c r="B4">
        <v>995</v>
      </c>
      <c r="C4" s="8">
        <f>B66</f>
        <v>7.4812763960581882E-2</v>
      </c>
      <c r="D4" s="9">
        <f>B4/1000</f>
        <v>0.995</v>
      </c>
    </row>
    <row r="5" spans="1:35" ht="14.4" x14ac:dyDescent="0.3">
      <c r="A5" t="s">
        <v>95</v>
      </c>
      <c r="B5">
        <v>5</v>
      </c>
      <c r="C5" s="8" t="e">
        <f>#REF!</f>
        <v>#REF!</v>
      </c>
      <c r="D5" s="9">
        <f>B5/1000</f>
        <v>5.0000000000000001E-3</v>
      </c>
    </row>
    <row r="6" spans="1:35" ht="18" x14ac:dyDescent="0.35">
      <c r="A6" s="10" t="s">
        <v>96</v>
      </c>
      <c r="B6" s="11" t="e">
        <f>B4/1000*C4+B5/1000*C5</f>
        <v>#REF!</v>
      </c>
      <c r="C6" s="12" t="s">
        <v>97</v>
      </c>
    </row>
    <row r="7" spans="1:35" ht="14.4" x14ac:dyDescent="0.3">
      <c r="A7" t="s">
        <v>13</v>
      </c>
      <c r="B7" t="e">
        <f>D4*SUM(#REF!,#REF!)+D5*SUM(#REF!,#REF!)</f>
        <v>#REF!</v>
      </c>
    </row>
    <row r="8" spans="1:35" ht="14.4" x14ac:dyDescent="0.3">
      <c r="A8" t="s">
        <v>18</v>
      </c>
      <c r="B8" t="e">
        <f>SUM(#REF!)*D4</f>
        <v>#REF!</v>
      </c>
    </row>
    <row r="9" spans="1:35" ht="14.4" x14ac:dyDescent="0.3">
      <c r="A9" t="s">
        <v>20</v>
      </c>
      <c r="B9" t="e">
        <f>SUM(#REF!)*D4</f>
        <v>#REF!</v>
      </c>
      <c r="I9" t="s">
        <v>313</v>
      </c>
      <c r="J9" t="s">
        <v>12</v>
      </c>
    </row>
    <row r="10" spans="1:35" ht="14.4" x14ac:dyDescent="0.3">
      <c r="A10" t="s">
        <v>24</v>
      </c>
      <c r="B10" t="e">
        <f>D5*SUM(#REF!,#REF!,#REF!,#REF!)</f>
        <v>#REF!</v>
      </c>
      <c r="I10" t="s">
        <v>314</v>
      </c>
      <c r="J10" t="s">
        <v>313</v>
      </c>
    </row>
    <row r="11" spans="1:35" ht="14.4" x14ac:dyDescent="0.3">
      <c r="A11" t="s">
        <v>28</v>
      </c>
      <c r="B11" t="e">
        <f>D5*SUM(#REF!,#REF!)</f>
        <v>#REF!</v>
      </c>
      <c r="T11" s="7"/>
    </row>
    <row r="12" spans="1:35" thickBot="1" x14ac:dyDescent="0.35">
      <c r="T12" s="7" t="s">
        <v>317</v>
      </c>
    </row>
    <row r="13" spans="1:35" ht="15" customHeight="1" thickBot="1" x14ac:dyDescent="0.35">
      <c r="F13" s="136" t="s">
        <v>98</v>
      </c>
      <c r="G13" s="137"/>
      <c r="H13" s="137"/>
      <c r="I13" s="137"/>
      <c r="J13" s="137"/>
      <c r="K13" s="137"/>
      <c r="L13" s="137"/>
      <c r="M13" s="194" t="s">
        <v>99</v>
      </c>
      <c r="N13" s="195"/>
      <c r="O13" s="196"/>
      <c r="P13" s="196"/>
      <c r="Q13" s="196"/>
      <c r="R13" s="196"/>
      <c r="S13" s="197"/>
      <c r="T13" s="52" t="s">
        <v>51</v>
      </c>
      <c r="U13" s="221" t="s">
        <v>47</v>
      </c>
      <c r="V13" s="221" t="s">
        <v>44</v>
      </c>
      <c r="W13" s="222" t="s">
        <v>196</v>
      </c>
      <c r="X13" s="52" t="s">
        <v>51</v>
      </c>
      <c r="Y13" s="221" t="s">
        <v>47</v>
      </c>
      <c r="Z13" s="221" t="s">
        <v>44</v>
      </c>
      <c r="AA13" s="222" t="s">
        <v>196</v>
      </c>
      <c r="AB13" s="52" t="s">
        <v>51</v>
      </c>
      <c r="AC13" s="221" t="s">
        <v>47</v>
      </c>
      <c r="AD13" s="221" t="s">
        <v>44</v>
      </c>
      <c r="AE13" s="222" t="s">
        <v>196</v>
      </c>
      <c r="AF13" s="7"/>
      <c r="AG13" s="7"/>
      <c r="AI13" s="7"/>
    </row>
    <row r="14" spans="1:35" ht="14.4" x14ac:dyDescent="0.3">
      <c r="A14" s="13" t="s">
        <v>101</v>
      </c>
      <c r="B14" s="14" t="s">
        <v>100</v>
      </c>
      <c r="C14" s="15" t="s">
        <v>102</v>
      </c>
      <c r="D14" s="16" t="s">
        <v>8</v>
      </c>
      <c r="E14" s="16" t="s">
        <v>103</v>
      </c>
      <c r="F14" s="17" t="s">
        <v>98</v>
      </c>
      <c r="G14" s="17" t="s">
        <v>104</v>
      </c>
      <c r="H14" s="17" t="s">
        <v>105</v>
      </c>
      <c r="I14" s="17" t="s">
        <v>106</v>
      </c>
      <c r="J14" s="179" t="s">
        <v>107</v>
      </c>
      <c r="K14" s="179" t="s">
        <v>318</v>
      </c>
      <c r="L14" s="37" t="s">
        <v>108</v>
      </c>
      <c r="M14" s="249" t="s">
        <v>99</v>
      </c>
      <c r="N14" s="184" t="s">
        <v>104</v>
      </c>
      <c r="O14" s="106" t="s">
        <v>105</v>
      </c>
      <c r="P14" s="40" t="s">
        <v>109</v>
      </c>
      <c r="Q14" s="40" t="s">
        <v>107</v>
      </c>
      <c r="R14" s="179" t="s">
        <v>318</v>
      </c>
      <c r="S14" s="199" t="s">
        <v>110</v>
      </c>
      <c r="T14" s="215" t="s">
        <v>104</v>
      </c>
      <c r="U14" s="184"/>
      <c r="V14" s="184"/>
      <c r="W14" s="216"/>
      <c r="X14" s="215" t="s">
        <v>61</v>
      </c>
      <c r="Y14" s="184"/>
      <c r="Z14" s="184"/>
      <c r="AA14" s="216"/>
      <c r="AB14" s="215" t="s">
        <v>334</v>
      </c>
      <c r="AC14" s="184"/>
      <c r="AD14" s="184"/>
      <c r="AE14" s="216"/>
      <c r="AG14" s="8"/>
    </row>
    <row r="15" spans="1:35" ht="14.4" x14ac:dyDescent="0.3">
      <c r="A15" s="25" t="s">
        <v>85</v>
      </c>
      <c r="B15" s="25">
        <f>VLOOKUP(A15,Library!$B$4:$C$57,2,FALSE)</f>
        <v>292.24</v>
      </c>
      <c r="C15" s="75">
        <f>VLOOKUP(A15,'Mod Wolfe v4'!$F$5:$G$16,2,FALSE)*(1000/'Mod Wolfe v4'!$G$19)</f>
        <v>0.3</v>
      </c>
      <c r="D15" s="26" t="s">
        <v>97</v>
      </c>
      <c r="E15" s="26">
        <f t="shared" ref="E15:E24" si="0">IF(D15="g/L",C15/B15,IF(D15="mg/L",C15/(1000*B15),IF(D15="ug/L",C15/(1000000*B15),"error")))</f>
        <v>1.0265535176567204E-3</v>
      </c>
      <c r="F15" s="25"/>
      <c r="G15" s="25"/>
      <c r="H15" s="25"/>
      <c r="I15" s="25"/>
      <c r="J15" s="178"/>
      <c r="K15" s="183"/>
      <c r="L15" s="28"/>
      <c r="M15" s="86" t="s">
        <v>299</v>
      </c>
      <c r="N15" s="22">
        <v>1</v>
      </c>
      <c r="O15" s="25">
        <f>VLOOKUP(M15,Library!$K$4:$M$36,3,FALSE)</f>
        <v>-2</v>
      </c>
      <c r="P15" s="25">
        <f>E15*N15</f>
        <v>1.0265535176567204E-3</v>
      </c>
      <c r="Q15" s="25">
        <f>IF(M15="N/A",0,VLOOKUP(M15,Library!$K$4:$N$36,2,FALSE))</f>
        <v>292.24380000000002</v>
      </c>
      <c r="R15" s="25">
        <f>P15*(O15^2)</f>
        <v>4.1062140706268815E-3</v>
      </c>
      <c r="S15" s="200">
        <f>P15*Q15</f>
        <v>0.30000390090336709</v>
      </c>
      <c r="T15" s="217">
        <f>VLOOKUP(A15,Library!$B$4:$G$69,3,FALSE)</f>
        <v>10</v>
      </c>
      <c r="U15" s="185">
        <f>VLOOKUP(A15,Library!$B$4:$G$69,4,FALSE)</f>
        <v>2</v>
      </c>
      <c r="V15" s="185">
        <f>VLOOKUP(A15,Library!$B$4:$G$69,5,FALSE)</f>
        <v>0</v>
      </c>
      <c r="W15" s="218">
        <f>VLOOKUP(A15,Library!$B$4:$G$69,6,FALSE)</f>
        <v>0</v>
      </c>
      <c r="X15" s="217">
        <f>T15*E15</f>
        <v>1.0265535176567205E-2</v>
      </c>
      <c r="Y15" s="185">
        <f>U15*E15</f>
        <v>2.0531070353134407E-3</v>
      </c>
      <c r="Z15" s="185">
        <f>V15*E15</f>
        <v>0</v>
      </c>
      <c r="AA15" s="218">
        <f>W15*E15</f>
        <v>0</v>
      </c>
      <c r="AB15" s="217">
        <f>X15*VLOOKUP($AB$13,Library!$T$4:$U$7,2,FALSE)</f>
        <v>0.12328907747057212</v>
      </c>
      <c r="AC15" s="185">
        <f>Y15*VLOOKUP($AC$13,Library!$T$4:$U$7,2,FALSE)</f>
        <v>2.8764029564741306E-2</v>
      </c>
      <c r="AD15" s="185">
        <f>Z15*VLOOKUP($AD$13,Library!$T$4:$U$7,2,FALSE)</f>
        <v>0</v>
      </c>
      <c r="AE15" s="218">
        <f>AA15*VLOOKUP($AE$13,Library!$T$4:$U$7,2,FALSE)</f>
        <v>0</v>
      </c>
      <c r="AG15" s="8"/>
    </row>
    <row r="16" spans="1:35" ht="14.4" x14ac:dyDescent="0.3">
      <c r="A16" s="25" t="s">
        <v>307</v>
      </c>
      <c r="B16" s="25">
        <f>VLOOKUP(A16,Library!$B$4:$C$57,2,FALSE)</f>
        <v>136.09</v>
      </c>
      <c r="C16" s="75">
        <f>VLOOKUP(A16,'Mod Wolfe v4'!$F$5:$G$16,2,FALSE)*(1000/'Mod Wolfe v4'!$G$19)</f>
        <v>0.3</v>
      </c>
      <c r="D16" s="26" t="s">
        <v>97</v>
      </c>
      <c r="E16" s="26">
        <f t="shared" si="0"/>
        <v>2.2044235432434416E-3</v>
      </c>
      <c r="F16" s="25" t="s">
        <v>66</v>
      </c>
      <c r="G16" s="25">
        <v>1</v>
      </c>
      <c r="H16" s="25">
        <f>VLOOKUP(F16,Library!$K$4:$M$36,3,FALSE)</f>
        <v>1</v>
      </c>
      <c r="I16" s="25">
        <f>E16*G16</f>
        <v>2.2044235432434416E-3</v>
      </c>
      <c r="J16" s="178">
        <f>IF(F16="N/A",0,VLOOKUP(F16,Library!$K$4:$M$36,2,FALSE))</f>
        <v>39.093800000000002</v>
      </c>
      <c r="K16" s="183">
        <f>I16*(H16^2)</f>
        <v>2.2044235432434416E-3</v>
      </c>
      <c r="L16" s="28">
        <f>I16*J16</f>
        <v>8.6179293114850467E-2</v>
      </c>
      <c r="M16" s="86" t="s">
        <v>82</v>
      </c>
      <c r="N16" s="22">
        <v>1</v>
      </c>
      <c r="O16" s="25">
        <f>VLOOKUP(M16,Library!$K$4:$M$36,3,FALSE)</f>
        <v>-3</v>
      </c>
      <c r="P16" s="25">
        <f>E16*N16</f>
        <v>2.2044235432434416E-3</v>
      </c>
      <c r="Q16" s="25">
        <f>IF(M16="N/A",0,VLOOKUP(M16,Library!$K$4:$N$36,2,FALSE))</f>
        <v>94.97</v>
      </c>
      <c r="R16" s="25">
        <f>P16*(O16^2)</f>
        <v>1.9839811889190973E-2</v>
      </c>
      <c r="S16" s="200">
        <f>P16*Q16</f>
        <v>0.20935410390182965</v>
      </c>
      <c r="T16" s="217">
        <f>VLOOKUP(A16,Library!$B$4:$G$69,3,FALSE)</f>
        <v>0</v>
      </c>
      <c r="U16" s="185">
        <f>VLOOKUP(A16,Library!$B$4:$G$69,4,FALSE)</f>
        <v>0</v>
      </c>
      <c r="V16" s="185">
        <f>VLOOKUP(A16,Library!$B$4:$G$69,5,FALSE)</f>
        <v>1</v>
      </c>
      <c r="W16" s="218">
        <f>VLOOKUP(A16,Library!$B$4:$G$69,6,FALSE)</f>
        <v>0</v>
      </c>
      <c r="X16" s="217">
        <f>T16*E16</f>
        <v>0</v>
      </c>
      <c r="Y16" s="185">
        <f>U16*E16</f>
        <v>0</v>
      </c>
      <c r="Z16" s="185">
        <f>V16*E16</f>
        <v>2.2044235432434416E-3</v>
      </c>
      <c r="AA16" s="218">
        <f>W16*E16</f>
        <v>0</v>
      </c>
      <c r="AB16" s="217">
        <f>X16*VLOOKUP($AB$13,Library!$T$4:$U$7,2,FALSE)</f>
        <v>0</v>
      </c>
      <c r="AC16" s="185">
        <f>Y16*VLOOKUP($AC$13,Library!$T$4:$U$7,2,FALSE)</f>
        <v>0</v>
      </c>
      <c r="AD16" s="185">
        <f>Z16*VLOOKUP($AD$13,Library!$T$4:$U$7,2,FALSE)</f>
        <v>6.8270997134249389E-2</v>
      </c>
      <c r="AE16" s="218">
        <f>AA16*VLOOKUP($AE$13,Library!$T$4:$U$7,2,FALSE)</f>
        <v>0</v>
      </c>
      <c r="AG16" s="8"/>
    </row>
    <row r="17" spans="1:33" ht="14.4" x14ac:dyDescent="0.3">
      <c r="A17" s="25" t="s">
        <v>308</v>
      </c>
      <c r="B17" s="25">
        <f>VLOOKUP(A17,Library!$B$4:$C$57,2,FALSE)</f>
        <v>174.18</v>
      </c>
      <c r="C17" s="75">
        <f>VLOOKUP(A17,'Mod Wolfe v4'!$F$5:$G$16,2,FALSE)*(1000/'Mod Wolfe v4'!$G$19)</f>
        <v>0.3</v>
      </c>
      <c r="D17" s="26" t="s">
        <v>97</v>
      </c>
      <c r="E17" s="26">
        <f t="shared" si="0"/>
        <v>1.7223561832586977E-3</v>
      </c>
      <c r="F17" s="25" t="s">
        <v>66</v>
      </c>
      <c r="G17" s="25">
        <v>2</v>
      </c>
      <c r="H17" s="25">
        <f>VLOOKUP(F17,Library!$K$4:$M$36,3,FALSE)</f>
        <v>1</v>
      </c>
      <c r="I17" s="25">
        <f t="shared" ref="I17:I37" si="1">E17*G17</f>
        <v>3.4447123665173954E-3</v>
      </c>
      <c r="J17" s="178">
        <f>IF(F17="N/A",0,VLOOKUP(F17,Library!$K$4:$M$36,2,FALSE))</f>
        <v>39.093800000000002</v>
      </c>
      <c r="K17" s="183">
        <f t="shared" ref="K17:K37" si="2">I17*(H17^2)</f>
        <v>3.4447123665173954E-3</v>
      </c>
      <c r="L17" s="28">
        <f t="shared" ref="L17:L37" si="3">I17*J17</f>
        <v>0.13466689631415776</v>
      </c>
      <c r="M17" s="86" t="s">
        <v>82</v>
      </c>
      <c r="N17" s="27">
        <v>1</v>
      </c>
      <c r="O17" s="25">
        <f>VLOOKUP(M17,Library!$K$4:$M$36,3,FALSE)</f>
        <v>-3</v>
      </c>
      <c r="P17" s="25">
        <f t="shared" ref="P17:P37" si="4">E17*N17</f>
        <v>1.7223561832586977E-3</v>
      </c>
      <c r="Q17" s="25">
        <f>IF(M17="N/A",0,VLOOKUP(M17,Library!$K$4:$N$36,2,FALSE))</f>
        <v>94.97</v>
      </c>
      <c r="R17" s="25">
        <f t="shared" ref="R17:R37" si="5">P17*(O17^2)</f>
        <v>1.5501205649328279E-2</v>
      </c>
      <c r="S17" s="200">
        <f t="shared" ref="S17:S37" si="6">P17*Q17</f>
        <v>0.16357216672407851</v>
      </c>
      <c r="T17" s="217">
        <f>VLOOKUP(A17,Library!$B$4:$G$69,3,FALSE)</f>
        <v>0</v>
      </c>
      <c r="U17" s="185">
        <f>VLOOKUP(A17,Library!$B$4:$G$69,4,FALSE)</f>
        <v>0</v>
      </c>
      <c r="V17" s="185">
        <f>VLOOKUP(A17,Library!$B$4:$G$69,5,FALSE)</f>
        <v>1</v>
      </c>
      <c r="W17" s="218">
        <f>VLOOKUP(A17,Library!$B$4:$G$69,6,FALSE)</f>
        <v>0</v>
      </c>
      <c r="X17" s="217">
        <f t="shared" ref="X17:X24" si="7">T17*E17</f>
        <v>0</v>
      </c>
      <c r="Y17" s="185">
        <f t="shared" ref="Y17:Y24" si="8">U17*E17</f>
        <v>0</v>
      </c>
      <c r="Z17" s="185">
        <f t="shared" ref="Z17:Z24" si="9">V17*E17</f>
        <v>1.7223561832586977E-3</v>
      </c>
      <c r="AA17" s="218">
        <f t="shared" ref="AA17:AA24" si="10">W17*E17</f>
        <v>0</v>
      </c>
      <c r="AB17" s="217">
        <f>X17*VLOOKUP($AB$13,Library!$T$4:$U$7,2,FALSE)</f>
        <v>0</v>
      </c>
      <c r="AC17" s="185">
        <f>Y17*VLOOKUP($AC$13,Library!$T$4:$U$7,2,FALSE)</f>
        <v>0</v>
      </c>
      <c r="AD17" s="185">
        <f>Z17*VLOOKUP($AD$13,Library!$T$4:$U$7,2,FALSE)</f>
        <v>5.3341370995521865E-2</v>
      </c>
      <c r="AE17" s="218">
        <f>AA17*VLOOKUP($AE$13,Library!$T$4:$U$7,2,FALSE)</f>
        <v>0</v>
      </c>
      <c r="AG17" s="8"/>
    </row>
    <row r="18" spans="1:33" ht="14.4" x14ac:dyDescent="0.3">
      <c r="A18" s="25" t="s">
        <v>21</v>
      </c>
      <c r="B18" s="25">
        <f>VLOOKUP(A18,Library!$B$4:$C$57,2,FALSE)</f>
        <v>53.49</v>
      </c>
      <c r="C18" s="75">
        <f>VLOOKUP(A18,'Mod Wolfe v4'!$F$5:$G$16,2,FALSE)*(1000/'Mod Wolfe v4'!$G$19)</f>
        <v>1</v>
      </c>
      <c r="D18" s="26" t="s">
        <v>97</v>
      </c>
      <c r="E18" s="26">
        <f t="shared" si="0"/>
        <v>1.8695083193120209E-2</v>
      </c>
      <c r="F18" s="25" t="s">
        <v>78</v>
      </c>
      <c r="G18" s="25">
        <v>1</v>
      </c>
      <c r="H18" s="25">
        <f>VLOOKUP(F18,Library!$K$4:$M$36,3,FALSE)</f>
        <v>1</v>
      </c>
      <c r="I18" s="25">
        <f t="shared" si="1"/>
        <v>1.8695083193120209E-2</v>
      </c>
      <c r="J18" s="178">
        <f>IF(F18="N/A",0,VLOOKUP(F18,Library!$K$4:$M$36,2,FALSE))</f>
        <v>18.04</v>
      </c>
      <c r="K18" s="183">
        <f t="shared" si="2"/>
        <v>1.8695083193120209E-2</v>
      </c>
      <c r="L18" s="28">
        <f t="shared" si="3"/>
        <v>0.33725930080388855</v>
      </c>
      <c r="M18" s="86" t="s">
        <v>70</v>
      </c>
      <c r="N18" s="27">
        <v>1</v>
      </c>
      <c r="O18" s="25">
        <f>VLOOKUP(M18,Library!$K$4:$M$36,3,FALSE)</f>
        <v>-1</v>
      </c>
      <c r="P18" s="25">
        <f t="shared" si="4"/>
        <v>1.8695083193120209E-2</v>
      </c>
      <c r="Q18" s="25">
        <f>IF(M18="N/A",0,VLOOKUP(M18,Library!$K$4:$N$36,2,FALSE))</f>
        <v>35.453000000000003</v>
      </c>
      <c r="R18" s="25">
        <f t="shared" si="5"/>
        <v>1.8695083193120209E-2</v>
      </c>
      <c r="S18" s="200">
        <f t="shared" si="6"/>
        <v>0.66279678444569079</v>
      </c>
      <c r="T18" s="217">
        <f>VLOOKUP(A18,Library!$B$4:$G$69,3,FALSE)</f>
        <v>0</v>
      </c>
      <c r="U18" s="185">
        <f>VLOOKUP(A18,Library!$B$4:$G$69,4,FALSE)</f>
        <v>1</v>
      </c>
      <c r="V18" s="185">
        <f>VLOOKUP(A18,Library!$B$4:$G$69,5,FALSE)</f>
        <v>0</v>
      </c>
      <c r="W18" s="218">
        <f>VLOOKUP(A18,Library!$B$4:$G$69,6,FALSE)</f>
        <v>0</v>
      </c>
      <c r="X18" s="217">
        <f t="shared" si="7"/>
        <v>0</v>
      </c>
      <c r="Y18" s="185">
        <f t="shared" si="8"/>
        <v>1.8695083193120209E-2</v>
      </c>
      <c r="Z18" s="185">
        <f t="shared" si="9"/>
        <v>0</v>
      </c>
      <c r="AA18" s="218">
        <f t="shared" si="10"/>
        <v>0</v>
      </c>
      <c r="AB18" s="217">
        <f>X18*VLOOKUP($AB$13,Library!$T$4:$U$7,2,FALSE)</f>
        <v>0</v>
      </c>
      <c r="AC18" s="185">
        <f>Y18*VLOOKUP($AC$13,Library!$T$4:$U$7,2,FALSE)</f>
        <v>0.26191811553561412</v>
      </c>
      <c r="AD18" s="185">
        <f>Z18*VLOOKUP($AD$13,Library!$T$4:$U$7,2,FALSE)</f>
        <v>0</v>
      </c>
      <c r="AE18" s="218">
        <f>AA18*VLOOKUP($AE$13,Library!$T$4:$U$7,2,FALSE)</f>
        <v>0</v>
      </c>
      <c r="AG18" s="8"/>
    </row>
    <row r="19" spans="1:33" ht="14.4" x14ac:dyDescent="0.3">
      <c r="A19" s="25" t="s">
        <v>25</v>
      </c>
      <c r="B19" s="25">
        <f>VLOOKUP(A19,Library!$B$4:$C$57,2,FALSE)</f>
        <v>203.3</v>
      </c>
      <c r="C19" s="75">
        <f>VLOOKUP(A19,'Mod Wolfe v4'!$F$5:$G$16,2,FALSE)*(1000/'Mod Wolfe v4'!$G$19)</f>
        <v>0.16</v>
      </c>
      <c r="D19" s="26" t="s">
        <v>97</v>
      </c>
      <c r="E19" s="26">
        <f t="shared" si="0"/>
        <v>7.8701426463354646E-4</v>
      </c>
      <c r="F19" s="25" t="s">
        <v>64</v>
      </c>
      <c r="G19" s="25">
        <v>1</v>
      </c>
      <c r="H19" s="25">
        <f>VLOOKUP(F19,Library!$K$4:$M$36,3,FALSE)</f>
        <v>2</v>
      </c>
      <c r="I19" s="25">
        <f t="shared" si="1"/>
        <v>7.8701426463354646E-4</v>
      </c>
      <c r="J19" s="178">
        <f>IF(F19="N/A",0,VLOOKUP(F19,Library!$K$4:$M$36,2,FALSE))</f>
        <v>24.305</v>
      </c>
      <c r="K19" s="183">
        <f t="shared" si="2"/>
        <v>3.1480570585341859E-3</v>
      </c>
      <c r="L19" s="28">
        <f t="shared" si="3"/>
        <v>1.9128381701918346E-2</v>
      </c>
      <c r="M19" s="86" t="s">
        <v>70</v>
      </c>
      <c r="N19" s="27">
        <v>2</v>
      </c>
      <c r="O19" s="25">
        <f>VLOOKUP(M19,Library!$K$4:$M$36,3,FALSE)</f>
        <v>-1</v>
      </c>
      <c r="P19" s="25">
        <f t="shared" si="4"/>
        <v>1.5740285292670929E-3</v>
      </c>
      <c r="Q19" s="25">
        <f>IF(M19="N/A",0,VLOOKUP(M19,Library!$K$4:$N$36,2,FALSE))</f>
        <v>35.453000000000003</v>
      </c>
      <c r="R19" s="25">
        <f t="shared" si="5"/>
        <v>1.5740285292670929E-3</v>
      </c>
      <c r="S19" s="200">
        <f t="shared" si="6"/>
        <v>5.5804033448106249E-2</v>
      </c>
      <c r="T19" s="217">
        <f>VLOOKUP(A19,Library!$B$4:$G$69,3,FALSE)</f>
        <v>0</v>
      </c>
      <c r="U19" s="185">
        <f>VLOOKUP(A19,Library!$B$4:$G$69,4,FALSE)</f>
        <v>0</v>
      </c>
      <c r="V19" s="185">
        <f>VLOOKUP(A19,Library!$B$4:$G$69,5,FALSE)</f>
        <v>0</v>
      </c>
      <c r="W19" s="218">
        <f>VLOOKUP(A19,Library!$B$4:$G$69,6,FALSE)</f>
        <v>0</v>
      </c>
      <c r="X19" s="217">
        <f t="shared" si="7"/>
        <v>0</v>
      </c>
      <c r="Y19" s="185">
        <f t="shared" si="8"/>
        <v>0</v>
      </c>
      <c r="Z19" s="185">
        <f t="shared" si="9"/>
        <v>0</v>
      </c>
      <c r="AA19" s="218">
        <f t="shared" si="10"/>
        <v>0</v>
      </c>
      <c r="AB19" s="217">
        <f>X19*VLOOKUP($AB$13,Library!$T$4:$U$7,2,FALSE)</f>
        <v>0</v>
      </c>
      <c r="AC19" s="185">
        <f>Y19*VLOOKUP($AC$13,Library!$T$4:$U$7,2,FALSE)</f>
        <v>0</v>
      </c>
      <c r="AD19" s="185">
        <f>Z19*VLOOKUP($AD$13,Library!$T$4:$U$7,2,FALSE)</f>
        <v>0</v>
      </c>
      <c r="AE19" s="218">
        <f>AA19*VLOOKUP($AE$13,Library!$T$4:$U$7,2,FALSE)</f>
        <v>0</v>
      </c>
      <c r="AG19" s="8"/>
    </row>
    <row r="20" spans="1:33" ht="14.4" x14ac:dyDescent="0.3">
      <c r="A20" s="25" t="s">
        <v>29</v>
      </c>
      <c r="B20" s="25">
        <f>VLOOKUP(A20,Library!$B$4:$C$57,2,FALSE)</f>
        <v>147.01</v>
      </c>
      <c r="C20" s="75">
        <f>VLOOKUP(A20,'Mod Wolfe v4'!$F$5:$G$16,2,FALSE)*(1000/'Mod Wolfe v4'!$G$19)</f>
        <v>8.9999999999999993E-3</v>
      </c>
      <c r="D20" s="26" t="s">
        <v>97</v>
      </c>
      <c r="E20" s="26">
        <f t="shared" si="0"/>
        <v>6.122032514794912E-5</v>
      </c>
      <c r="F20" s="25" t="s">
        <v>65</v>
      </c>
      <c r="G20" s="25">
        <v>1</v>
      </c>
      <c r="H20" s="25">
        <f>VLOOKUP(F20,Library!$K$4:$M$36,3,FALSE)</f>
        <v>2</v>
      </c>
      <c r="I20" s="25">
        <f t="shared" si="1"/>
        <v>6.122032514794912E-5</v>
      </c>
      <c r="J20" s="178">
        <f>IF(F20="N/A",0,VLOOKUP(F20,Library!$K$4:$M$36,2,FALSE))</f>
        <v>40.078000000000003</v>
      </c>
      <c r="K20" s="183">
        <f t="shared" si="2"/>
        <v>2.4488130059179648E-4</v>
      </c>
      <c r="L20" s="28">
        <f t="shared" si="3"/>
        <v>2.4535881912795049E-3</v>
      </c>
      <c r="M20" s="86" t="s">
        <v>70</v>
      </c>
      <c r="N20" s="27">
        <v>2</v>
      </c>
      <c r="O20" s="25">
        <f>VLOOKUP(M20,Library!$K$4:$M$36,3,FALSE)</f>
        <v>-1</v>
      </c>
      <c r="P20" s="25">
        <f t="shared" si="4"/>
        <v>1.2244065029589824E-4</v>
      </c>
      <c r="Q20" s="25">
        <f>IF(M20="N/A",0,VLOOKUP(M20,Library!$K$4:$N$36,2,FALSE))</f>
        <v>35.453000000000003</v>
      </c>
      <c r="R20" s="25">
        <f t="shared" si="5"/>
        <v>1.2244065029589824E-4</v>
      </c>
      <c r="S20" s="200">
        <f t="shared" si="6"/>
        <v>4.3408883749404808E-3</v>
      </c>
      <c r="T20" s="217">
        <f>VLOOKUP(A20,Library!$B$4:$G$69,3,FALSE)</f>
        <v>0</v>
      </c>
      <c r="U20" s="185">
        <f>VLOOKUP(A20,Library!$B$4:$G$69,4,FALSE)</f>
        <v>0</v>
      </c>
      <c r="V20" s="185">
        <f>VLOOKUP(A20,Library!$B$4:$G$69,5,FALSE)</f>
        <v>0</v>
      </c>
      <c r="W20" s="218">
        <f>VLOOKUP(A20,Library!$B$4:$G$69,6,FALSE)</f>
        <v>0</v>
      </c>
      <c r="X20" s="217">
        <f t="shared" si="7"/>
        <v>0</v>
      </c>
      <c r="Y20" s="185">
        <f t="shared" si="8"/>
        <v>0</v>
      </c>
      <c r="Z20" s="185">
        <f t="shared" si="9"/>
        <v>0</v>
      </c>
      <c r="AA20" s="218">
        <f t="shared" si="10"/>
        <v>0</v>
      </c>
      <c r="AB20" s="217">
        <f>X20*VLOOKUP($AB$13,Library!$T$4:$U$7,2,FALSE)</f>
        <v>0</v>
      </c>
      <c r="AC20" s="185">
        <f>Y20*VLOOKUP($AC$13,Library!$T$4:$U$7,2,FALSE)</f>
        <v>0</v>
      </c>
      <c r="AD20" s="185">
        <f>Z20*VLOOKUP($AD$13,Library!$T$4:$U$7,2,FALSE)</f>
        <v>0</v>
      </c>
      <c r="AE20" s="218">
        <f>AA20*VLOOKUP($AE$13,Library!$T$4:$U$7,2,FALSE)</f>
        <v>0</v>
      </c>
      <c r="AG20" s="8"/>
    </row>
    <row r="21" spans="1:33" ht="14.4" x14ac:dyDescent="0.3">
      <c r="A21" s="25" t="s">
        <v>33</v>
      </c>
      <c r="B21" s="25">
        <f>VLOOKUP(A21,Library!$B$4:$C$57,2,FALSE)</f>
        <v>58.44</v>
      </c>
      <c r="C21" s="75">
        <f>VLOOKUP(A21,'Mod Wolfe v4'!$F$5:$G$16,2,FALSE)*(1000/'Mod Wolfe v4'!$G$19)</f>
        <v>0.6</v>
      </c>
      <c r="D21" s="26" t="s">
        <v>97</v>
      </c>
      <c r="E21" s="26">
        <f t="shared" si="0"/>
        <v>1.0266940451745379E-2</v>
      </c>
      <c r="F21" s="25" t="s">
        <v>63</v>
      </c>
      <c r="G21" s="25">
        <v>1</v>
      </c>
      <c r="H21" s="25">
        <f>VLOOKUP(F21,Library!$K$4:$M$36,3,FALSE)</f>
        <v>1</v>
      </c>
      <c r="I21" s="25">
        <f t="shared" si="1"/>
        <v>1.0266940451745379E-2</v>
      </c>
      <c r="J21" s="178">
        <f>IF(F21="N/A",0,VLOOKUP(F21,Library!$K$4:$M$36,2,FALSE))</f>
        <v>28.989768999999999</v>
      </c>
      <c r="K21" s="183">
        <f t="shared" si="2"/>
        <v>1.0266940451745379E-2</v>
      </c>
      <c r="L21" s="28">
        <f t="shared" si="3"/>
        <v>0.29763623203285416</v>
      </c>
      <c r="M21" s="86" t="s">
        <v>70</v>
      </c>
      <c r="N21" s="27">
        <v>1</v>
      </c>
      <c r="O21" s="25">
        <f>VLOOKUP(M21,Library!$K$4:$M$36,3,FALSE)</f>
        <v>-1</v>
      </c>
      <c r="P21" s="25">
        <f t="shared" si="4"/>
        <v>1.0266940451745379E-2</v>
      </c>
      <c r="Q21" s="25">
        <f>IF(M21="N/A",0,VLOOKUP(M21,Library!$K$4:$N$36,2,FALSE))</f>
        <v>35.453000000000003</v>
      </c>
      <c r="R21" s="25">
        <f t="shared" si="5"/>
        <v>1.0266940451745379E-2</v>
      </c>
      <c r="S21" s="200">
        <f t="shared" si="6"/>
        <v>0.36399383983572897</v>
      </c>
      <c r="T21" s="217">
        <f>VLOOKUP(A21,Library!$B$4:$G$69,3,FALSE)</f>
        <v>0</v>
      </c>
      <c r="U21" s="185">
        <f>VLOOKUP(A21,Library!$B$4:$G$69,4,FALSE)</f>
        <v>0</v>
      </c>
      <c r="V21" s="185">
        <f>VLOOKUP(A21,Library!$B$4:$G$69,5,FALSE)</f>
        <v>0</v>
      </c>
      <c r="W21" s="218">
        <f>VLOOKUP(A21,Library!$B$4:$G$69,6,FALSE)</f>
        <v>0</v>
      </c>
      <c r="X21" s="217">
        <f t="shared" si="7"/>
        <v>0</v>
      </c>
      <c r="Y21" s="185">
        <f t="shared" si="8"/>
        <v>0</v>
      </c>
      <c r="Z21" s="185">
        <f t="shared" si="9"/>
        <v>0</v>
      </c>
      <c r="AA21" s="218">
        <f t="shared" si="10"/>
        <v>0</v>
      </c>
      <c r="AB21" s="217">
        <f>X21*VLOOKUP($AB$13,Library!$T$4:$U$7,2,FALSE)</f>
        <v>0</v>
      </c>
      <c r="AC21" s="185">
        <f>Y21*VLOOKUP($AC$13,Library!$T$4:$U$7,2,FALSE)</f>
        <v>0</v>
      </c>
      <c r="AD21" s="185">
        <f>Z21*VLOOKUP($AD$13,Library!$T$4:$U$7,2,FALSE)</f>
        <v>0</v>
      </c>
      <c r="AE21" s="218">
        <f>AA21*VLOOKUP($AE$13,Library!$T$4:$U$7,2,FALSE)</f>
        <v>0</v>
      </c>
      <c r="AG21" s="8"/>
    </row>
    <row r="22" spans="1:33" ht="14.4" x14ac:dyDescent="0.3">
      <c r="A22" s="25" t="s">
        <v>52</v>
      </c>
      <c r="B22" s="25">
        <f>VLOOKUP(A22,Library!$B$4:$C$57,2,FALSE)</f>
        <v>84.01</v>
      </c>
      <c r="C22" s="75">
        <f>VLOOKUP(A22,'Mod Wolfe v4'!$F$5:$G$16,2,FALSE)*(1000/'Mod Wolfe v4'!$G$19)</f>
        <v>0</v>
      </c>
      <c r="D22" s="26" t="s">
        <v>97</v>
      </c>
      <c r="E22" s="26">
        <f t="shared" si="0"/>
        <v>0</v>
      </c>
      <c r="F22" s="25" t="s">
        <v>63</v>
      </c>
      <c r="G22" s="25">
        <v>1</v>
      </c>
      <c r="H22" s="25">
        <f>VLOOKUP(F22,Library!$K$4:$M$36,3,FALSE)</f>
        <v>1</v>
      </c>
      <c r="I22" s="25">
        <f t="shared" si="1"/>
        <v>0</v>
      </c>
      <c r="J22" s="178">
        <f>IF(F22="N/A",0,VLOOKUP(F22,Library!$K$4:$M$36,2,FALSE))</f>
        <v>28.989768999999999</v>
      </c>
      <c r="K22" s="183">
        <f t="shared" si="2"/>
        <v>0</v>
      </c>
      <c r="L22" s="28">
        <f t="shared" si="3"/>
        <v>0</v>
      </c>
      <c r="M22" s="86" t="s">
        <v>67</v>
      </c>
      <c r="N22" s="27">
        <v>1</v>
      </c>
      <c r="O22" s="25">
        <f>VLOOKUP(M22,Library!$K$4:$M$36,3,FALSE)</f>
        <v>-1</v>
      </c>
      <c r="P22" s="25">
        <f t="shared" si="4"/>
        <v>0</v>
      </c>
      <c r="Q22" s="25">
        <f>IF(M22="N/A",0,VLOOKUP(M22,Library!$K$4:$N$36,2,FALSE))</f>
        <v>61.016800000000003</v>
      </c>
      <c r="R22" s="25">
        <f t="shared" si="5"/>
        <v>0</v>
      </c>
      <c r="S22" s="200">
        <f t="shared" si="6"/>
        <v>0</v>
      </c>
      <c r="T22" s="217">
        <f>VLOOKUP(A22,Library!$B$4:$G$69,3,FALSE)</f>
        <v>1</v>
      </c>
      <c r="U22" s="185">
        <f>VLOOKUP(A22,Library!$B$4:$G$69,4,FALSE)</f>
        <v>0</v>
      </c>
      <c r="V22" s="185">
        <f>VLOOKUP(A22,Library!$B$4:$G$69,5,FALSE)</f>
        <v>0</v>
      </c>
      <c r="W22" s="218">
        <f>VLOOKUP(A22,Library!$B$4:$G$69,6,FALSE)</f>
        <v>0</v>
      </c>
      <c r="X22" s="217">
        <f t="shared" si="7"/>
        <v>0</v>
      </c>
      <c r="Y22" s="185">
        <f t="shared" si="8"/>
        <v>0</v>
      </c>
      <c r="Z22" s="185">
        <f t="shared" si="9"/>
        <v>0</v>
      </c>
      <c r="AA22" s="218">
        <f t="shared" si="10"/>
        <v>0</v>
      </c>
      <c r="AB22" s="217">
        <f>X22*VLOOKUP($AB$13,Library!$T$4:$U$7,2,FALSE)</f>
        <v>0</v>
      </c>
      <c r="AC22" s="185">
        <f>Y22*VLOOKUP($AC$13,Library!$T$4:$U$7,2,FALSE)</f>
        <v>0</v>
      </c>
      <c r="AD22" s="185">
        <f>Z22*VLOOKUP($AD$13,Library!$T$4:$U$7,2,FALSE)</f>
        <v>0</v>
      </c>
      <c r="AE22" s="218">
        <f>AA22*VLOOKUP($AE$13,Library!$T$4:$U$7,2,FALSE)</f>
        <v>0</v>
      </c>
      <c r="AG22" s="8"/>
    </row>
    <row r="23" spans="1:33" ht="14.4" x14ac:dyDescent="0.3">
      <c r="A23" s="86" t="s">
        <v>298</v>
      </c>
      <c r="B23" s="25">
        <f>VLOOKUP(A23,Library!$B$4:$C$57,2,FALSE)</f>
        <v>240.18</v>
      </c>
      <c r="C23" s="75">
        <f>VLOOKUP(A23,'Mod Wolfe v4'!$I$20:$J$21,2,FALSE)*('Mod Wolfe v4'!$G$12/'Mod Wolfe v4'!$G$19)</f>
        <v>0.08</v>
      </c>
      <c r="D23" s="26" t="s">
        <v>97</v>
      </c>
      <c r="E23" s="26">
        <f t="shared" si="0"/>
        <v>3.330835206928137E-4</v>
      </c>
      <c r="F23" s="25" t="s">
        <v>63</v>
      </c>
      <c r="G23" s="25">
        <v>2</v>
      </c>
      <c r="H23" s="25">
        <f>VLOOKUP(F23,Library!$K$4:$M$36,3,FALSE)</f>
        <v>1</v>
      </c>
      <c r="I23" s="25">
        <f t="shared" si="1"/>
        <v>6.6616704138562741E-4</v>
      </c>
      <c r="J23" s="178">
        <f>IF(F23="N/A",0,VLOOKUP(F23,Library!$K$4:$M$36,2,FALSE))</f>
        <v>28.989768999999999</v>
      </c>
      <c r="K23" s="183">
        <f t="shared" si="2"/>
        <v>6.6616704138562741E-4</v>
      </c>
      <c r="L23" s="28">
        <f t="shared" si="3"/>
        <v>1.9312028645182777E-2</v>
      </c>
      <c r="M23" s="86" t="s">
        <v>84</v>
      </c>
      <c r="N23" s="27">
        <v>1</v>
      </c>
      <c r="O23" s="25">
        <f>VLOOKUP(M23,Library!$K$4:$M$36,3,FALSE)</f>
        <v>-2</v>
      </c>
      <c r="P23" s="25">
        <f t="shared" si="4"/>
        <v>3.330835206928137E-4</v>
      </c>
      <c r="Q23" s="25">
        <f>IF(M23="N/A",0,VLOOKUP(M23,Library!$K$4:$N$36,2,FALSE))</f>
        <v>32.064999999999998</v>
      </c>
      <c r="R23" s="25">
        <f t="shared" si="5"/>
        <v>1.3323340827712548E-3</v>
      </c>
      <c r="S23" s="200">
        <f t="shared" si="6"/>
        <v>1.0680323091015071E-2</v>
      </c>
      <c r="T23" s="217">
        <f>VLOOKUP(A23,Library!$B$4:$G$69,3,FALSE)</f>
        <v>0</v>
      </c>
      <c r="U23" s="185">
        <f>VLOOKUP(A23,Library!$B$4:$G$69,4,FALSE)</f>
        <v>0</v>
      </c>
      <c r="V23" s="185">
        <f>VLOOKUP(A23,Library!$B$4:$G$69,5,FALSE)</f>
        <v>0</v>
      </c>
      <c r="W23" s="218">
        <f>VLOOKUP(A23,Library!$B$4:$G$69,6,FALSE)</f>
        <v>1</v>
      </c>
      <c r="X23" s="217">
        <f t="shared" si="7"/>
        <v>0</v>
      </c>
      <c r="Y23" s="185">
        <f t="shared" si="8"/>
        <v>0</v>
      </c>
      <c r="Z23" s="185">
        <f t="shared" si="9"/>
        <v>0</v>
      </c>
      <c r="AA23" s="218">
        <f t="shared" si="10"/>
        <v>3.330835206928137E-4</v>
      </c>
      <c r="AB23" s="217">
        <f>X23*VLOOKUP($AB$13,Library!$T$4:$U$7,2,FALSE)</f>
        <v>0</v>
      </c>
      <c r="AC23" s="185">
        <f>Y23*VLOOKUP($AC$13,Library!$T$4:$U$7,2,FALSE)</f>
        <v>0</v>
      </c>
      <c r="AD23" s="185">
        <f>Z23*VLOOKUP($AD$13,Library!$T$4:$U$7,2,FALSE)</f>
        <v>0</v>
      </c>
      <c r="AE23" s="218">
        <f>AA23*VLOOKUP($AE$13,Library!$T$4:$U$7,2,FALSE)</f>
        <v>1.0681988508618536E-2</v>
      </c>
      <c r="AG23" s="8"/>
    </row>
    <row r="24" spans="1:33" ht="14.4" x14ac:dyDescent="0.3">
      <c r="A24" s="86" t="s">
        <v>195</v>
      </c>
      <c r="B24" s="25">
        <f>VLOOKUP(A24,Library!$B$4:$C$57,2,FALSE)</f>
        <v>175.63</v>
      </c>
      <c r="C24" s="75">
        <f>VLOOKUP(A24,'Mod Wolfe v4'!$I$26:$J$28,2,FALSE)*('Mod Wolfe v4'!$J$26/'Mod Wolfe v4'!$J$28)*('Mod Wolfe v4'!$G$13/'Mod Wolfe v4'!$G$19)</f>
        <v>1.8511753500000002E-2</v>
      </c>
      <c r="D24" s="26" t="s">
        <v>97</v>
      </c>
      <c r="E24" s="26">
        <f t="shared" si="0"/>
        <v>1.0540200136650915E-4</v>
      </c>
      <c r="F24" s="25" t="s">
        <v>339</v>
      </c>
      <c r="G24" s="25">
        <v>1</v>
      </c>
      <c r="H24" s="25">
        <v>1</v>
      </c>
      <c r="I24" s="25">
        <f t="shared" si="1"/>
        <v>1.0540200136650915E-4</v>
      </c>
      <c r="J24" s="178">
        <f>IF(F24="N/A",0,VLOOKUP(F24,Library!$K$4:$M$36,2,FALSE))</f>
        <v>1.0078400000000001</v>
      </c>
      <c r="K24" s="183">
        <f t="shared" si="2"/>
        <v>1.0540200136650915E-4</v>
      </c>
      <c r="L24" s="28"/>
      <c r="M24" s="86" t="s">
        <v>70</v>
      </c>
      <c r="N24" s="27">
        <v>1</v>
      </c>
      <c r="O24" s="25">
        <f>VLOOKUP(M24,Library!$K$4:$M$36,3,FALSE)</f>
        <v>-1</v>
      </c>
      <c r="P24" s="25">
        <f t="shared" si="4"/>
        <v>1.0540200136650915E-4</v>
      </c>
      <c r="Q24" s="25">
        <f>IF(M24="N/A",0,VLOOKUP(M24,Library!$K$4:$N$36,2,FALSE))</f>
        <v>35.453000000000003</v>
      </c>
      <c r="R24" s="25">
        <f t="shared" si="5"/>
        <v>1.0540200136650915E-4</v>
      </c>
      <c r="S24" s="200">
        <f t="shared" si="6"/>
        <v>3.7368171544468493E-3</v>
      </c>
      <c r="T24" s="217">
        <f>VLOOKUP(A24,Library!$B$4:$G$69,3,FALSE)</f>
        <v>3</v>
      </c>
      <c r="U24" s="185">
        <f>VLOOKUP(A24,Library!$B$4:$G$69,4,FALSE)</f>
        <v>1</v>
      </c>
      <c r="V24" s="185">
        <f>VLOOKUP(A24,Library!$B$4:$G$69,5,FALSE)</f>
        <v>0</v>
      </c>
      <c r="W24" s="218">
        <f>VLOOKUP(A24,Library!$B$4:$G$69,6,FALSE)</f>
        <v>1</v>
      </c>
      <c r="X24" s="217">
        <f t="shared" si="7"/>
        <v>3.1620600409952744E-4</v>
      </c>
      <c r="Y24" s="185">
        <f t="shared" si="8"/>
        <v>1.0540200136650915E-4</v>
      </c>
      <c r="Z24" s="185">
        <f t="shared" si="9"/>
        <v>0</v>
      </c>
      <c r="AA24" s="218">
        <f t="shared" si="10"/>
        <v>1.0540200136650915E-4</v>
      </c>
      <c r="AB24" s="217">
        <f>X24*VLOOKUP($AB$13,Library!$T$4:$U$7,2,FALSE)</f>
        <v>3.7976341092353246E-3</v>
      </c>
      <c r="AC24" s="185">
        <f>Y24*VLOOKUP($AC$13,Library!$T$4:$U$7,2,FALSE)</f>
        <v>1.4766820391447931E-3</v>
      </c>
      <c r="AD24" s="185">
        <f>Z24*VLOOKUP($AD$13,Library!$T$4:$U$7,2,FALSE)</f>
        <v>0</v>
      </c>
      <c r="AE24" s="218">
        <f>AA24*VLOOKUP($AE$13,Library!$T$4:$U$7,2,FALSE)</f>
        <v>3.3802421838239486E-3</v>
      </c>
      <c r="AG24" s="8"/>
    </row>
    <row r="25" spans="1:33" ht="14.4" x14ac:dyDescent="0.3">
      <c r="A25" s="20" t="s">
        <v>2</v>
      </c>
      <c r="B25" s="234"/>
      <c r="C25" s="235"/>
      <c r="D25" s="235"/>
      <c r="E25" s="235"/>
      <c r="F25" s="234"/>
      <c r="G25" s="234"/>
      <c r="H25" s="234"/>
      <c r="I25" s="234"/>
      <c r="J25" s="236"/>
      <c r="K25" s="237"/>
      <c r="L25" s="238"/>
      <c r="M25" s="239"/>
      <c r="N25" s="234"/>
      <c r="O25" s="234"/>
      <c r="P25" s="234"/>
      <c r="Q25" s="234" t="e">
        <f>IF(M25="N/A",0,VLOOKUP(M25,Library!$K$4:$N$36,2,FALSE))</f>
        <v>#N/A</v>
      </c>
      <c r="R25" s="234"/>
      <c r="S25" s="240"/>
      <c r="T25" s="241"/>
      <c r="U25" s="242"/>
      <c r="V25" s="242"/>
      <c r="W25" s="243"/>
      <c r="X25" s="241"/>
      <c r="Y25" s="242"/>
      <c r="Z25" s="242"/>
      <c r="AA25" s="243"/>
      <c r="AB25" s="241"/>
      <c r="AC25" s="242"/>
      <c r="AD25" s="242"/>
      <c r="AE25" s="243"/>
      <c r="AG25" s="8"/>
    </row>
    <row r="26" spans="1:33" ht="14.4" x14ac:dyDescent="0.3">
      <c r="A26" s="25" t="s">
        <v>312</v>
      </c>
      <c r="B26" s="25">
        <f>VLOOKUP(A26,Library!$B$4:$C$57,2,FALSE)</f>
        <v>191.14</v>
      </c>
      <c r="C26" s="177">
        <f>VLOOKUP(A26,'Mod Wolfe v4'!$L$4:$M$14,2, FALSE)*'Mod Wolfe v4'!$G$14/'Mod Wolfe v4'!$G$19*1000</f>
        <v>11.15</v>
      </c>
      <c r="D26" s="26" t="s">
        <v>16</v>
      </c>
      <c r="E26" s="26">
        <f t="shared" ref="E26:E48" si="11">IF(D26="g/L",C26/B26,IF(D26="mg/L",C26/(1000*B26),IF(D26="ug/L",C26/(1000000*B26),"error")))</f>
        <v>5.8334205294548499E-5</v>
      </c>
      <c r="F26" s="25" t="s">
        <v>63</v>
      </c>
      <c r="G26" s="25">
        <v>3</v>
      </c>
      <c r="H26" s="25">
        <f>VLOOKUP(F26,Library!$K$4:$M$36,3,FALSE)</f>
        <v>1</v>
      </c>
      <c r="I26" s="25">
        <f t="shared" si="1"/>
        <v>1.7500261588364549E-4</v>
      </c>
      <c r="J26" s="178">
        <f>IF(F26="N/A",0,VLOOKUP(F26,Library!$K$4:$M$36,2,FALSE))</f>
        <v>28.989768999999999</v>
      </c>
      <c r="K26" s="183">
        <f t="shared" si="2"/>
        <v>1.7500261588364549E-4</v>
      </c>
      <c r="L26" s="28">
        <f t="shared" si="3"/>
        <v>5.0732854088626133E-3</v>
      </c>
      <c r="M26" s="86" t="s">
        <v>111</v>
      </c>
      <c r="N26" s="27">
        <v>1</v>
      </c>
      <c r="O26" s="25">
        <f>VLOOKUP(M26,Library!$K$4:$M$36,3,FALSE)</f>
        <v>-3</v>
      </c>
      <c r="P26" s="25">
        <f t="shared" si="4"/>
        <v>5.8334205294548499E-5</v>
      </c>
      <c r="Q26" s="25">
        <f>IF(M26="N/A",0,VLOOKUP(M26,Library!$K$4:$N$36,2,FALSE))</f>
        <v>191.14</v>
      </c>
      <c r="R26" s="25">
        <f t="shared" si="5"/>
        <v>5.250078476509365E-4</v>
      </c>
      <c r="S26" s="200">
        <f t="shared" si="6"/>
        <v>1.115E-2</v>
      </c>
      <c r="T26" s="217">
        <f>VLOOKUP(A26,Library!$B$4:$G$69,3,FALSE)</f>
        <v>6</v>
      </c>
      <c r="U26" s="185">
        <f>VLOOKUP(A26,Library!$B$4:$G$69,4,FALSE)</f>
        <v>1</v>
      </c>
      <c r="V26" s="185">
        <f>VLOOKUP(A26,Library!$B$4:$G$69,5,FALSE)</f>
        <v>0</v>
      </c>
      <c r="W26" s="218">
        <f>VLOOKUP(A26,Library!$B$4:$G$69,6,FALSE)</f>
        <v>0</v>
      </c>
      <c r="X26" s="217">
        <f t="shared" ref="X26:X48" si="12">T26*E26</f>
        <v>3.5000523176729098E-4</v>
      </c>
      <c r="Y26" s="185">
        <f t="shared" ref="Y26:Y48" si="13">U26*E26</f>
        <v>5.8334205294548499E-5</v>
      </c>
      <c r="Z26" s="185">
        <f t="shared" ref="Z26:Z48" si="14">V26*E26</f>
        <v>0</v>
      </c>
      <c r="AA26" s="218">
        <f t="shared" ref="AA26:AA48" si="15">W26*E26</f>
        <v>0</v>
      </c>
      <c r="AB26" s="217">
        <f>X26*VLOOKUP($AB$13,Library!$T$4:$U$7,2,FALSE)</f>
        <v>4.2035628335251648E-3</v>
      </c>
      <c r="AC26" s="185">
        <f>Y26*VLOOKUP($AC$13,Library!$T$4:$U$7,2,FALSE)</f>
        <v>8.1726221617662448E-4</v>
      </c>
      <c r="AD26" s="185">
        <f>Z26*VLOOKUP($AD$13,Library!$T$4:$U$7,2,FALSE)</f>
        <v>0</v>
      </c>
      <c r="AE26" s="218">
        <f>AA26*VLOOKUP($AE$13,Library!$T$4:$U$7,2,FALSE)</f>
        <v>0</v>
      </c>
      <c r="AG26" s="8"/>
    </row>
    <row r="27" spans="1:33" ht="14.4" x14ac:dyDescent="0.3">
      <c r="A27" s="25" t="s">
        <v>17</v>
      </c>
      <c r="B27" s="25">
        <f>VLOOKUP(A27,Library!$B$4:$C$57,2,FALSE)</f>
        <v>392.14</v>
      </c>
      <c r="C27" s="177">
        <f>VLOOKUP(A27,'Mod Wolfe v4'!$L$4:$M$14,2, FALSE)*'Mod Wolfe v4'!$G$14/'Mod Wolfe v4'!$G$19*1000</f>
        <v>8</v>
      </c>
      <c r="D27" s="26" t="s">
        <v>16</v>
      </c>
      <c r="E27" s="26">
        <f t="shared" si="11"/>
        <v>2.0400877237721223E-5</v>
      </c>
      <c r="F27" s="25" t="s">
        <v>80</v>
      </c>
      <c r="G27" s="25">
        <v>2</v>
      </c>
      <c r="H27" s="25">
        <f>VLOOKUP(F27,Library!$K$4:$M$36,3,FALSE)</f>
        <v>2</v>
      </c>
      <c r="I27" s="25">
        <f t="shared" si="1"/>
        <v>4.0801754475442447E-5</v>
      </c>
      <c r="J27" s="178">
        <f>IF(F27="N/A",0,VLOOKUP(F27,Library!$K$4:$M$36,2,FALSE))</f>
        <v>55.844999999999999</v>
      </c>
      <c r="K27" s="183">
        <f t="shared" si="2"/>
        <v>1.6320701790176979E-4</v>
      </c>
      <c r="L27" s="28">
        <f t="shared" si="3"/>
        <v>2.2785739786810835E-3</v>
      </c>
      <c r="M27" s="86" t="s">
        <v>69</v>
      </c>
      <c r="N27" s="27">
        <v>2</v>
      </c>
      <c r="O27" s="25">
        <f>VLOOKUP(M27,Library!$K$4:$M$36,3,FALSE)</f>
        <v>-2</v>
      </c>
      <c r="P27" s="25">
        <f t="shared" si="4"/>
        <v>4.0801754475442447E-5</v>
      </c>
      <c r="Q27" s="25">
        <f>IF(M27="N/A",0,VLOOKUP(M27,Library!$K$4:$N$36,2,FALSE))</f>
        <v>96.06</v>
      </c>
      <c r="R27" s="25">
        <f t="shared" si="5"/>
        <v>1.6320701790176979E-4</v>
      </c>
      <c r="S27" s="200">
        <f t="shared" si="6"/>
        <v>3.9194165349110011E-3</v>
      </c>
      <c r="T27" s="217">
        <f>VLOOKUP(A27,Library!$B$4:$G$69,3,FALSE)</f>
        <v>0</v>
      </c>
      <c r="U27" s="185">
        <f>VLOOKUP(A27,Library!$B$4:$G$69,4,FALSE)</f>
        <v>2</v>
      </c>
      <c r="V27" s="185">
        <f>VLOOKUP(A27,Library!$B$4:$G$69,5,FALSE)</f>
        <v>0</v>
      </c>
      <c r="W27" s="218">
        <f>VLOOKUP(A27,Library!$B$4:$G$69,6,FALSE)</f>
        <v>2</v>
      </c>
      <c r="X27" s="217">
        <f t="shared" si="12"/>
        <v>0</v>
      </c>
      <c r="Y27" s="185">
        <f t="shared" si="13"/>
        <v>4.0801754475442447E-5</v>
      </c>
      <c r="Z27" s="185">
        <f t="shared" si="14"/>
        <v>0</v>
      </c>
      <c r="AA27" s="218">
        <f t="shared" si="15"/>
        <v>4.0801754475442447E-5</v>
      </c>
      <c r="AB27" s="217">
        <f>X27*VLOOKUP($AB$13,Library!$T$4:$U$7,2,FALSE)</f>
        <v>0</v>
      </c>
      <c r="AC27" s="185">
        <f>Y27*VLOOKUP($AC$13,Library!$T$4:$U$7,2,FALSE)</f>
        <v>5.7163258020094868E-4</v>
      </c>
      <c r="AD27" s="185">
        <f>Z27*VLOOKUP($AD$13,Library!$T$4:$U$7,2,FALSE)</f>
        <v>0</v>
      </c>
      <c r="AE27" s="218">
        <f>AA27*VLOOKUP($AE$13,Library!$T$4:$U$7,2,FALSE)</f>
        <v>1.3085122660274392E-3</v>
      </c>
      <c r="AG27" s="8"/>
    </row>
    <row r="28" spans="1:33" ht="14.4" x14ac:dyDescent="0.3">
      <c r="A28" s="25" t="s">
        <v>17</v>
      </c>
      <c r="B28" s="25">
        <f>VLOOKUP(A28,Library!$B$4:$C$57,2,FALSE)</f>
        <v>392.14</v>
      </c>
      <c r="C28" s="177">
        <f>VLOOKUP(A28,'Mod Wolfe v4'!$L$4:$M$14,2, FALSE)*'Mod Wolfe v4'!$G$14/'Mod Wolfe v4'!$G$19*1000</f>
        <v>8</v>
      </c>
      <c r="D28" s="26" t="s">
        <v>16</v>
      </c>
      <c r="E28" s="26">
        <f t="shared" si="11"/>
        <v>2.0400877237721223E-5</v>
      </c>
      <c r="F28" s="25" t="s">
        <v>78</v>
      </c>
      <c r="G28" s="25">
        <v>2</v>
      </c>
      <c r="H28" s="25">
        <f>VLOOKUP(F28,Library!$K$4:$M$36,3,FALSE)</f>
        <v>1</v>
      </c>
      <c r="I28" s="25">
        <f t="shared" si="1"/>
        <v>4.0801754475442447E-5</v>
      </c>
      <c r="J28" s="178">
        <f>IF(F28="N/A",0,VLOOKUP(F28,Library!$K$4:$M$36,2,FALSE))</f>
        <v>18.04</v>
      </c>
      <c r="K28" s="183">
        <f t="shared" si="2"/>
        <v>4.0801754475442447E-5</v>
      </c>
      <c r="L28" s="28">
        <f t="shared" si="3"/>
        <v>7.3606365073698168E-4</v>
      </c>
      <c r="M28" s="86"/>
      <c r="N28" s="27"/>
      <c r="O28" s="25"/>
      <c r="P28" s="25">
        <f t="shared" si="4"/>
        <v>0</v>
      </c>
      <c r="Q28" s="25"/>
      <c r="R28" s="25">
        <f t="shared" si="5"/>
        <v>0</v>
      </c>
      <c r="S28" s="200">
        <f t="shared" si="6"/>
        <v>0</v>
      </c>
      <c r="T28" s="241"/>
      <c r="U28" s="242"/>
      <c r="V28" s="242"/>
      <c r="W28" s="243"/>
      <c r="X28" s="241"/>
      <c r="Y28" s="242"/>
      <c r="Z28" s="242"/>
      <c r="AA28" s="243"/>
      <c r="AB28" s="241"/>
      <c r="AC28" s="242"/>
      <c r="AD28" s="242"/>
      <c r="AE28" s="243"/>
      <c r="AG28" s="8"/>
    </row>
    <row r="29" spans="1:33" ht="14.4" x14ac:dyDescent="0.3">
      <c r="A29" s="25" t="s">
        <v>336</v>
      </c>
      <c r="B29" s="25">
        <f>VLOOKUP(A29,Library!$B$4:$C$57,2,FALSE)</f>
        <v>172.94</v>
      </c>
      <c r="C29" s="177">
        <f>VLOOKUP(A29,'Mod Wolfe v4'!$L$4:$M$14,2, FALSE)*'Mod Wolfe v4'!$G$14/'Mod Wolfe v4'!$G$19*1000</f>
        <v>2</v>
      </c>
      <c r="D29" s="26" t="s">
        <v>16</v>
      </c>
      <c r="E29" s="26">
        <f t="shared" si="11"/>
        <v>1.1564704521799469E-5</v>
      </c>
      <c r="F29" s="25" t="s">
        <v>63</v>
      </c>
      <c r="G29" s="25">
        <v>1</v>
      </c>
      <c r="H29" s="25">
        <f>VLOOKUP(F29,Library!$K$4:$M$36,3,FALSE)</f>
        <v>1</v>
      </c>
      <c r="I29" s="25">
        <f t="shared" si="1"/>
        <v>1.1564704521799469E-5</v>
      </c>
      <c r="J29" s="178">
        <f>IF(F29="N/A",0,VLOOKUP(F29,Library!$K$4:$M$36,2,FALSE))</f>
        <v>28.989768999999999</v>
      </c>
      <c r="K29" s="183">
        <f t="shared" si="2"/>
        <v>1.1564704521799469E-5</v>
      </c>
      <c r="L29" s="28">
        <f t="shared" si="3"/>
        <v>3.3525811264022208E-4</v>
      </c>
      <c r="M29" s="86" t="s">
        <v>115</v>
      </c>
      <c r="N29" s="27">
        <v>1</v>
      </c>
      <c r="O29" s="25">
        <f>VLOOKUP(M29,Library!$K$4:$M$36,3,FALSE)</f>
        <v>-2</v>
      </c>
      <c r="P29" s="25">
        <f t="shared" si="4"/>
        <v>1.1564704521799469E-5</v>
      </c>
      <c r="Q29" s="25">
        <f>IF(M29="N/A",0,VLOOKUP(M29,Library!$K$4:$N$36,2,FALSE))</f>
        <v>126.968</v>
      </c>
      <c r="R29" s="25">
        <f t="shared" si="5"/>
        <v>4.6258818087197875E-5</v>
      </c>
      <c r="S29" s="200">
        <f t="shared" si="6"/>
        <v>1.468347403723835E-3</v>
      </c>
      <c r="T29" s="217">
        <f>VLOOKUP(A29,Library!$B$4:$G$69,3,FALSE)</f>
        <v>0</v>
      </c>
      <c r="U29" s="185">
        <f>VLOOKUP(A29,Library!$B$4:$G$69,4,FALSE)</f>
        <v>0</v>
      </c>
      <c r="V29" s="185">
        <f>VLOOKUP(A29,Library!$B$4:$G$69,5,FALSE)</f>
        <v>0</v>
      </c>
      <c r="W29" s="218">
        <f>VLOOKUP(A29,Library!$B$4:$G$69,6,FALSE)</f>
        <v>0</v>
      </c>
      <c r="X29" s="217">
        <f t="shared" si="12"/>
        <v>0</v>
      </c>
      <c r="Y29" s="185">
        <f t="shared" si="13"/>
        <v>0</v>
      </c>
      <c r="Z29" s="185">
        <f t="shared" si="14"/>
        <v>0</v>
      </c>
      <c r="AA29" s="218">
        <f t="shared" si="15"/>
        <v>0</v>
      </c>
      <c r="AB29" s="217">
        <f>X29*VLOOKUP($AB$13,Library!$T$4:$U$7,2,FALSE)</f>
        <v>0</v>
      </c>
      <c r="AC29" s="185">
        <f>Y29*VLOOKUP($AC$13,Library!$T$4:$U$7,2,FALSE)</f>
        <v>0</v>
      </c>
      <c r="AD29" s="185">
        <f>Z29*VLOOKUP($AD$13,Library!$T$4:$U$7,2,FALSE)</f>
        <v>0</v>
      </c>
      <c r="AE29" s="218">
        <f>AA29*VLOOKUP($AE$13,Library!$T$4:$U$7,2,FALSE)</f>
        <v>0</v>
      </c>
      <c r="AG29" s="8"/>
    </row>
    <row r="30" spans="1:33" ht="14.4" x14ac:dyDescent="0.3">
      <c r="A30" s="25" t="s">
        <v>23</v>
      </c>
      <c r="B30" s="25">
        <f>VLOOKUP(A30,Library!$B$4:$C$57,2,FALSE)</f>
        <v>287.52999999999997</v>
      </c>
      <c r="C30" s="177">
        <f>VLOOKUP(A30,'Mod Wolfe v4'!$L$4:$M$14,2, FALSE)*'Mod Wolfe v4'!$G$14/'Mod Wolfe v4'!$G$19*1000</f>
        <v>1</v>
      </c>
      <c r="D30" s="26" t="s">
        <v>16</v>
      </c>
      <c r="E30" s="26">
        <f t="shared" si="11"/>
        <v>3.4778979584738982E-6</v>
      </c>
      <c r="F30" s="25" t="s">
        <v>73</v>
      </c>
      <c r="G30" s="25">
        <v>1</v>
      </c>
      <c r="H30" s="25">
        <f>VLOOKUP(F30,Library!$K$4:$M$36,3,FALSE)</f>
        <v>2</v>
      </c>
      <c r="I30" s="25">
        <f t="shared" si="1"/>
        <v>3.4778979584738982E-6</v>
      </c>
      <c r="J30" s="178">
        <f>IF(F30="N/A",0,VLOOKUP(F30,Library!$K$4:$M$36,2,FALSE))</f>
        <v>65.926034000000001</v>
      </c>
      <c r="K30" s="183">
        <f t="shared" si="2"/>
        <v>1.3911591833895593E-5</v>
      </c>
      <c r="L30" s="28">
        <f t="shared" si="3"/>
        <v>2.2928401905888081E-4</v>
      </c>
      <c r="M30" s="86" t="s">
        <v>69</v>
      </c>
      <c r="N30" s="27">
        <v>1</v>
      </c>
      <c r="O30" s="25">
        <f>VLOOKUP(M30,Library!$K$4:$M$36,3,FALSE)</f>
        <v>-2</v>
      </c>
      <c r="P30" s="25">
        <f t="shared" si="4"/>
        <v>3.4778979584738982E-6</v>
      </c>
      <c r="Q30" s="25">
        <f>IF(M30="N/A",0,VLOOKUP(M30,Library!$K$4:$N$36,2,FALSE))</f>
        <v>96.06</v>
      </c>
      <c r="R30" s="25">
        <f t="shared" si="5"/>
        <v>1.3911591833895593E-5</v>
      </c>
      <c r="S30" s="200">
        <f t="shared" si="6"/>
        <v>3.3408687789100266E-4</v>
      </c>
      <c r="T30" s="217">
        <f>VLOOKUP(A30,Library!$B$4:$G$69,3,FALSE)</f>
        <v>0</v>
      </c>
      <c r="U30" s="185">
        <f>VLOOKUP(A30,Library!$B$4:$G$69,4,FALSE)</f>
        <v>0</v>
      </c>
      <c r="V30" s="185">
        <f>VLOOKUP(A30,Library!$B$4:$G$69,5,FALSE)</f>
        <v>0</v>
      </c>
      <c r="W30" s="218">
        <f>VLOOKUP(A30,Library!$B$4:$G$69,6,FALSE)</f>
        <v>1</v>
      </c>
      <c r="X30" s="217">
        <f t="shared" si="12"/>
        <v>0</v>
      </c>
      <c r="Y30" s="185">
        <f t="shared" si="13"/>
        <v>0</v>
      </c>
      <c r="Z30" s="185">
        <f t="shared" si="14"/>
        <v>0</v>
      </c>
      <c r="AA30" s="218">
        <f t="shared" si="15"/>
        <v>3.4778979584738982E-6</v>
      </c>
      <c r="AB30" s="217">
        <f>X30*VLOOKUP($AB$13,Library!$T$4:$U$7,2,FALSE)</f>
        <v>0</v>
      </c>
      <c r="AC30" s="185">
        <f>Y30*VLOOKUP($AC$13,Library!$T$4:$U$7,2,FALSE)</f>
        <v>0</v>
      </c>
      <c r="AD30" s="185">
        <f>Z30*VLOOKUP($AD$13,Library!$T$4:$U$7,2,FALSE)</f>
        <v>0</v>
      </c>
      <c r="AE30" s="218">
        <f>AA30*VLOOKUP($AE$13,Library!$T$4:$U$7,2,FALSE)</f>
        <v>1.1153618752825792E-4</v>
      </c>
      <c r="AG30" s="8"/>
    </row>
    <row r="31" spans="1:33" ht="14.4" x14ac:dyDescent="0.3">
      <c r="A31" s="25" t="s">
        <v>27</v>
      </c>
      <c r="B31" s="25">
        <f>VLOOKUP(A31,Library!$B$4:$C$57,2,FALSE)</f>
        <v>329.85</v>
      </c>
      <c r="C31" s="177">
        <f>VLOOKUP(A31,'Mod Wolfe v4'!$L$4:$M$14,2, FALSE)*'Mod Wolfe v4'!$G$14/'Mod Wolfe v4'!$G$19*1000</f>
        <v>1</v>
      </c>
      <c r="D31" s="26" t="s">
        <v>16</v>
      </c>
      <c r="E31" s="26">
        <f t="shared" si="11"/>
        <v>3.0316810671517355E-6</v>
      </c>
      <c r="F31" s="25" t="s">
        <v>63</v>
      </c>
      <c r="G31" s="25">
        <v>1</v>
      </c>
      <c r="H31" s="25">
        <f>VLOOKUP(F31,Library!$K$4:$M$36,3,FALSE)</f>
        <v>1</v>
      </c>
      <c r="I31" s="25">
        <f t="shared" si="1"/>
        <v>3.0316810671517355E-6</v>
      </c>
      <c r="J31" s="178">
        <f>IF(F31="N/A",0,VLOOKUP(F31,Library!$K$4:$M$36,2,FALSE))</f>
        <v>28.989768999999999</v>
      </c>
      <c r="K31" s="183">
        <f t="shared" si="2"/>
        <v>3.0316810671517355E-6</v>
      </c>
      <c r="L31" s="28">
        <f t="shared" si="3"/>
        <v>8.7887733818402304E-5</v>
      </c>
      <c r="M31" s="86" t="s">
        <v>112</v>
      </c>
      <c r="N31" s="27">
        <v>1</v>
      </c>
      <c r="O31" s="25">
        <f>VLOOKUP(M31,Library!$K$4:$M$36,3,FALSE)</f>
        <v>-1</v>
      </c>
      <c r="P31" s="25">
        <f t="shared" si="4"/>
        <v>3.0316810671517355E-6</v>
      </c>
      <c r="Q31" s="25">
        <f>IF(M31="N/A",0,VLOOKUP(M31,Library!$K$4:$N$36,2,FALSE))</f>
        <v>247.84</v>
      </c>
      <c r="R31" s="25">
        <f t="shared" si="5"/>
        <v>3.0316810671517355E-6</v>
      </c>
      <c r="S31" s="200">
        <f t="shared" si="6"/>
        <v>7.5137183568288609E-4</v>
      </c>
      <c r="T31" s="217">
        <f>VLOOKUP(A31,Library!$B$4:$G$69,3,FALSE)</f>
        <v>0</v>
      </c>
      <c r="U31" s="185">
        <f>VLOOKUP(A31,Library!$B$4:$G$69,4,FALSE)</f>
        <v>0</v>
      </c>
      <c r="V31" s="185">
        <f>VLOOKUP(A31,Library!$B$4:$G$69,5,FALSE)</f>
        <v>0</v>
      </c>
      <c r="W31" s="218">
        <f>VLOOKUP(A31,Library!$B$4:$G$69,6,FALSE)</f>
        <v>0</v>
      </c>
      <c r="X31" s="217">
        <f t="shared" si="12"/>
        <v>0</v>
      </c>
      <c r="Y31" s="185">
        <f t="shared" si="13"/>
        <v>0</v>
      </c>
      <c r="Z31" s="185">
        <f t="shared" si="14"/>
        <v>0</v>
      </c>
      <c r="AA31" s="218">
        <f t="shared" si="15"/>
        <v>0</v>
      </c>
      <c r="AB31" s="217">
        <f>X31*VLOOKUP($AB$13,Library!$T$4:$U$7,2,FALSE)</f>
        <v>0</v>
      </c>
      <c r="AC31" s="185">
        <f>Y31*VLOOKUP($AC$13,Library!$T$4:$U$7,2,FALSE)</f>
        <v>0</v>
      </c>
      <c r="AD31" s="185">
        <f>Z31*VLOOKUP($AD$13,Library!$T$4:$U$7,2,FALSE)</f>
        <v>0</v>
      </c>
      <c r="AE31" s="218">
        <f>AA31*VLOOKUP($AE$13,Library!$T$4:$U$7,2,FALSE)</f>
        <v>0</v>
      </c>
      <c r="AG31" s="8"/>
    </row>
    <row r="32" spans="1:33" ht="14.4" x14ac:dyDescent="0.3">
      <c r="A32" s="25" t="s">
        <v>31</v>
      </c>
      <c r="B32" s="25">
        <f>VLOOKUP(A32,Library!$B$4:$C$57,2,FALSE)</f>
        <v>61.83</v>
      </c>
      <c r="C32" s="177">
        <f>VLOOKUP(A32,'Mod Wolfe v4'!$L$4:$M$14,2, FALSE)*'Mod Wolfe v4'!$G$14/'Mod Wolfe v4'!$G$19*1000</f>
        <v>0.1</v>
      </c>
      <c r="D32" s="26" t="s">
        <v>16</v>
      </c>
      <c r="E32" s="26">
        <f t="shared" si="11"/>
        <v>1.6173378618793466E-6</v>
      </c>
      <c r="F32" s="25" t="s">
        <v>339</v>
      </c>
      <c r="G32" s="25">
        <v>0</v>
      </c>
      <c r="H32" s="25">
        <f>VLOOKUP(F32,Library!$K$4:$M$36,3,FALSE)</f>
        <v>1</v>
      </c>
      <c r="I32" s="25">
        <f t="shared" si="1"/>
        <v>0</v>
      </c>
      <c r="J32" s="178">
        <f>IF(F32="N/A",0,VLOOKUP(F32,Library!$K$4:$M$36,2,FALSE))</f>
        <v>1.0078400000000001</v>
      </c>
      <c r="K32" s="183">
        <f t="shared" si="2"/>
        <v>0</v>
      </c>
      <c r="L32" s="28">
        <f t="shared" si="3"/>
        <v>0</v>
      </c>
      <c r="M32" s="86" t="s">
        <v>113</v>
      </c>
      <c r="N32" s="27">
        <v>1</v>
      </c>
      <c r="O32" s="25">
        <f>VLOOKUP(M32,Library!$K$4:$M$36,3,FALSE)</f>
        <v>-3</v>
      </c>
      <c r="P32" s="25">
        <f t="shared" si="4"/>
        <v>1.6173378618793466E-6</v>
      </c>
      <c r="Q32" s="25">
        <f>IF(M32="N/A",0,VLOOKUP(M32,Library!$K$4:$N$36,2,FALSE))</f>
        <v>58.81</v>
      </c>
      <c r="R32" s="25">
        <f t="shared" si="5"/>
        <v>1.4556040756914119E-5</v>
      </c>
      <c r="S32" s="200">
        <f t="shared" si="6"/>
        <v>9.5115639657124374E-5</v>
      </c>
      <c r="T32" s="217">
        <f>VLOOKUP(A32,Library!$B$4:$G$69,3,FALSE)</f>
        <v>0</v>
      </c>
      <c r="U32" s="185">
        <f>VLOOKUP(A32,Library!$B$4:$G$69,4,FALSE)</f>
        <v>0</v>
      </c>
      <c r="V32" s="185">
        <f>VLOOKUP(A32,Library!$B$4:$G$69,5,FALSE)</f>
        <v>0</v>
      </c>
      <c r="W32" s="218">
        <f>VLOOKUP(A32,Library!$B$4:$G$69,6,FALSE)</f>
        <v>0</v>
      </c>
      <c r="X32" s="217">
        <f t="shared" si="12"/>
        <v>0</v>
      </c>
      <c r="Y32" s="185">
        <f t="shared" si="13"/>
        <v>0</v>
      </c>
      <c r="Z32" s="185">
        <f t="shared" si="14"/>
        <v>0</v>
      </c>
      <c r="AA32" s="218">
        <f t="shared" si="15"/>
        <v>0</v>
      </c>
      <c r="AB32" s="217">
        <f>X32*VLOOKUP($AB$13,Library!$T$4:$U$7,2,FALSE)</f>
        <v>0</v>
      </c>
      <c r="AC32" s="185">
        <f>Y32*VLOOKUP($AC$13,Library!$T$4:$U$7,2,FALSE)</f>
        <v>0</v>
      </c>
      <c r="AD32" s="185">
        <f>Z32*VLOOKUP($AD$13,Library!$T$4:$U$7,2,FALSE)</f>
        <v>0</v>
      </c>
      <c r="AE32" s="218">
        <f>AA32*VLOOKUP($AE$13,Library!$T$4:$U$7,2,FALSE)</f>
        <v>0</v>
      </c>
      <c r="AG32" s="8"/>
    </row>
    <row r="33" spans="1:33" ht="14.4" x14ac:dyDescent="0.3">
      <c r="A33" s="25" t="s">
        <v>35</v>
      </c>
      <c r="B33" s="25">
        <f>VLOOKUP(A33,Library!$B$4:$C$57,2,FALSE)</f>
        <v>237.93</v>
      </c>
      <c r="C33" s="177">
        <f>VLOOKUP(A33,'Mod Wolfe v4'!$L$4:$M$14,2, FALSE)*'Mod Wolfe v4'!$G$14/'Mod Wolfe v4'!$G$19*1000</f>
        <v>1</v>
      </c>
      <c r="D33" s="26" t="s">
        <v>16</v>
      </c>
      <c r="E33" s="26">
        <f t="shared" si="11"/>
        <v>4.2029168242760473E-6</v>
      </c>
      <c r="F33" s="25" t="s">
        <v>75</v>
      </c>
      <c r="G33" s="25">
        <v>1</v>
      </c>
      <c r="H33" s="25">
        <f>VLOOKUP(F33,Library!$K$4:$M$36,3,FALSE)</f>
        <v>2</v>
      </c>
      <c r="I33" s="25">
        <f t="shared" si="1"/>
        <v>4.2029168242760473E-6</v>
      </c>
      <c r="J33" s="178">
        <f>IF(F33="N/A",0,VLOOKUP(F33,Library!$K$4:$M$36,2,FALSE))</f>
        <v>58.933190000000003</v>
      </c>
      <c r="K33" s="183">
        <f t="shared" si="2"/>
        <v>1.6811667297104189E-5</v>
      </c>
      <c r="L33" s="28">
        <f t="shared" si="3"/>
        <v>2.476912957592569E-4</v>
      </c>
      <c r="M33" s="86" t="s">
        <v>70</v>
      </c>
      <c r="N33" s="27">
        <v>2</v>
      </c>
      <c r="O33" s="25">
        <f>VLOOKUP(M33,Library!$K$4:$M$36,3,FALSE)</f>
        <v>-1</v>
      </c>
      <c r="P33" s="25">
        <f t="shared" si="4"/>
        <v>8.4058336485520945E-6</v>
      </c>
      <c r="Q33" s="25">
        <f>IF(M33="N/A",0,VLOOKUP(M33,Library!$K$4:$N$36,2,FALSE))</f>
        <v>35.453000000000003</v>
      </c>
      <c r="R33" s="25">
        <f t="shared" si="5"/>
        <v>8.4058336485520945E-6</v>
      </c>
      <c r="S33" s="200">
        <f t="shared" si="6"/>
        <v>2.9801202034211743E-4</v>
      </c>
      <c r="T33" s="217">
        <f>VLOOKUP(A33,Library!$B$4:$G$69,3,FALSE)</f>
        <v>0</v>
      </c>
      <c r="U33" s="185">
        <f>VLOOKUP(A33,Library!$B$4:$G$69,4,FALSE)</f>
        <v>0</v>
      </c>
      <c r="V33" s="185">
        <f>VLOOKUP(A33,Library!$B$4:$G$69,5,FALSE)</f>
        <v>0</v>
      </c>
      <c r="W33" s="218">
        <f>VLOOKUP(A33,Library!$B$4:$G$69,6,FALSE)</f>
        <v>0</v>
      </c>
      <c r="X33" s="217">
        <f t="shared" si="12"/>
        <v>0</v>
      </c>
      <c r="Y33" s="185">
        <f t="shared" si="13"/>
        <v>0</v>
      </c>
      <c r="Z33" s="185">
        <f t="shared" si="14"/>
        <v>0</v>
      </c>
      <c r="AA33" s="218">
        <f t="shared" si="15"/>
        <v>0</v>
      </c>
      <c r="AB33" s="217">
        <f>X33*VLOOKUP($AB$13,Library!$T$4:$U$7,2,FALSE)</f>
        <v>0</v>
      </c>
      <c r="AC33" s="185">
        <f>Y33*VLOOKUP($AC$13,Library!$T$4:$U$7,2,FALSE)</f>
        <v>0</v>
      </c>
      <c r="AD33" s="185">
        <f>Z33*VLOOKUP($AD$13,Library!$T$4:$U$7,2,FALSE)</f>
        <v>0</v>
      </c>
      <c r="AE33" s="218">
        <f>AA33*VLOOKUP($AE$13,Library!$T$4:$U$7,2,FALSE)</f>
        <v>0</v>
      </c>
      <c r="AG33" s="8"/>
    </row>
    <row r="34" spans="1:33" ht="14.4" x14ac:dyDescent="0.3">
      <c r="A34" s="25" t="s">
        <v>179</v>
      </c>
      <c r="B34" s="25">
        <f>VLOOKUP(A34,Library!$B$4:$C$57,2,FALSE)</f>
        <v>170.48</v>
      </c>
      <c r="C34" s="177">
        <f>VLOOKUP(A34,'Mod Wolfe v4'!$L$4:$M$14,2, FALSE)*'Mod Wolfe v4'!$G$14/'Mod Wolfe v4'!$G$19*1000</f>
        <v>6.7999999999999991E-2</v>
      </c>
      <c r="D34" s="26" t="s">
        <v>16</v>
      </c>
      <c r="E34" s="26">
        <f t="shared" si="11"/>
        <v>3.9887376818395113E-7</v>
      </c>
      <c r="F34" s="25" t="s">
        <v>81</v>
      </c>
      <c r="G34" s="25">
        <v>1</v>
      </c>
      <c r="H34" s="25">
        <f>VLOOKUP(F34,Library!$K$4:$M$36,3,FALSE)</f>
        <v>2</v>
      </c>
      <c r="I34" s="25">
        <f t="shared" si="1"/>
        <v>3.9887376818395113E-7</v>
      </c>
      <c r="J34" s="178">
        <f>IF(F34="N/A",0,VLOOKUP(F34,Library!$K$4:$M$36,2,FALSE))</f>
        <v>187.56</v>
      </c>
      <c r="K34" s="183">
        <f t="shared" si="2"/>
        <v>1.5954950727358045E-6</v>
      </c>
      <c r="L34" s="28">
        <f t="shared" si="3"/>
        <v>7.4812763960581876E-5</v>
      </c>
      <c r="M34" s="86" t="s">
        <v>70</v>
      </c>
      <c r="N34" s="27">
        <v>1</v>
      </c>
      <c r="O34" s="25">
        <f>VLOOKUP(M34,Library!$K$4:$M$36,3,FALSE)</f>
        <v>-1</v>
      </c>
      <c r="P34" s="25">
        <f t="shared" si="4"/>
        <v>3.9887376818395113E-7</v>
      </c>
      <c r="Q34" s="25">
        <f>IF(M34="N/A",0,VLOOKUP(M34,Library!$K$4:$N$36,2,FALSE))</f>
        <v>35.453000000000003</v>
      </c>
      <c r="R34" s="25">
        <f t="shared" si="5"/>
        <v>3.9887376818395113E-7</v>
      </c>
      <c r="S34" s="200">
        <f t="shared" si="6"/>
        <v>1.4141271703425621E-5</v>
      </c>
      <c r="T34" s="217">
        <f>VLOOKUP(A34,Library!$B$4:$G$69,3,FALSE)</f>
        <v>0</v>
      </c>
      <c r="U34" s="185">
        <f>VLOOKUP(A34,Library!$B$4:$G$69,4,FALSE)</f>
        <v>0</v>
      </c>
      <c r="V34" s="185">
        <f>VLOOKUP(A34,Library!$B$4:$G$69,5,FALSE)</f>
        <v>0</v>
      </c>
      <c r="W34" s="218">
        <f>VLOOKUP(A34,Library!$B$4:$G$69,6,FALSE)</f>
        <v>0</v>
      </c>
      <c r="X34" s="217">
        <f t="shared" si="12"/>
        <v>0</v>
      </c>
      <c r="Y34" s="185">
        <f t="shared" si="13"/>
        <v>0</v>
      </c>
      <c r="Z34" s="185">
        <f t="shared" si="14"/>
        <v>0</v>
      </c>
      <c r="AA34" s="218">
        <f t="shared" si="15"/>
        <v>0</v>
      </c>
      <c r="AB34" s="217">
        <f>X34*VLOOKUP($AB$13,Library!$T$4:$U$7,2,FALSE)</f>
        <v>0</v>
      </c>
      <c r="AC34" s="185">
        <f>Y34*VLOOKUP($AC$13,Library!$T$4:$U$7,2,FALSE)</f>
        <v>0</v>
      </c>
      <c r="AD34" s="185">
        <f>Z34*VLOOKUP($AD$13,Library!$T$4:$U$7,2,FALSE)</f>
        <v>0</v>
      </c>
      <c r="AE34" s="218">
        <f>AA34*VLOOKUP($AE$13,Library!$T$4:$U$7,2,FALSE)</f>
        <v>0</v>
      </c>
      <c r="AG34" s="8"/>
    </row>
    <row r="35" spans="1:33" ht="14.4" x14ac:dyDescent="0.3">
      <c r="A35" s="25" t="s">
        <v>43</v>
      </c>
      <c r="B35" s="25">
        <f>VLOOKUP(A35,Library!$B$4:$C$57,2,FALSE)</f>
        <v>237.69</v>
      </c>
      <c r="C35" s="177">
        <f>VLOOKUP(A35,'Mod Wolfe v4'!$L$4:$M$14,2, FALSE)*'Mod Wolfe v4'!$G$14/'Mod Wolfe v4'!$G$19*1000</f>
        <v>1</v>
      </c>
      <c r="D35" s="26" t="s">
        <v>16</v>
      </c>
      <c r="E35" s="26">
        <f t="shared" si="11"/>
        <v>4.2071605873196181E-6</v>
      </c>
      <c r="F35" s="25" t="s">
        <v>72</v>
      </c>
      <c r="G35" s="25">
        <v>1</v>
      </c>
      <c r="H35" s="25">
        <f>VLOOKUP(F35,Library!$K$4:$M$36,3,FALSE)</f>
        <v>2</v>
      </c>
      <c r="I35" s="25">
        <f t="shared" si="1"/>
        <v>4.2071605873196181E-6</v>
      </c>
      <c r="J35" s="178">
        <f>IF(F35="N/A",0,VLOOKUP(F35,Library!$K$4:$M$36,2,FALSE))</f>
        <v>58.692999999999998</v>
      </c>
      <c r="K35" s="183">
        <f t="shared" si="2"/>
        <v>1.6828642349278473E-5</v>
      </c>
      <c r="L35" s="28">
        <f t="shared" si="3"/>
        <v>2.4693087635155032E-4</v>
      </c>
      <c r="M35" s="86" t="s">
        <v>70</v>
      </c>
      <c r="N35" s="27">
        <v>2</v>
      </c>
      <c r="O35" s="25">
        <f>VLOOKUP(M35,Library!$K$4:$M$36,3,FALSE)</f>
        <v>-1</v>
      </c>
      <c r="P35" s="25">
        <f t="shared" si="4"/>
        <v>8.4143211746392363E-6</v>
      </c>
      <c r="Q35" s="25">
        <f>IF(M35="N/A",0,VLOOKUP(M35,Library!$K$4:$N$36,2,FALSE))</f>
        <v>35.453000000000003</v>
      </c>
      <c r="R35" s="25">
        <f t="shared" si="5"/>
        <v>8.4143211746392363E-6</v>
      </c>
      <c r="S35" s="200">
        <f t="shared" si="6"/>
        <v>2.9831292860448488E-4</v>
      </c>
      <c r="T35" s="217">
        <f>VLOOKUP(A35,Library!$B$4:$G$69,3,FALSE)</f>
        <v>0</v>
      </c>
      <c r="U35" s="185">
        <f>VLOOKUP(A35,Library!$B$4:$G$69,4,FALSE)</f>
        <v>0</v>
      </c>
      <c r="V35" s="185">
        <f>VLOOKUP(A35,Library!$B$4:$G$69,5,FALSE)</f>
        <v>0</v>
      </c>
      <c r="W35" s="218">
        <f>VLOOKUP(A35,Library!$B$4:$G$69,6,FALSE)</f>
        <v>0</v>
      </c>
      <c r="X35" s="217">
        <f t="shared" si="12"/>
        <v>0</v>
      </c>
      <c r="Y35" s="185">
        <f t="shared" si="13"/>
        <v>0</v>
      </c>
      <c r="Z35" s="185">
        <f t="shared" si="14"/>
        <v>0</v>
      </c>
      <c r="AA35" s="218">
        <f t="shared" si="15"/>
        <v>0</v>
      </c>
      <c r="AB35" s="217">
        <f>X35*VLOOKUP($AB$13,Library!$T$4:$U$7,2,FALSE)</f>
        <v>0</v>
      </c>
      <c r="AC35" s="185">
        <f>Y35*VLOOKUP($AC$13,Library!$T$4:$U$7,2,FALSE)</f>
        <v>0</v>
      </c>
      <c r="AD35" s="185">
        <f>Z35*VLOOKUP($AD$13,Library!$T$4:$U$7,2,FALSE)</f>
        <v>0</v>
      </c>
      <c r="AE35" s="218">
        <f>AA35*VLOOKUP($AE$13,Library!$T$4:$U$7,2,FALSE)</f>
        <v>0</v>
      </c>
      <c r="AG35" s="8"/>
    </row>
    <row r="36" spans="1:33" ht="14.4" x14ac:dyDescent="0.3">
      <c r="A36" s="25" t="s">
        <v>46</v>
      </c>
      <c r="B36" s="25">
        <f>VLOOKUP(A36,Library!$B$4:$C$57,2,FALSE)</f>
        <v>169.02</v>
      </c>
      <c r="C36" s="177">
        <f>VLOOKUP(A36,'Mod Wolfe v4'!$L$4:$M$14,2, FALSE)*'Mod Wolfe v4'!$G$14/'Mod Wolfe v4'!$G$19*1000</f>
        <v>1</v>
      </c>
      <c r="D36" s="26" t="s">
        <v>16</v>
      </c>
      <c r="E36" s="26">
        <f t="shared" si="11"/>
        <v>5.9164595905809962E-6</v>
      </c>
      <c r="F36" s="25" t="s">
        <v>74</v>
      </c>
      <c r="G36" s="25">
        <v>1</v>
      </c>
      <c r="H36" s="25">
        <f>VLOOKUP(F36,Library!$K$4:$M$36,3,FALSE)</f>
        <v>2</v>
      </c>
      <c r="I36" s="25">
        <f t="shared" si="1"/>
        <v>5.9164595905809962E-6</v>
      </c>
      <c r="J36" s="178">
        <f>IF(F36="N/A",0,VLOOKUP(F36,Library!$K$4:$M$36,2,FALSE))</f>
        <v>54.94</v>
      </c>
      <c r="K36" s="183">
        <f t="shared" si="2"/>
        <v>2.3665838362323985E-5</v>
      </c>
      <c r="L36" s="28">
        <f t="shared" si="3"/>
        <v>3.2505028990651992E-4</v>
      </c>
      <c r="M36" s="86" t="s">
        <v>69</v>
      </c>
      <c r="N36" s="27">
        <v>1</v>
      </c>
      <c r="O36" s="25">
        <f>VLOOKUP(M36,Library!$K$4:$M$36,3,FALSE)</f>
        <v>-2</v>
      </c>
      <c r="P36" s="25">
        <f t="shared" si="4"/>
        <v>5.9164595905809962E-6</v>
      </c>
      <c r="Q36" s="25">
        <f>IF(M36="N/A",0,VLOOKUP(M36,Library!$K$4:$N$36,2,FALSE))</f>
        <v>96.06</v>
      </c>
      <c r="R36" s="25">
        <f t="shared" si="5"/>
        <v>2.3665838362323985E-5</v>
      </c>
      <c r="S36" s="200">
        <f t="shared" si="6"/>
        <v>5.6833510827121046E-4</v>
      </c>
      <c r="T36" s="217">
        <f>VLOOKUP(A36,Library!$B$4:$G$69,3,FALSE)</f>
        <v>0</v>
      </c>
      <c r="U36" s="185">
        <f>VLOOKUP(A36,Library!$B$4:$G$69,4,FALSE)</f>
        <v>0</v>
      </c>
      <c r="V36" s="185">
        <f>VLOOKUP(A36,Library!$B$4:$G$69,5,FALSE)</f>
        <v>0</v>
      </c>
      <c r="W36" s="218">
        <f>VLOOKUP(A36,Library!$B$4:$G$69,6,FALSE)</f>
        <v>0</v>
      </c>
      <c r="X36" s="217">
        <f t="shared" si="12"/>
        <v>0</v>
      </c>
      <c r="Y36" s="185">
        <f t="shared" si="13"/>
        <v>0</v>
      </c>
      <c r="Z36" s="185">
        <f t="shared" si="14"/>
        <v>0</v>
      </c>
      <c r="AA36" s="218">
        <f t="shared" si="15"/>
        <v>0</v>
      </c>
      <c r="AB36" s="217">
        <f>X36*VLOOKUP($AB$13,Library!$T$4:$U$7,2,FALSE)</f>
        <v>0</v>
      </c>
      <c r="AC36" s="185">
        <f>Y36*VLOOKUP($AC$13,Library!$T$4:$U$7,2,FALSE)</f>
        <v>0</v>
      </c>
      <c r="AD36" s="185">
        <f>Z36*VLOOKUP($AD$13,Library!$T$4:$U$7,2,FALSE)</f>
        <v>0</v>
      </c>
      <c r="AE36" s="218">
        <f>AA36*VLOOKUP($AE$13,Library!$T$4:$U$7,2,FALSE)</f>
        <v>0</v>
      </c>
      <c r="AG36" s="8"/>
    </row>
    <row r="37" spans="1:33" thickBot="1" x14ac:dyDescent="0.35">
      <c r="A37" s="25" t="s">
        <v>50</v>
      </c>
      <c r="B37" s="25">
        <v>170.48</v>
      </c>
      <c r="C37" s="177">
        <f>VLOOKUP(A37,'Mod Wolfe v4'!$L$4:$M$14,2, FALSE)*'Mod Wolfe v4'!$G$14/'Mod Wolfe v4'!$G$19*1000</f>
        <v>1</v>
      </c>
      <c r="D37" s="26" t="s">
        <v>16</v>
      </c>
      <c r="E37" s="26">
        <f t="shared" si="11"/>
        <v>5.8657907085875177E-6</v>
      </c>
      <c r="F37" s="25" t="s">
        <v>63</v>
      </c>
      <c r="G37" s="25">
        <v>2</v>
      </c>
      <c r="H37" s="25">
        <f>VLOOKUP(F37,Library!$K$4:$M$36,3,FALSE)</f>
        <v>1</v>
      </c>
      <c r="I37" s="25">
        <f t="shared" si="1"/>
        <v>1.1731581417175035E-5</v>
      </c>
      <c r="J37" s="178">
        <f>IF(F37="N/A",0,VLOOKUP(F37,Library!$K$4:$M$36,2,FALSE))</f>
        <v>28.989768999999999</v>
      </c>
      <c r="K37" s="183">
        <f t="shared" si="2"/>
        <v>1.1731581417175035E-5</v>
      </c>
      <c r="L37" s="28">
        <f t="shared" si="3"/>
        <v>3.4009583528859692E-4</v>
      </c>
      <c r="M37" s="201" t="s">
        <v>76</v>
      </c>
      <c r="N37" s="202">
        <v>1</v>
      </c>
      <c r="O37" s="203">
        <f>VLOOKUP(M37,Library!$K$4:$M$36,3,FALSE)</f>
        <v>-2</v>
      </c>
      <c r="P37" s="203">
        <f t="shared" si="4"/>
        <v>5.8657907085875177E-6</v>
      </c>
      <c r="Q37" s="25">
        <f>IF(M37="N/A",0,VLOOKUP(M37,Library!$K$4:$N$36,2,FALSE))</f>
        <v>159.94999999999999</v>
      </c>
      <c r="R37" s="203">
        <f t="shared" si="5"/>
        <v>2.3463162834350071E-5</v>
      </c>
      <c r="S37" s="204">
        <f t="shared" si="6"/>
        <v>9.3823322383857334E-4</v>
      </c>
      <c r="T37" s="217">
        <f>VLOOKUP(A37,Library!$B$4:$G$69,3,FALSE)</f>
        <v>0</v>
      </c>
      <c r="U37" s="185">
        <f>VLOOKUP(A37,Library!$B$4:$G$69,4,FALSE)</f>
        <v>0</v>
      </c>
      <c r="V37" s="185">
        <f>VLOOKUP(A37,Library!$B$4:$G$69,5,FALSE)</f>
        <v>0</v>
      </c>
      <c r="W37" s="218">
        <f>VLOOKUP(A37,Library!$B$4:$G$69,6,FALSE)</f>
        <v>0</v>
      </c>
      <c r="X37" s="217">
        <f t="shared" si="12"/>
        <v>0</v>
      </c>
      <c r="Y37" s="185">
        <f t="shared" si="13"/>
        <v>0</v>
      </c>
      <c r="Z37" s="185">
        <f t="shared" si="14"/>
        <v>0</v>
      </c>
      <c r="AA37" s="218">
        <f t="shared" si="15"/>
        <v>0</v>
      </c>
      <c r="AB37" s="217">
        <f>X37*VLOOKUP($AB$13,Library!$T$4:$U$7,2,FALSE)</f>
        <v>0</v>
      </c>
      <c r="AC37" s="185">
        <f>Y37*VLOOKUP($AC$13,Library!$T$4:$U$7,2,FALSE)</f>
        <v>0</v>
      </c>
      <c r="AD37" s="185">
        <f>Z37*VLOOKUP($AD$13,Library!$T$4:$U$7,2,FALSE)</f>
        <v>0</v>
      </c>
      <c r="AE37" s="218">
        <f>AA37*VLOOKUP($AE$13,Library!$T$4:$U$7,2,FALSE)</f>
        <v>0</v>
      </c>
      <c r="AG37" s="8"/>
    </row>
    <row r="38" spans="1:33" ht="14.4" x14ac:dyDescent="0.3">
      <c r="A38" s="94" t="s">
        <v>320</v>
      </c>
      <c r="B38" s="244"/>
      <c r="C38" s="245"/>
      <c r="D38" s="246"/>
      <c r="E38" s="235"/>
      <c r="F38" s="244"/>
      <c r="G38" s="244"/>
      <c r="H38" s="244"/>
      <c r="I38" s="244"/>
      <c r="J38" s="247"/>
      <c r="K38" s="245"/>
      <c r="L38" s="244"/>
      <c r="M38" s="248"/>
      <c r="N38" s="248"/>
      <c r="O38" s="248"/>
      <c r="P38" s="248"/>
      <c r="Q38" s="248"/>
      <c r="R38" s="248"/>
      <c r="S38" s="248"/>
      <c r="T38" s="241"/>
      <c r="U38" s="242"/>
      <c r="V38" s="242"/>
      <c r="W38" s="243"/>
      <c r="X38" s="241"/>
      <c r="Y38" s="242"/>
      <c r="Z38" s="242"/>
      <c r="AA38" s="243"/>
      <c r="AB38" s="241"/>
      <c r="AC38" s="242"/>
      <c r="AD38" s="242"/>
      <c r="AE38" s="243"/>
      <c r="AG38" s="8"/>
    </row>
    <row r="39" spans="1:33" ht="14.4" x14ac:dyDescent="0.3">
      <c r="A39" s="25" t="s">
        <v>15</v>
      </c>
      <c r="B39">
        <f>VLOOKUP(A39,Library!$P$4:$Q$18,2,FALSE)</f>
        <v>244.31</v>
      </c>
      <c r="C39" s="117">
        <f>VLOOKUP(A39,'Mod Wolfe v4'!$I$5:$K$14,2,FALSE)*'Mod Wolfe v4'!$G$17/'Mod Wolfe v4'!$G$19</f>
        <v>0.05</v>
      </c>
      <c r="D39" s="6" t="str">
        <f>VLOOKUP(A39,'Mod Wolfe v1'!$I$5:$K$14,3,FALSE)</f>
        <v>mg/L</v>
      </c>
      <c r="E39" s="26">
        <f t="shared" si="11"/>
        <v>2.0465801645450452E-7</v>
      </c>
      <c r="J39" s="205"/>
      <c r="K39" s="205"/>
      <c r="T39" s="217">
        <f>VLOOKUP(A39,Library!$B$4:$G$69,3,FALSE)</f>
        <v>10</v>
      </c>
      <c r="U39" s="185">
        <f>VLOOKUP(A39,Library!$B$4:$G$69,4,FALSE)</f>
        <v>2</v>
      </c>
      <c r="V39" s="185">
        <f>VLOOKUP(A39,Library!$B$4:$G$69,5,FALSE)</f>
        <v>0</v>
      </c>
      <c r="W39" s="218">
        <f>VLOOKUP(A39,Library!$B$4:$G$69,6,FALSE)</f>
        <v>1</v>
      </c>
      <c r="X39" s="217">
        <f t="shared" si="12"/>
        <v>2.046580164545045E-6</v>
      </c>
      <c r="Y39" s="185">
        <f t="shared" si="13"/>
        <v>4.0931603290900905E-7</v>
      </c>
      <c r="Z39" s="185">
        <f t="shared" si="14"/>
        <v>0</v>
      </c>
      <c r="AA39" s="218">
        <f t="shared" si="15"/>
        <v>2.0465801645450452E-7</v>
      </c>
      <c r="AB39" s="217">
        <f>X39*VLOOKUP($AB$13,Library!$T$4:$U$7,2,FALSE)</f>
        <v>2.4579427776185991E-5</v>
      </c>
      <c r="AC39" s="185">
        <f>Y39*VLOOKUP($AC$13,Library!$T$4:$U$7,2,FALSE)</f>
        <v>5.7345176210552166E-6</v>
      </c>
      <c r="AD39" s="185">
        <f>Z39*VLOOKUP($AD$13,Library!$T$4:$U$7,2,FALSE)</f>
        <v>0</v>
      </c>
      <c r="AE39" s="218">
        <f>AA39*VLOOKUP($AE$13,Library!$T$4:$U$7,2,FALSE)</f>
        <v>6.5633825876959597E-6</v>
      </c>
      <c r="AG39" s="8"/>
    </row>
    <row r="40" spans="1:33" ht="14.4" x14ac:dyDescent="0.3">
      <c r="A40" s="25" t="s">
        <v>19</v>
      </c>
      <c r="B40">
        <f>VLOOKUP(A40,Library!$P$4:$Q$18,2,FALSE)</f>
        <v>441.4</v>
      </c>
      <c r="C40" s="117">
        <f>VLOOKUP(A40,'Mod Wolfe v4'!$I$5:$K$14,2,FALSE)*'Mod Wolfe v4'!$G$17/'Mod Wolfe v4'!$G$19</f>
        <v>0.05</v>
      </c>
      <c r="D40" s="6" t="str">
        <f>VLOOKUP(A40,'Mod Wolfe v1'!$I$5:$K$14,3,FALSE)</f>
        <v>mg/L</v>
      </c>
      <c r="E40" s="26">
        <f t="shared" si="11"/>
        <v>1.1327594019030359E-7</v>
      </c>
      <c r="J40" s="205"/>
      <c r="K40" s="205"/>
      <c r="T40" s="217">
        <f>VLOOKUP(A40,Library!$B$4:$G$69,3,FALSE)</f>
        <v>19</v>
      </c>
      <c r="U40" s="185">
        <f>VLOOKUP(A40,Library!$B$4:$G$69,4,FALSE)</f>
        <v>7</v>
      </c>
      <c r="V40" s="185">
        <f>VLOOKUP(A40,Library!$B$4:$G$69,5,FALSE)</f>
        <v>0</v>
      </c>
      <c r="W40" s="218">
        <f>VLOOKUP(A40,Library!$B$4:$G$69,6,FALSE)</f>
        <v>0</v>
      </c>
      <c r="X40" s="217">
        <f t="shared" si="12"/>
        <v>2.152242863615768E-6</v>
      </c>
      <c r="Y40" s="185">
        <f t="shared" si="13"/>
        <v>7.9293158133212518E-7</v>
      </c>
      <c r="Z40" s="185">
        <f t="shared" si="14"/>
        <v>0</v>
      </c>
      <c r="AA40" s="218">
        <f t="shared" si="15"/>
        <v>0</v>
      </c>
      <c r="AB40" s="217">
        <f>X40*VLOOKUP($AB$13,Library!$T$4:$U$7,2,FALSE)</f>
        <v>2.5848436792025374E-5</v>
      </c>
      <c r="AC40" s="185">
        <f>Y40*VLOOKUP($AC$13,Library!$T$4:$U$7,2,FALSE)</f>
        <v>1.1108971454463074E-5</v>
      </c>
      <c r="AD40" s="185">
        <f>Z40*VLOOKUP($AD$13,Library!$T$4:$U$7,2,FALSE)</f>
        <v>0</v>
      </c>
      <c r="AE40" s="218">
        <f>AA40*VLOOKUP($AE$13,Library!$T$4:$U$7,2,FALSE)</f>
        <v>0</v>
      </c>
      <c r="AG40" s="8"/>
    </row>
    <row r="41" spans="1:33" ht="14.4" x14ac:dyDescent="0.3">
      <c r="A41" s="25" t="s">
        <v>22</v>
      </c>
      <c r="B41">
        <f>VLOOKUP(A41,Library!$P$4:$Q$18,2,FALSE)</f>
        <v>169.18</v>
      </c>
      <c r="C41" s="117">
        <f>VLOOKUP(A41,'Mod Wolfe v4'!$I$5:$K$14,2,FALSE)*'Mod Wolfe v4'!$G$17/'Mod Wolfe v4'!$G$19</f>
        <v>0.1</v>
      </c>
      <c r="D41" s="6" t="str">
        <f>VLOOKUP(A41,'Mod Wolfe v1'!$I$5:$K$14,3,FALSE)</f>
        <v>mg/L</v>
      </c>
      <c r="E41" s="26">
        <f t="shared" si="11"/>
        <v>5.9108641683414121E-7</v>
      </c>
      <c r="J41" s="205"/>
      <c r="K41" s="205"/>
      <c r="T41" s="217">
        <f>VLOOKUP(A41,Library!$B$4:$G$69,3,FALSE)</f>
        <v>8</v>
      </c>
      <c r="U41" s="185">
        <f>VLOOKUP(A41,Library!$B$4:$G$69,4,FALSE)</f>
        <v>1</v>
      </c>
      <c r="V41" s="185">
        <f>VLOOKUP(A41,Library!$B$4:$G$69,5,FALSE)</f>
        <v>0</v>
      </c>
      <c r="W41" s="218">
        <f>VLOOKUP(A41,Library!$B$4:$G$69,6,FALSE)</f>
        <v>0</v>
      </c>
      <c r="X41" s="217">
        <f t="shared" si="12"/>
        <v>4.7286913346731297E-6</v>
      </c>
      <c r="Y41" s="185">
        <f t="shared" si="13"/>
        <v>5.9108641683414121E-7</v>
      </c>
      <c r="Z41" s="185">
        <f t="shared" si="14"/>
        <v>0</v>
      </c>
      <c r="AA41" s="218">
        <f t="shared" si="15"/>
        <v>0</v>
      </c>
      <c r="AB41" s="217">
        <f>X41*VLOOKUP($AB$13,Library!$T$4:$U$7,2,FALSE)</f>
        <v>5.6791582929424287E-5</v>
      </c>
      <c r="AC41" s="185">
        <f>Y41*VLOOKUP($AC$13,Library!$T$4:$U$7,2,FALSE)</f>
        <v>8.2811206998463181E-6</v>
      </c>
      <c r="AD41" s="185">
        <f>Z41*VLOOKUP($AD$13,Library!$T$4:$U$7,2,FALSE)</f>
        <v>0</v>
      </c>
      <c r="AE41" s="218">
        <f>AA41*VLOOKUP($AE$13,Library!$T$4:$U$7,2,FALSE)</f>
        <v>0</v>
      </c>
      <c r="AG41" s="8"/>
    </row>
    <row r="42" spans="1:33" ht="14.4" x14ac:dyDescent="0.3">
      <c r="A42" s="25" t="s">
        <v>26</v>
      </c>
      <c r="B42">
        <f>VLOOKUP(A42,Library!$P$4:$Q$18,2,FALSE)</f>
        <v>265.36</v>
      </c>
      <c r="C42" s="117">
        <f>VLOOKUP(A42,'Mod Wolfe v4'!$I$5:$K$14,2,FALSE)*'Mod Wolfe v4'!$G$17/'Mod Wolfe v4'!$G$19</f>
        <v>0.1</v>
      </c>
      <c r="D42" s="6" t="str">
        <f>VLOOKUP(A42,'Mod Wolfe v1'!$I$5:$K$14,3,FALSE)</f>
        <v>mg/L</v>
      </c>
      <c r="E42" s="26">
        <f t="shared" si="11"/>
        <v>3.7684654808561953E-7</v>
      </c>
      <c r="J42" s="205"/>
      <c r="K42" s="205"/>
      <c r="T42" s="217">
        <f>VLOOKUP(A42,Library!$B$4:$G$69,3,FALSE)</f>
        <v>12</v>
      </c>
      <c r="U42" s="185">
        <f>VLOOKUP(A42,Library!$B$4:$G$69,4,FALSE)</f>
        <v>2</v>
      </c>
      <c r="V42" s="185">
        <f>VLOOKUP(A42,Library!$B$4:$G$69,5,FALSE)</f>
        <v>0</v>
      </c>
      <c r="W42" s="218">
        <f>VLOOKUP(A42,Library!$B$4:$G$69,6,FALSE)</f>
        <v>1</v>
      </c>
      <c r="X42" s="217">
        <f t="shared" si="12"/>
        <v>4.5221585770274342E-6</v>
      </c>
      <c r="Y42" s="185">
        <f t="shared" si="13"/>
        <v>7.5369309617123907E-7</v>
      </c>
      <c r="Z42" s="185">
        <f t="shared" si="14"/>
        <v>0</v>
      </c>
      <c r="AA42" s="218">
        <f t="shared" si="15"/>
        <v>3.7684654808561953E-7</v>
      </c>
      <c r="AB42" s="217">
        <f>X42*VLOOKUP($AB$13,Library!$T$4:$U$7,2,FALSE)</f>
        <v>5.4311124510099485E-5</v>
      </c>
      <c r="AC42" s="185">
        <f>Y42*VLOOKUP($AC$13,Library!$T$4:$U$7,2,FALSE)</f>
        <v>1.055924027735906E-5</v>
      </c>
      <c r="AD42" s="185">
        <f>Z42*VLOOKUP($AD$13,Library!$T$4:$U$7,2,FALSE)</f>
        <v>0</v>
      </c>
      <c r="AE42" s="218">
        <f>AA42*VLOOKUP($AE$13,Library!$T$4:$U$7,2,FALSE)</f>
        <v>1.2085468797105819E-5</v>
      </c>
      <c r="AG42" s="8"/>
    </row>
    <row r="43" spans="1:33" ht="14.4" x14ac:dyDescent="0.3">
      <c r="A43" s="25" t="s">
        <v>30</v>
      </c>
      <c r="B43">
        <f>VLOOKUP(A43,Library!$P$4:$Q$18,2,FALSE)</f>
        <v>376.37</v>
      </c>
      <c r="C43" s="117">
        <f>VLOOKUP(A43,'Mod Wolfe v4'!$I$5:$K$14,2,FALSE)*'Mod Wolfe v4'!$G$17/'Mod Wolfe v4'!$G$19</f>
        <v>0.1</v>
      </c>
      <c r="D43" s="6" t="str">
        <f>VLOOKUP(A43,'Mod Wolfe v1'!$I$5:$K$14,3,FALSE)</f>
        <v>mg/L</v>
      </c>
      <c r="E43" s="26">
        <f t="shared" si="11"/>
        <v>2.6569599064750117E-7</v>
      </c>
      <c r="J43" s="205"/>
      <c r="K43" s="205"/>
      <c r="T43" s="217">
        <f>VLOOKUP(A43,Library!$B$4:$G$69,3,FALSE)</f>
        <v>17</v>
      </c>
      <c r="U43" s="185">
        <f>VLOOKUP(A43,Library!$B$4:$G$69,4,FALSE)</f>
        <v>4</v>
      </c>
      <c r="V43" s="185">
        <f>VLOOKUP(A43,Library!$B$4:$G$69,5,FALSE)</f>
        <v>0</v>
      </c>
      <c r="W43" s="218">
        <f>VLOOKUP(A43,Library!$B$4:$G$69,6,FALSE)</f>
        <v>0</v>
      </c>
      <c r="X43" s="217">
        <f t="shared" si="12"/>
        <v>4.5168318410075203E-6</v>
      </c>
      <c r="Y43" s="185">
        <f t="shared" si="13"/>
        <v>1.0627839625900047E-6</v>
      </c>
      <c r="Z43" s="185">
        <f t="shared" si="14"/>
        <v>0</v>
      </c>
      <c r="AA43" s="218">
        <f t="shared" si="15"/>
        <v>0</v>
      </c>
      <c r="AB43" s="217">
        <f>X43*VLOOKUP($AB$13,Library!$T$4:$U$7,2,FALSE)</f>
        <v>5.4247150410500316E-5</v>
      </c>
      <c r="AC43" s="185">
        <f>Y43*VLOOKUP($AC$13,Library!$T$4:$U$7,2,FALSE)</f>
        <v>1.4889603315885966E-5</v>
      </c>
      <c r="AD43" s="185">
        <f>Z43*VLOOKUP($AD$13,Library!$T$4:$U$7,2,FALSE)</f>
        <v>0</v>
      </c>
      <c r="AE43" s="218">
        <f>AA43*VLOOKUP($AE$13,Library!$T$4:$U$7,2,FALSE)</f>
        <v>0</v>
      </c>
      <c r="AG43" s="8"/>
    </row>
    <row r="44" spans="1:33" ht="14.4" x14ac:dyDescent="0.3">
      <c r="A44" s="25" t="s">
        <v>34</v>
      </c>
      <c r="B44">
        <f>VLOOKUP(A44,Library!$P$4:$Q$18,2,FALSE)</f>
        <v>123.11</v>
      </c>
      <c r="C44" s="117">
        <f>VLOOKUP(A44,'Mod Wolfe v4'!$I$5:$K$14,2,FALSE)*'Mod Wolfe v4'!$G$17/'Mod Wolfe v4'!$G$19</f>
        <v>0.1</v>
      </c>
      <c r="D44" s="6" t="str">
        <f>VLOOKUP(A44,'Mod Wolfe v1'!$I$5:$K$14,3,FALSE)</f>
        <v>mg/L</v>
      </c>
      <c r="E44" s="26">
        <f t="shared" si="11"/>
        <v>8.1228169929331495E-7</v>
      </c>
      <c r="J44" s="205"/>
      <c r="K44" s="205"/>
      <c r="T44" s="217">
        <f>VLOOKUP(A44,Library!$B$4:$G$69,3,FALSE)</f>
        <v>6</v>
      </c>
      <c r="U44" s="185">
        <f>VLOOKUP(A44,Library!$B$4:$G$69,4,FALSE)</f>
        <v>1</v>
      </c>
      <c r="V44" s="185">
        <f>VLOOKUP(A44,Library!$B$4:$G$69,5,FALSE)</f>
        <v>0</v>
      </c>
      <c r="W44" s="218">
        <f>VLOOKUP(A44,Library!$B$4:$G$69,6,FALSE)</f>
        <v>0</v>
      </c>
      <c r="X44" s="217">
        <f t="shared" si="12"/>
        <v>4.8736901957598899E-6</v>
      </c>
      <c r="Y44" s="185">
        <f t="shared" si="13"/>
        <v>8.1228169929331495E-7</v>
      </c>
      <c r="Z44" s="185">
        <f t="shared" si="14"/>
        <v>0</v>
      </c>
      <c r="AA44" s="218">
        <f t="shared" si="15"/>
        <v>0</v>
      </c>
      <c r="AB44" s="217">
        <f>X44*VLOOKUP($AB$13,Library!$T$4:$U$7,2,FALSE)</f>
        <v>5.8533019251076275E-5</v>
      </c>
      <c r="AC44" s="185">
        <f>Y44*VLOOKUP($AC$13,Library!$T$4:$U$7,2,FALSE)</f>
        <v>1.1380066607099342E-5</v>
      </c>
      <c r="AD44" s="185">
        <f>Z44*VLOOKUP($AD$13,Library!$T$4:$U$7,2,FALSE)</f>
        <v>0</v>
      </c>
      <c r="AE44" s="218">
        <f>AA44*VLOOKUP($AE$13,Library!$T$4:$U$7,2,FALSE)</f>
        <v>0</v>
      </c>
    </row>
    <row r="45" spans="1:33" ht="14.4" x14ac:dyDescent="0.3">
      <c r="A45" s="25" t="s">
        <v>38</v>
      </c>
      <c r="B45">
        <f>VLOOKUP(A45,Library!$P$4:$Q$18,2,FALSE)</f>
        <v>476.53</v>
      </c>
      <c r="C45" s="117">
        <f>VLOOKUP(A45,'Mod Wolfe v4'!$I$5:$K$14,2,FALSE)*'Mod Wolfe v4'!$G$17/'Mod Wolfe v4'!$G$19</f>
        <v>0.1</v>
      </c>
      <c r="D45" s="6" t="str">
        <f>VLOOKUP(A45,'Mod Wolfe v1'!$I$5:$K$14,3,FALSE)</f>
        <v>mg/L</v>
      </c>
      <c r="E45" s="26">
        <f t="shared" si="11"/>
        <v>2.0985037668142615E-7</v>
      </c>
      <c r="J45" s="205"/>
      <c r="K45" s="205"/>
      <c r="T45" s="217">
        <f>VLOOKUP(A45,Library!$B$4:$G$69,3,FALSE)</f>
        <v>9</v>
      </c>
      <c r="U45" s="185">
        <f>VLOOKUP(A45,Library!$B$4:$G$69,4,FALSE)</f>
        <v>1</v>
      </c>
      <c r="V45" s="185">
        <f>VLOOKUP(A45,Library!$B$4:$G$69,5,FALSE)</f>
        <v>0</v>
      </c>
      <c r="W45" s="218">
        <f>VLOOKUP(A45,Library!$B$4:$G$69,6,FALSE)</f>
        <v>0</v>
      </c>
      <c r="X45" s="217">
        <f t="shared" si="12"/>
        <v>1.8886533901328354E-6</v>
      </c>
      <c r="Y45" s="185">
        <f t="shared" si="13"/>
        <v>2.0985037668142615E-7</v>
      </c>
      <c r="Z45" s="185">
        <f t="shared" si="14"/>
        <v>0</v>
      </c>
      <c r="AA45" s="218">
        <f t="shared" si="15"/>
        <v>0</v>
      </c>
      <c r="AB45" s="217">
        <f>X45*VLOOKUP($AB$13,Library!$T$4:$U$7,2,FALSE)</f>
        <v>2.2682727215495352E-5</v>
      </c>
      <c r="AC45" s="185">
        <f>Y45*VLOOKUP($AC$13,Library!$T$4:$U$7,2,FALSE)</f>
        <v>2.9400037773067804E-6</v>
      </c>
      <c r="AD45" s="185">
        <f>Z45*VLOOKUP($AD$13,Library!$T$4:$U$7,2,FALSE)</f>
        <v>0</v>
      </c>
      <c r="AE45" s="218">
        <f>AA45*VLOOKUP($AE$13,Library!$T$4:$U$7,2,FALSE)</f>
        <v>0</v>
      </c>
    </row>
    <row r="46" spans="1:33" ht="14.4" x14ac:dyDescent="0.3">
      <c r="A46" s="25" t="s">
        <v>42</v>
      </c>
      <c r="B46">
        <f>VLOOKUP(A46,Library!$P$4:$Q$18,2,FALSE)</f>
        <v>1355.37</v>
      </c>
      <c r="C46" s="117">
        <f>VLOOKUP(A46,'Mod Wolfe v4'!$I$5:$K$14,2,FALSE)*'Mod Wolfe v4'!$G$17/'Mod Wolfe v4'!$G$19</f>
        <v>0.05</v>
      </c>
      <c r="D46" s="6" t="str">
        <f>VLOOKUP(A46,'Mod Wolfe v1'!$I$5:$K$14,3,FALSE)</f>
        <v>mg/L</v>
      </c>
      <c r="E46" s="26">
        <f t="shared" si="11"/>
        <v>3.6890295638829251E-8</v>
      </c>
      <c r="J46" s="205"/>
      <c r="K46" s="205"/>
      <c r="T46" s="217">
        <f>VLOOKUP(A46,Library!$B$4:$G$69,3,FALSE)</f>
        <v>70</v>
      </c>
      <c r="U46" s="185">
        <f>VLOOKUP(A46,Library!$B$4:$G$69,4,FALSE)</f>
        <v>14</v>
      </c>
      <c r="V46" s="185">
        <f>VLOOKUP(A46,Library!$B$4:$G$69,5,FALSE)</f>
        <v>0</v>
      </c>
      <c r="W46" s="218">
        <f>VLOOKUP(A46,Library!$B$4:$G$69,6,FALSE)</f>
        <v>1</v>
      </c>
      <c r="X46" s="217">
        <f t="shared" si="12"/>
        <v>2.5823206947180473E-6</v>
      </c>
      <c r="Y46" s="185">
        <f t="shared" si="13"/>
        <v>5.1646413894360951E-7</v>
      </c>
      <c r="Z46" s="185">
        <f t="shared" si="14"/>
        <v>0</v>
      </c>
      <c r="AA46" s="218">
        <f t="shared" si="15"/>
        <v>3.6890295638829251E-8</v>
      </c>
      <c r="AB46" s="217">
        <f>X46*VLOOKUP($AB$13,Library!$T$4:$U$7,2,FALSE)</f>
        <v>3.1013671543563748E-5</v>
      </c>
      <c r="AC46" s="185">
        <f>Y46*VLOOKUP($AC$13,Library!$T$4:$U$7,2,FALSE)</f>
        <v>7.2356625865999692E-6</v>
      </c>
      <c r="AD46" s="185">
        <f>Z46*VLOOKUP($AD$13,Library!$T$4:$U$7,2,FALSE)</f>
        <v>0</v>
      </c>
      <c r="AE46" s="218">
        <f>AA46*VLOOKUP($AE$13,Library!$T$4:$U$7,2,FALSE)</f>
        <v>1.183071781137254E-6</v>
      </c>
    </row>
    <row r="47" spans="1:33" ht="14.4" x14ac:dyDescent="0.3">
      <c r="A47" s="25" t="s">
        <v>45</v>
      </c>
      <c r="B47">
        <f>VLOOKUP(A47,Library!$P$4:$Q$18,2,FALSE)</f>
        <v>137.13999999999999</v>
      </c>
      <c r="C47" s="117">
        <f>VLOOKUP(A47,'Mod Wolfe v4'!$I$5:$K$14,2,FALSE)*'Mod Wolfe v4'!$G$17/'Mod Wolfe v4'!$G$19</f>
        <v>0.1</v>
      </c>
      <c r="D47" s="6" t="str">
        <f>VLOOKUP(A47,'Mod Wolfe v1'!$I$5:$K$14,3,FALSE)</f>
        <v>mg/L</v>
      </c>
      <c r="E47" s="26">
        <f t="shared" si="11"/>
        <v>7.2918185795537416E-7</v>
      </c>
      <c r="J47" s="205"/>
      <c r="K47" s="205"/>
      <c r="T47" s="217">
        <f>VLOOKUP(A47,Library!$B$4:$G$69,3,FALSE)</f>
        <v>7</v>
      </c>
      <c r="U47" s="185">
        <f>VLOOKUP(A47,Library!$B$4:$G$69,4,FALSE)</f>
        <v>1</v>
      </c>
      <c r="V47" s="185">
        <f>VLOOKUP(A47,Library!$B$4:$G$69,5,FALSE)</f>
        <v>0</v>
      </c>
      <c r="W47" s="218">
        <f>VLOOKUP(A47,Library!$B$4:$G$69,6,FALSE)</f>
        <v>0</v>
      </c>
      <c r="X47" s="217">
        <f t="shared" si="12"/>
        <v>5.1042730056876194E-6</v>
      </c>
      <c r="Y47" s="185">
        <f t="shared" si="13"/>
        <v>7.2918185795537416E-7</v>
      </c>
      <c r="Z47" s="185">
        <f t="shared" si="14"/>
        <v>0</v>
      </c>
      <c r="AA47" s="218">
        <f t="shared" si="15"/>
        <v>0</v>
      </c>
      <c r="AB47" s="217">
        <f>X47*VLOOKUP($AB$13,Library!$T$4:$U$7,2,FALSE)</f>
        <v>6.1302318798308312E-5</v>
      </c>
      <c r="AC47" s="185">
        <f>Y47*VLOOKUP($AC$13,Library!$T$4:$U$7,2,FALSE)</f>
        <v>1.0215837829954792E-5</v>
      </c>
      <c r="AD47" s="185">
        <f>Z47*VLOOKUP($AD$13,Library!$T$4:$U$7,2,FALSE)</f>
        <v>0</v>
      </c>
      <c r="AE47" s="218">
        <f>AA47*VLOOKUP($AE$13,Library!$T$4:$U$7,2,FALSE)</f>
        <v>0</v>
      </c>
    </row>
    <row r="48" spans="1:33" ht="14.4" x14ac:dyDescent="0.3">
      <c r="A48" s="25" t="s">
        <v>288</v>
      </c>
      <c r="B48">
        <f>VLOOKUP(A48,Library!$P$4:$Q$18,2,FALSE)</f>
        <v>206.33</v>
      </c>
      <c r="C48" s="117">
        <f>VLOOKUP(A48,'Mod Wolfe v4'!$I$5:$K$14,2,FALSE)*'Mod Wolfe v4'!$G$17/'Mod Wolfe v4'!$G$19</f>
        <v>0.05</v>
      </c>
      <c r="D48" s="6" t="str">
        <f>VLOOKUP(A48,'Mod Wolfe v1'!$I$5:$K$14,3,FALSE)</f>
        <v>mg/L</v>
      </c>
      <c r="E48" s="26">
        <f t="shared" si="11"/>
        <v>2.4233024766151311E-7</v>
      </c>
      <c r="J48" s="205"/>
      <c r="K48" s="205"/>
      <c r="T48" s="217">
        <f>VLOOKUP(A48,Library!$B$4:$G$69,3,FALSE)</f>
        <v>8</v>
      </c>
      <c r="U48" s="185">
        <f>VLOOKUP(A48,Library!$B$4:$G$69,4,FALSE)</f>
        <v>0</v>
      </c>
      <c r="V48" s="185">
        <f>VLOOKUP(A48,Library!$B$4:$G$69,5,FALSE)</f>
        <v>0</v>
      </c>
      <c r="W48" s="218">
        <f>VLOOKUP(A48,Library!$B$4:$G$69,6,FALSE)</f>
        <v>2</v>
      </c>
      <c r="X48" s="217">
        <f t="shared" si="12"/>
        <v>1.9386419812921049E-6</v>
      </c>
      <c r="Y48" s="185">
        <f t="shared" si="13"/>
        <v>0</v>
      </c>
      <c r="Z48" s="185">
        <f t="shared" si="14"/>
        <v>0</v>
      </c>
      <c r="AA48" s="218">
        <f t="shared" si="15"/>
        <v>4.8466049532302623E-7</v>
      </c>
      <c r="AB48" s="217">
        <f>X48*VLOOKUP($AB$13,Library!$T$4:$U$7,2,FALSE)</f>
        <v>2.3283090195318181E-5</v>
      </c>
      <c r="AC48" s="185">
        <f>Y48*VLOOKUP($AC$13,Library!$T$4:$U$7,2,FALSE)</f>
        <v>0</v>
      </c>
      <c r="AD48" s="185">
        <f>Z48*VLOOKUP($AD$13,Library!$T$4:$U$7,2,FALSE)</f>
        <v>0</v>
      </c>
      <c r="AE48" s="218">
        <f>AA48*VLOOKUP($AE$13,Library!$T$4:$U$7,2,FALSE)</f>
        <v>1.5543062085009453E-5</v>
      </c>
    </row>
    <row r="49" spans="1:33" thickBot="1" x14ac:dyDescent="0.35">
      <c r="C49" s="6"/>
      <c r="D49" s="6"/>
      <c r="E49" s="6"/>
      <c r="J49" s="205"/>
      <c r="K49" s="205"/>
      <c r="T49" s="219"/>
      <c r="U49" s="192"/>
      <c r="V49" s="192"/>
      <c r="W49" s="220"/>
      <c r="X49" s="219"/>
      <c r="Y49" s="192"/>
      <c r="Z49" s="192"/>
      <c r="AA49" s="220"/>
      <c r="AB49" s="219"/>
      <c r="AC49" s="192"/>
      <c r="AD49" s="192"/>
      <c r="AE49" s="220"/>
    </row>
    <row r="50" spans="1:33" ht="14.4" x14ac:dyDescent="0.3">
      <c r="C50" s="6"/>
      <c r="D50" s="6"/>
      <c r="E50" s="6"/>
      <c r="J50" s="205"/>
      <c r="K50" s="205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</row>
    <row r="51" spans="1:33" ht="14.4" x14ac:dyDescent="0.3">
      <c r="A51" s="7" t="s">
        <v>278</v>
      </c>
      <c r="B51" s="97"/>
      <c r="E51" s="6"/>
      <c r="J51" s="205"/>
      <c r="K51" s="205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</row>
    <row r="52" spans="1:33" ht="14.4" x14ac:dyDescent="0.3">
      <c r="A52" s="71" t="s">
        <v>98</v>
      </c>
      <c r="B52" s="71" t="s">
        <v>322</v>
      </c>
      <c r="C52" s="71" t="s">
        <v>103</v>
      </c>
      <c r="D52" s="71" t="s">
        <v>321</v>
      </c>
      <c r="J52" s="7"/>
      <c r="L52" s="6"/>
      <c r="M52" s="6"/>
      <c r="N52" s="6"/>
      <c r="AG52" s="6"/>
    </row>
    <row r="53" spans="1:33" ht="14.4" x14ac:dyDescent="0.3">
      <c r="A53" s="71" t="s">
        <v>339</v>
      </c>
      <c r="B53" s="70">
        <f>SUMIF($F$15:$F$37,A53,$L$15:$L$37)*1000</f>
        <v>0</v>
      </c>
      <c r="C53" s="70">
        <f>SUMIF($F$15:$F$37,A53,$I$15:$I$37)</f>
        <v>1.0540200136650915E-4</v>
      </c>
      <c r="D53" s="70">
        <f>SUMIF($F$15:$F$37,A53,$K$15:$K$37)</f>
        <v>1.0540200136650915E-4</v>
      </c>
      <c r="J53" s="7"/>
      <c r="L53" s="6"/>
      <c r="M53" s="6"/>
      <c r="N53" s="6"/>
      <c r="AG53" s="6"/>
    </row>
    <row r="54" spans="1:33" ht="14.4" x14ac:dyDescent="0.3">
      <c r="A54" s="70" t="s">
        <v>63</v>
      </c>
      <c r="B54" s="70">
        <f t="shared" ref="B54:B66" si="16">SUMIF($F$15:$F$37,A54,$L$15:$L$37)*1000</f>
        <v>322.78478776864677</v>
      </c>
      <c r="C54" s="70">
        <f t="shared" ref="C54:C66" si="17">SUMIF($F$15:$F$37,A54,$I$15:$I$37)</f>
        <v>1.1134438076020778E-2</v>
      </c>
      <c r="D54" s="70">
        <f t="shared" ref="D54:D66" si="18">SUMIF($F$15:$F$37,A54,$K$15:$K$37)</f>
        <v>1.1134438076020778E-2</v>
      </c>
      <c r="L54" s="6"/>
      <c r="M54" s="6"/>
      <c r="N54" s="6"/>
      <c r="AG54" s="6"/>
    </row>
    <row r="55" spans="1:33" ht="14.4" x14ac:dyDescent="0.3">
      <c r="A55" s="70" t="s">
        <v>64</v>
      </c>
      <c r="B55" s="70">
        <f t="shared" si="16"/>
        <v>19.128381701918347</v>
      </c>
      <c r="C55" s="70">
        <f t="shared" si="17"/>
        <v>7.8701426463354646E-4</v>
      </c>
      <c r="D55" s="70">
        <f t="shared" si="18"/>
        <v>3.1480570585341859E-3</v>
      </c>
      <c r="L55" s="6"/>
      <c r="M55" s="6"/>
      <c r="N55" s="6"/>
      <c r="AG55" s="6"/>
    </row>
    <row r="56" spans="1:33" ht="14.4" x14ac:dyDescent="0.3">
      <c r="A56" s="70" t="s">
        <v>65</v>
      </c>
      <c r="B56" s="70">
        <f t="shared" si="16"/>
        <v>2.453588191279505</v>
      </c>
      <c r="C56" s="70">
        <f t="shared" si="17"/>
        <v>6.122032514794912E-5</v>
      </c>
      <c r="D56" s="70">
        <f t="shared" si="18"/>
        <v>2.4488130059179648E-4</v>
      </c>
      <c r="L56" s="6"/>
      <c r="M56" s="6"/>
      <c r="N56" s="6"/>
      <c r="AG56" s="6"/>
    </row>
    <row r="57" spans="1:33" ht="14.4" x14ac:dyDescent="0.3">
      <c r="A57" s="70" t="s">
        <v>66</v>
      </c>
      <c r="B57" s="70">
        <f t="shared" si="16"/>
        <v>220.84618942900823</v>
      </c>
      <c r="C57" s="70">
        <f t="shared" si="17"/>
        <v>5.6491359097608374E-3</v>
      </c>
      <c r="D57" s="70">
        <f t="shared" si="18"/>
        <v>5.6491359097608374E-3</v>
      </c>
      <c r="L57" s="6"/>
      <c r="M57" s="6"/>
      <c r="N57" s="6"/>
      <c r="AG57" s="6"/>
    </row>
    <row r="58" spans="1:33" ht="14.4" x14ac:dyDescent="0.3">
      <c r="A58" s="70" t="s">
        <v>71</v>
      </c>
      <c r="B58" s="70">
        <f t="shared" si="16"/>
        <v>0</v>
      </c>
      <c r="C58" s="70">
        <f t="shared" si="17"/>
        <v>0</v>
      </c>
      <c r="D58" s="70">
        <f t="shared" si="18"/>
        <v>0</v>
      </c>
      <c r="L58" s="6"/>
      <c r="M58" s="6"/>
      <c r="N58" s="6"/>
      <c r="AG58" s="6"/>
    </row>
    <row r="59" spans="1:33" ht="14.4" x14ac:dyDescent="0.3">
      <c r="A59" s="70" t="s">
        <v>72</v>
      </c>
      <c r="B59" s="70">
        <f t="shared" si="16"/>
        <v>0.24693087635155031</v>
      </c>
      <c r="C59" s="70">
        <f t="shared" si="17"/>
        <v>4.2071605873196181E-6</v>
      </c>
      <c r="D59" s="70">
        <f t="shared" si="18"/>
        <v>1.6828642349278473E-5</v>
      </c>
      <c r="L59" s="6"/>
      <c r="M59" s="6"/>
      <c r="N59" s="6"/>
      <c r="AG59" s="6"/>
    </row>
    <row r="60" spans="1:33" ht="14.4" x14ac:dyDescent="0.3">
      <c r="A60" s="70" t="s">
        <v>73</v>
      </c>
      <c r="B60" s="70">
        <f t="shared" si="16"/>
        <v>0.22928401905888082</v>
      </c>
      <c r="C60" s="70">
        <f t="shared" si="17"/>
        <v>3.4778979584738982E-6</v>
      </c>
      <c r="D60" s="70">
        <f t="shared" si="18"/>
        <v>1.3911591833895593E-5</v>
      </c>
      <c r="L60" s="6"/>
      <c r="M60" s="6"/>
      <c r="N60" s="6"/>
      <c r="AG60" s="6"/>
    </row>
    <row r="61" spans="1:33" ht="14.4" x14ac:dyDescent="0.3">
      <c r="A61" s="70" t="s">
        <v>74</v>
      </c>
      <c r="B61" s="70">
        <f t="shared" si="16"/>
        <v>0.32505028990651991</v>
      </c>
      <c r="C61" s="70">
        <f t="shared" si="17"/>
        <v>5.9164595905809962E-6</v>
      </c>
      <c r="D61" s="70">
        <f t="shared" si="18"/>
        <v>2.3665838362323985E-5</v>
      </c>
      <c r="I61" s="3"/>
      <c r="L61" s="6"/>
      <c r="M61" s="6"/>
      <c r="N61" s="6"/>
      <c r="AG61" s="6"/>
    </row>
    <row r="62" spans="1:33" ht="14.4" x14ac:dyDescent="0.3">
      <c r="A62" s="70" t="s">
        <v>75</v>
      </c>
      <c r="B62" s="70">
        <f t="shared" si="16"/>
        <v>0.24769129575925691</v>
      </c>
      <c r="C62" s="70">
        <f t="shared" si="17"/>
        <v>4.2029168242760473E-6</v>
      </c>
      <c r="D62" s="70">
        <f t="shared" si="18"/>
        <v>1.6811667297104189E-5</v>
      </c>
      <c r="I62" s="3"/>
      <c r="L62" s="6"/>
      <c r="M62" s="6"/>
      <c r="N62" s="6"/>
      <c r="AG62" s="6"/>
    </row>
    <row r="63" spans="1:33" ht="14.4" x14ac:dyDescent="0.3">
      <c r="A63" s="70" t="s">
        <v>78</v>
      </c>
      <c r="B63" s="70">
        <f t="shared" si="16"/>
        <v>337.99536445462553</v>
      </c>
      <c r="C63" s="70">
        <f t="shared" si="17"/>
        <v>1.8735884947595653E-2</v>
      </c>
      <c r="D63" s="70">
        <f t="shared" si="18"/>
        <v>1.8735884947595653E-2</v>
      </c>
      <c r="I63" s="3"/>
      <c r="L63" s="6"/>
      <c r="M63" s="6"/>
      <c r="N63" s="6"/>
      <c r="AG63" s="6"/>
    </row>
    <row r="64" spans="1:33" ht="14.4" x14ac:dyDescent="0.3">
      <c r="A64" s="70" t="s">
        <v>80</v>
      </c>
      <c r="B64" s="70">
        <f t="shared" si="16"/>
        <v>2.2785739786810835</v>
      </c>
      <c r="C64" s="70">
        <f t="shared" si="17"/>
        <v>4.0801754475442447E-5</v>
      </c>
      <c r="D64" s="70">
        <f t="shared" si="18"/>
        <v>1.6320701790176979E-4</v>
      </c>
      <c r="I64" s="3"/>
      <c r="J64" s="3"/>
      <c r="K64" s="3"/>
      <c r="O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ht="14.4" x14ac:dyDescent="0.3">
      <c r="A65" s="70" t="s">
        <v>114</v>
      </c>
      <c r="B65" s="70">
        <f t="shared" si="16"/>
        <v>0</v>
      </c>
      <c r="C65" s="70">
        <f t="shared" si="17"/>
        <v>0</v>
      </c>
      <c r="D65" s="70">
        <f t="shared" si="18"/>
        <v>0</v>
      </c>
      <c r="I65" s="3"/>
      <c r="J65" s="3"/>
      <c r="K65" s="3"/>
      <c r="O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ht="14.4" x14ac:dyDescent="0.3">
      <c r="A66" s="70" t="s">
        <v>81</v>
      </c>
      <c r="B66" s="70">
        <f t="shared" si="16"/>
        <v>7.4812763960581882E-2</v>
      </c>
      <c r="C66" s="70">
        <f t="shared" si="17"/>
        <v>3.9887376818395113E-7</v>
      </c>
      <c r="D66" s="70">
        <f t="shared" si="18"/>
        <v>1.5954950727358045E-6</v>
      </c>
      <c r="I66" s="3"/>
      <c r="J66" s="3"/>
      <c r="K66" s="3"/>
      <c r="O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14.4" x14ac:dyDescent="0.3">
      <c r="A67" s="71" t="s">
        <v>99</v>
      </c>
      <c r="B67" s="71" t="s">
        <v>322</v>
      </c>
      <c r="C67" s="71" t="s">
        <v>103</v>
      </c>
      <c r="D67" s="71" t="s">
        <v>321</v>
      </c>
      <c r="E67" s="6"/>
      <c r="F67" s="3"/>
      <c r="G67" s="3"/>
      <c r="H67" s="3"/>
      <c r="I67" s="3"/>
      <c r="M67" s="3"/>
      <c r="O67" s="3"/>
      <c r="P67" s="3"/>
      <c r="Q67" s="3"/>
      <c r="R67" s="3"/>
      <c r="S67" s="3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</row>
    <row r="68" spans="1:31" ht="14.4" x14ac:dyDescent="0.3">
      <c r="A68" s="71" t="s">
        <v>111</v>
      </c>
      <c r="B68" s="70">
        <f t="shared" ref="B68:B83" si="19">SUMIF($M$15:$M$37,A68,$S$15:$S$37)*1000</f>
        <v>11.15</v>
      </c>
      <c r="C68" s="70">
        <f>SUMIF($M$15:$M$37,A68,$P$15:$P$37)</f>
        <v>5.8334205294548499E-5</v>
      </c>
      <c r="D68" s="70">
        <f>SUMIF($M$15:$M$37,A68,$R$15:$R$37)</f>
        <v>5.250078476509365E-4</v>
      </c>
      <c r="E68" s="6"/>
      <c r="F68" s="3"/>
      <c r="G68" s="3"/>
      <c r="H68" s="3"/>
      <c r="I68" s="3"/>
      <c r="M68" s="3"/>
      <c r="O68" s="3"/>
      <c r="P68" s="3"/>
      <c r="Q68" s="3"/>
      <c r="R68" s="3"/>
      <c r="S68" s="3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  <c r="AE68" s="109"/>
    </row>
    <row r="69" spans="1:31" ht="14.4" x14ac:dyDescent="0.3">
      <c r="A69" s="70" t="s">
        <v>70</v>
      </c>
      <c r="B69" s="70">
        <f t="shared" si="19"/>
        <v>1091.2828294795636</v>
      </c>
      <c r="C69" s="70">
        <f t="shared" ref="C69:C83" si="20">SUMIF($M$15:$M$37,A69,$P$15:$P$37)</f>
        <v>3.0781113854386467E-2</v>
      </c>
      <c r="D69" s="70">
        <f t="shared" ref="D69:D83" si="21">SUMIF($M$15:$M$37,A69,$R$15:$R$37)</f>
        <v>3.0781113854386467E-2</v>
      </c>
      <c r="E69" s="6"/>
      <c r="F69" s="3"/>
      <c r="G69" s="3"/>
      <c r="H69" s="3"/>
      <c r="I69" s="3"/>
      <c r="M69" s="3"/>
      <c r="O69" s="3"/>
      <c r="P69" s="3"/>
      <c r="Q69" s="3"/>
      <c r="R69" s="3"/>
      <c r="S69" s="3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  <c r="AE69" s="109"/>
    </row>
    <row r="70" spans="1:31" ht="14.4" x14ac:dyDescent="0.3">
      <c r="A70" s="70" t="s">
        <v>69</v>
      </c>
      <c r="B70" s="70">
        <f t="shared" si="19"/>
        <v>4.8218385210732144</v>
      </c>
      <c r="C70" s="70">
        <f t="shared" si="20"/>
        <v>5.0196112024497336E-5</v>
      </c>
      <c r="D70" s="70">
        <f t="shared" si="21"/>
        <v>2.0078444809798934E-4</v>
      </c>
      <c r="E70" s="6"/>
      <c r="F70" s="3"/>
      <c r="G70" s="3"/>
      <c r="H70" s="3"/>
      <c r="I70" s="3"/>
      <c r="M70" s="3"/>
      <c r="O70" s="3"/>
      <c r="P70" s="3"/>
      <c r="Q70" s="3"/>
      <c r="R70" s="3"/>
      <c r="S70" s="3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  <c r="AE70" s="109"/>
    </row>
    <row r="71" spans="1:31" ht="14.4" x14ac:dyDescent="0.3">
      <c r="A71" s="70" t="s">
        <v>67</v>
      </c>
      <c r="B71" s="70">
        <f t="shared" si="19"/>
        <v>0</v>
      </c>
      <c r="C71" s="70">
        <f t="shared" si="20"/>
        <v>0</v>
      </c>
      <c r="D71" s="70">
        <f t="shared" si="21"/>
        <v>0</v>
      </c>
      <c r="E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 spans="1:31" ht="14.4" x14ac:dyDescent="0.3">
      <c r="A72" s="70" t="s">
        <v>68</v>
      </c>
      <c r="B72" s="70">
        <f t="shared" si="19"/>
        <v>0</v>
      </c>
      <c r="C72" s="70">
        <f t="shared" si="20"/>
        <v>0</v>
      </c>
      <c r="D72" s="70">
        <f t="shared" si="21"/>
        <v>0</v>
      </c>
      <c r="E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 spans="1:31" ht="14.4" x14ac:dyDescent="0.3">
      <c r="A73" s="70" t="s">
        <v>79</v>
      </c>
      <c r="B73" s="70">
        <f t="shared" si="19"/>
        <v>0</v>
      </c>
      <c r="C73" s="70">
        <f t="shared" si="20"/>
        <v>0</v>
      </c>
      <c r="D73" s="70">
        <f t="shared" si="21"/>
        <v>0</v>
      </c>
      <c r="E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 spans="1:31" ht="14.4" x14ac:dyDescent="0.3">
      <c r="A74" s="70" t="s">
        <v>82</v>
      </c>
      <c r="B74" s="70">
        <f t="shared" si="19"/>
        <v>372.92627062590816</v>
      </c>
      <c r="C74" s="70">
        <f t="shared" si="20"/>
        <v>3.9267797265021397E-3</v>
      </c>
      <c r="D74" s="70">
        <f t="shared" si="21"/>
        <v>3.5341017538519252E-2</v>
      </c>
      <c r="E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 spans="1:31" ht="14.4" x14ac:dyDescent="0.3">
      <c r="A75" s="70" t="s">
        <v>113</v>
      </c>
      <c r="B75" s="70">
        <f t="shared" si="19"/>
        <v>9.5115639657124371E-2</v>
      </c>
      <c r="C75" s="70">
        <f t="shared" si="20"/>
        <v>1.6173378618793466E-6</v>
      </c>
      <c r="D75" s="70">
        <f t="shared" si="21"/>
        <v>1.4556040756914119E-5</v>
      </c>
      <c r="E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 spans="1:31" ht="14.4" x14ac:dyDescent="0.3">
      <c r="A76" s="70" t="s">
        <v>112</v>
      </c>
      <c r="B76" s="70">
        <f t="shared" si="19"/>
        <v>0.75137183568288612</v>
      </c>
      <c r="C76" s="70">
        <f t="shared" si="20"/>
        <v>3.0316810671517355E-6</v>
      </c>
      <c r="D76" s="70">
        <f t="shared" si="21"/>
        <v>3.0316810671517355E-6</v>
      </c>
    </row>
    <row r="77" spans="1:31" ht="14.4" x14ac:dyDescent="0.3">
      <c r="A77" s="70" t="s">
        <v>76</v>
      </c>
      <c r="B77" s="70">
        <f>SUMIF($M$15:$M$37,A77,$S$15:$S$37)*1000</f>
        <v>0.93823322383857333</v>
      </c>
      <c r="C77" s="70">
        <f t="shared" si="20"/>
        <v>5.8657907085875177E-6</v>
      </c>
      <c r="D77" s="70">
        <f t="shared" si="21"/>
        <v>2.3463162834350071E-5</v>
      </c>
    </row>
    <row r="78" spans="1:31" ht="14.4" x14ac:dyDescent="0.3">
      <c r="A78" s="70" t="s">
        <v>79</v>
      </c>
      <c r="B78" s="70">
        <f t="shared" si="19"/>
        <v>0</v>
      </c>
      <c r="C78" s="70">
        <f t="shared" si="20"/>
        <v>0</v>
      </c>
      <c r="D78" s="70">
        <f t="shared" si="21"/>
        <v>0</v>
      </c>
    </row>
    <row r="79" spans="1:31" ht="14.4" x14ac:dyDescent="0.3">
      <c r="A79" s="70" t="s">
        <v>115</v>
      </c>
      <c r="B79" s="70">
        <f t="shared" si="19"/>
        <v>1.4683474037238351</v>
      </c>
      <c r="C79" s="70">
        <f t="shared" si="20"/>
        <v>1.1564704521799469E-5</v>
      </c>
      <c r="D79" s="70">
        <f t="shared" si="21"/>
        <v>4.6258818087197875E-5</v>
      </c>
    </row>
    <row r="80" spans="1:31" ht="14.4" x14ac:dyDescent="0.3">
      <c r="A80" s="70" t="s">
        <v>84</v>
      </c>
      <c r="B80" s="70">
        <f t="shared" si="19"/>
        <v>10.680323091015071</v>
      </c>
      <c r="C80" s="70">
        <f t="shared" si="20"/>
        <v>3.330835206928137E-4</v>
      </c>
      <c r="D80" s="70">
        <f t="shared" si="21"/>
        <v>1.3323340827712548E-3</v>
      </c>
    </row>
    <row r="81" spans="1:4" ht="14.4" x14ac:dyDescent="0.3">
      <c r="A81" s="70" t="s">
        <v>119</v>
      </c>
      <c r="B81" s="70">
        <f t="shared" si="19"/>
        <v>0</v>
      </c>
      <c r="C81" s="70">
        <f t="shared" si="20"/>
        <v>0</v>
      </c>
      <c r="D81" s="70">
        <f t="shared" si="21"/>
        <v>0</v>
      </c>
    </row>
    <row r="82" spans="1:4" ht="14.4" x14ac:dyDescent="0.3">
      <c r="A82" s="70" t="s">
        <v>299</v>
      </c>
      <c r="B82" s="70">
        <f t="shared" si="19"/>
        <v>300.00390090336708</v>
      </c>
      <c r="C82" s="70">
        <f t="shared" si="20"/>
        <v>1.0265535176567204E-3</v>
      </c>
      <c r="D82" s="70">
        <f t="shared" si="21"/>
        <v>4.1062140706268815E-3</v>
      </c>
    </row>
    <row r="83" spans="1:4" ht="14.4" x14ac:dyDescent="0.3">
      <c r="A83" s="70" t="s">
        <v>128</v>
      </c>
      <c r="B83" s="70">
        <f t="shared" si="19"/>
        <v>0</v>
      </c>
      <c r="C83" s="70">
        <f t="shared" si="20"/>
        <v>0</v>
      </c>
      <c r="D83" s="70">
        <f t="shared" si="21"/>
        <v>0</v>
      </c>
    </row>
    <row r="84" spans="1:4" ht="14.4" x14ac:dyDescent="0.3">
      <c r="A84" s="71" t="s">
        <v>356</v>
      </c>
      <c r="B84" s="70" t="s">
        <v>322</v>
      </c>
      <c r="C84" s="70"/>
    </row>
    <row r="85" spans="1:4" ht="14.4" x14ac:dyDescent="0.3">
      <c r="A85" t="s">
        <v>116</v>
      </c>
      <c r="B85" s="70">
        <f>B79*78.96/126.96</f>
        <v>0.91320660836510725</v>
      </c>
      <c r="C85" s="70"/>
    </row>
    <row r="86" spans="1:4" ht="14.4" x14ac:dyDescent="0.3">
      <c r="A86" t="s">
        <v>87</v>
      </c>
      <c r="B86" s="70">
        <f>B77*95.95/159.95</f>
        <v>0.5628226184889723</v>
      </c>
      <c r="C86" s="70"/>
    </row>
    <row r="87" spans="1:4" ht="14.4" x14ac:dyDescent="0.3">
      <c r="A87" t="s">
        <v>88</v>
      </c>
      <c r="B87" s="70">
        <f>B75*10.911/58.81</f>
        <v>1.7646773410965547E-2</v>
      </c>
      <c r="C87" s="70"/>
    </row>
    <row r="88" spans="1:4" ht="14.4" x14ac:dyDescent="0.3">
      <c r="A88" t="s">
        <v>393</v>
      </c>
      <c r="B88" s="70">
        <f>C24*Library!C14/Library!C15*1000</f>
        <v>12.770506485566248</v>
      </c>
      <c r="C88" s="70"/>
    </row>
    <row r="89" spans="1:4" ht="14.4" x14ac:dyDescent="0.3">
      <c r="A89" s="71" t="s">
        <v>315</v>
      </c>
      <c r="B89" s="71" t="s">
        <v>322</v>
      </c>
      <c r="C89" s="71" t="s">
        <v>61</v>
      </c>
    </row>
    <row r="90" spans="1:4" ht="14.4" x14ac:dyDescent="0.3">
      <c r="A90" s="70" t="s">
        <v>44</v>
      </c>
      <c r="B90" s="70">
        <f>SUM(AD15:AD49)*1000</f>
        <v>121.61236812977124</v>
      </c>
      <c r="C90" s="70">
        <f>SUM(Z15:Z49)</f>
        <v>3.9267797265021397E-3</v>
      </c>
    </row>
    <row r="91" spans="1:4" ht="14.4" x14ac:dyDescent="0.3">
      <c r="A91" s="70" t="s">
        <v>47</v>
      </c>
      <c r="B91" s="70">
        <f>SUM(AC15:AC49)*1000</f>
        <v>293.63006696004726</v>
      </c>
      <c r="C91" s="70">
        <f>SUM(Y15:Y49)</f>
        <v>2.0958605778732854E-2</v>
      </c>
    </row>
    <row r="92" spans="1:4" ht="14.4" x14ac:dyDescent="0.3">
      <c r="A92" s="70" t="s">
        <v>196</v>
      </c>
      <c r="B92" s="70">
        <f>SUM(AE15:AE49)*1000</f>
        <v>15.517654131249127</v>
      </c>
      <c r="C92" s="70">
        <f>SUM(AA15:AA49)</f>
        <v>4.8386822984874115E-4</v>
      </c>
    </row>
    <row r="93" spans="1:4" ht="14.4" x14ac:dyDescent="0.3">
      <c r="A93" s="70" t="s">
        <v>51</v>
      </c>
      <c r="B93" s="70">
        <f>SUM(AB15:AB49)*1000</f>
        <v>131.70286696275457</v>
      </c>
      <c r="C93" s="70">
        <f>SUM(X15:X49)</f>
        <v>1.0966100496482485E-2</v>
      </c>
    </row>
    <row r="94" spans="1:4" ht="14.4" x14ac:dyDescent="0.3">
      <c r="A94" s="71" t="s">
        <v>320</v>
      </c>
      <c r="B94" s="71" t="s">
        <v>325</v>
      </c>
      <c r="C94" s="7"/>
    </row>
    <row r="95" spans="1:4" ht="14.4" x14ac:dyDescent="0.3">
      <c r="A95" s="70" t="str">
        <f>'Mod Wolfe v4 calcs'!A39</f>
        <v>biotin</v>
      </c>
      <c r="B95" s="79">
        <f>VLOOKUP(A95,$A$39:$C$48,3,FALSE)*1000</f>
        <v>50</v>
      </c>
    </row>
    <row r="96" spans="1:4" ht="14.4" x14ac:dyDescent="0.3">
      <c r="A96" s="70" t="str">
        <f>'Mod Wolfe v4 calcs'!A40</f>
        <v>folic acid</v>
      </c>
      <c r="B96" s="79">
        <f t="shared" ref="B96:B106" si="22">VLOOKUP(A96,$A$39:$C$48,3,FALSE)*1000</f>
        <v>50</v>
      </c>
    </row>
    <row r="97" spans="1:3" ht="14.4" x14ac:dyDescent="0.3">
      <c r="A97" s="70" t="str">
        <f>'Mod Wolfe v4 calcs'!A41</f>
        <v>pyridoxine</v>
      </c>
      <c r="B97" s="79">
        <f t="shared" si="22"/>
        <v>100</v>
      </c>
    </row>
    <row r="98" spans="1:3" ht="14.4" x14ac:dyDescent="0.3">
      <c r="A98" s="70" t="str">
        <f>'Mod Wolfe v4 calcs'!A42</f>
        <v>thiamine</v>
      </c>
      <c r="B98" s="79">
        <f t="shared" si="22"/>
        <v>100</v>
      </c>
    </row>
    <row r="99" spans="1:3" ht="14.4" x14ac:dyDescent="0.3">
      <c r="A99" s="70" t="str">
        <f>'Mod Wolfe v4 calcs'!A43</f>
        <v>riboflavin</v>
      </c>
      <c r="B99" s="79">
        <f t="shared" si="22"/>
        <v>100</v>
      </c>
    </row>
    <row r="100" spans="1:3" ht="14.4" x14ac:dyDescent="0.3">
      <c r="A100" s="70" t="str">
        <f>'Mod Wolfe v4 calcs'!A44</f>
        <v>nicotinic acid</v>
      </c>
      <c r="B100" s="79">
        <f t="shared" si="22"/>
        <v>100</v>
      </c>
    </row>
    <row r="101" spans="1:3" ht="15" customHeight="1" x14ac:dyDescent="0.3">
      <c r="A101" s="70" t="str">
        <f>'Mod Wolfe v4 calcs'!A45</f>
        <v>Ca-pantothenate</v>
      </c>
      <c r="B101" s="79">
        <f t="shared" si="22"/>
        <v>100</v>
      </c>
    </row>
    <row r="102" spans="1:3" ht="15" customHeight="1" x14ac:dyDescent="0.3">
      <c r="A102" s="70" t="str">
        <f>'Mod Wolfe v4 calcs'!A46</f>
        <v>Vitamin B-12</v>
      </c>
      <c r="B102" s="79">
        <f t="shared" si="22"/>
        <v>50</v>
      </c>
    </row>
    <row r="103" spans="1:3" ht="15" customHeight="1" x14ac:dyDescent="0.3">
      <c r="A103" s="70" t="str">
        <f>'Mod Wolfe v4 calcs'!A47</f>
        <v>p-aminobenzoic acid</v>
      </c>
      <c r="B103" s="79">
        <f t="shared" si="22"/>
        <v>100</v>
      </c>
    </row>
    <row r="104" spans="1:3" ht="15" customHeight="1" x14ac:dyDescent="0.3">
      <c r="A104" s="70" t="str">
        <f>'Mod Wolfe v4 calcs'!A48</f>
        <v>lipoic acid</v>
      </c>
      <c r="B104" s="79">
        <f t="shared" si="22"/>
        <v>50</v>
      </c>
    </row>
    <row r="105" spans="1:3" ht="15" customHeight="1" x14ac:dyDescent="0.3">
      <c r="A105" s="181" t="s">
        <v>123</v>
      </c>
      <c r="B105" s="79" t="e">
        <f t="shared" si="22"/>
        <v>#N/A</v>
      </c>
    </row>
    <row r="106" spans="1:3" ht="15" customHeight="1" x14ac:dyDescent="0.3">
      <c r="A106" t="s">
        <v>288</v>
      </c>
      <c r="B106" s="79">
        <f t="shared" si="22"/>
        <v>50</v>
      </c>
    </row>
    <row r="107" spans="1:3" ht="15" customHeight="1" x14ac:dyDescent="0.3">
      <c r="A107" s="7" t="s">
        <v>279</v>
      </c>
      <c r="B107" s="269">
        <f>SUM(B54:B58,B69:B73)/1000</f>
        <v>1.6613176150914897</v>
      </c>
      <c r="C107" t="s">
        <v>97</v>
      </c>
    </row>
    <row r="108" spans="1:3" ht="15" customHeight="1" x14ac:dyDescent="0.3">
      <c r="A108" s="7" t="s">
        <v>4</v>
      </c>
      <c r="B108" s="269">
        <f>SUM(D53:D66,D68:D83)/2</f>
        <v>5.5813800545742615E-2</v>
      </c>
    </row>
    <row r="109" spans="1:3" ht="15" customHeight="1" x14ac:dyDescent="0.3">
      <c r="A109" s="70"/>
    </row>
  </sheetData>
  <pageMargins left="0.7" right="0.7" top="0.75" bottom="0.75" header="0.3" footer="0.3"/>
  <pageSetup scale="4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B9D0-08BC-4195-900E-B424C2D5D3EF}">
  <sheetPr>
    <tabColor theme="9" tint="0.39997558519241921"/>
    <pageSetUpPr fitToPage="1"/>
  </sheetPr>
  <dimension ref="A1:Q63"/>
  <sheetViews>
    <sheetView topLeftCell="E1" zoomScale="88" zoomScaleNormal="70" workbookViewId="0">
      <selection activeCell="G22" sqref="G22:G23"/>
    </sheetView>
  </sheetViews>
  <sheetFormatPr defaultRowHeight="14.4" x14ac:dyDescent="0.3"/>
  <cols>
    <col min="2" max="2" width="18.44140625" customWidth="1"/>
    <col min="3" max="4" width="16.44140625" customWidth="1"/>
    <col min="6" max="6" width="33.88671875" customWidth="1"/>
    <col min="7" max="7" width="24" customWidth="1"/>
    <col min="8" max="8" width="14.109375" customWidth="1"/>
    <col min="9" max="9" width="29.88671875" customWidth="1"/>
    <col min="10" max="10" width="25.5546875" customWidth="1"/>
    <col min="11" max="11" width="11.88671875" bestFit="1" customWidth="1"/>
    <col min="12" max="12" width="26" customWidth="1"/>
    <col min="13" max="13" width="11.109375" customWidth="1"/>
    <col min="14" max="14" width="12.109375" customWidth="1"/>
    <col min="15" max="15" width="24" customWidth="1"/>
    <col min="16" max="16" width="12.6640625" customWidth="1"/>
    <col min="17" max="17" width="16.5546875" customWidth="1"/>
  </cols>
  <sheetData>
    <row r="1" spans="2:15" x14ac:dyDescent="0.3">
      <c r="I1" s="1"/>
      <c r="J1" s="1"/>
      <c r="K1" s="2"/>
    </row>
    <row r="2" spans="2:15" ht="15" thickBot="1" x14ac:dyDescent="0.35">
      <c r="F2" s="7" t="s">
        <v>0</v>
      </c>
      <c r="I2" s="42" t="s">
        <v>289</v>
      </c>
      <c r="J2" s="1"/>
      <c r="K2" s="2"/>
      <c r="L2" s="7" t="s">
        <v>343</v>
      </c>
    </row>
    <row r="3" spans="2:15" ht="18.600000000000001" thickBot="1" x14ac:dyDescent="0.4">
      <c r="B3" s="56" t="s">
        <v>3</v>
      </c>
      <c r="C3" s="53"/>
      <c r="D3" t="s">
        <v>4</v>
      </c>
      <c r="F3" s="351" t="s">
        <v>5</v>
      </c>
      <c r="G3" s="352"/>
      <c r="H3" s="353"/>
      <c r="I3" s="351" t="s">
        <v>5</v>
      </c>
      <c r="J3" s="352"/>
      <c r="K3" s="353"/>
      <c r="L3" s="60" t="s">
        <v>6</v>
      </c>
      <c r="M3" s="61" t="s">
        <v>7</v>
      </c>
      <c r="N3" s="62" t="s">
        <v>8</v>
      </c>
    </row>
    <row r="4" spans="2:15" ht="43.8" x14ac:dyDescent="0.35">
      <c r="B4" s="95" t="s">
        <v>9</v>
      </c>
      <c r="C4" s="93">
        <f>SUM(H27:H36,H44)/1000</f>
        <v>0</v>
      </c>
      <c r="D4" s="8"/>
      <c r="F4" s="43" t="s">
        <v>6</v>
      </c>
      <c r="G4" s="44" t="s">
        <v>10</v>
      </c>
      <c r="H4" s="45" t="s">
        <v>8</v>
      </c>
      <c r="I4" s="60" t="s">
        <v>11</v>
      </c>
      <c r="J4" s="61" t="s">
        <v>10</v>
      </c>
      <c r="K4" s="62" t="s">
        <v>8</v>
      </c>
      <c r="L4" s="25" t="s">
        <v>124</v>
      </c>
      <c r="M4" s="51">
        <v>10</v>
      </c>
      <c r="N4" s="72" t="s">
        <v>37</v>
      </c>
      <c r="O4" t="s">
        <v>351</v>
      </c>
    </row>
    <row r="5" spans="2:15" ht="18" x14ac:dyDescent="0.35">
      <c r="B5" s="88" t="s">
        <v>13</v>
      </c>
      <c r="C5" s="87">
        <f>H27/1000</f>
        <v>0</v>
      </c>
      <c r="D5" s="8"/>
      <c r="F5" s="25" t="s">
        <v>307</v>
      </c>
      <c r="G5" s="51">
        <v>0.35</v>
      </c>
      <c r="H5" s="48" t="s">
        <v>14</v>
      </c>
      <c r="I5" s="25" t="s">
        <v>15</v>
      </c>
      <c r="J5" s="50">
        <v>20</v>
      </c>
      <c r="K5" s="64" t="s">
        <v>16</v>
      </c>
      <c r="L5" s="25" t="s">
        <v>164</v>
      </c>
      <c r="M5" s="51">
        <v>1.5</v>
      </c>
      <c r="N5" s="72" t="s">
        <v>12</v>
      </c>
    </row>
    <row r="6" spans="2:15" ht="18" x14ac:dyDescent="0.35">
      <c r="B6" s="88" t="s">
        <v>18</v>
      </c>
      <c r="C6" s="87">
        <f>H30/1000</f>
        <v>0</v>
      </c>
      <c r="D6" s="8"/>
      <c r="F6" s="25" t="s">
        <v>308</v>
      </c>
      <c r="G6" s="51">
        <v>0.23</v>
      </c>
      <c r="H6" s="48" t="s">
        <v>12</v>
      </c>
      <c r="I6" s="25" t="s">
        <v>19</v>
      </c>
      <c r="J6" s="50">
        <v>20</v>
      </c>
      <c r="K6" s="64" t="s">
        <v>16</v>
      </c>
      <c r="L6" s="25" t="s">
        <v>168</v>
      </c>
      <c r="M6" s="51">
        <v>70</v>
      </c>
      <c r="N6" s="72" t="s">
        <v>160</v>
      </c>
    </row>
    <row r="7" spans="2:15" ht="18" x14ac:dyDescent="0.35">
      <c r="B7" s="88" t="s">
        <v>20</v>
      </c>
      <c r="C7" s="87">
        <f>H31/1000</f>
        <v>0</v>
      </c>
      <c r="D7" s="8"/>
      <c r="F7" s="25" t="s">
        <v>21</v>
      </c>
      <c r="G7" s="51">
        <v>0.5</v>
      </c>
      <c r="H7" s="48" t="s">
        <v>12</v>
      </c>
      <c r="I7" s="25" t="s">
        <v>120</v>
      </c>
      <c r="J7" s="50">
        <v>100</v>
      </c>
      <c r="K7" s="64" t="s">
        <v>16</v>
      </c>
      <c r="L7" s="25" t="s">
        <v>163</v>
      </c>
      <c r="M7" s="51">
        <v>100</v>
      </c>
      <c r="N7" s="72" t="s">
        <v>160</v>
      </c>
    </row>
    <row r="8" spans="2:15" ht="18" x14ac:dyDescent="0.35">
      <c r="B8" s="88" t="s">
        <v>24</v>
      </c>
      <c r="C8" s="87">
        <f>H35/1000</f>
        <v>0</v>
      </c>
      <c r="D8" s="8"/>
      <c r="F8" s="25" t="s">
        <v>290</v>
      </c>
      <c r="G8" s="51">
        <v>0.5</v>
      </c>
      <c r="H8" s="48" t="s">
        <v>12</v>
      </c>
      <c r="I8" s="25" t="s">
        <v>121</v>
      </c>
      <c r="J8" s="50">
        <v>50</v>
      </c>
      <c r="K8" s="64" t="s">
        <v>16</v>
      </c>
      <c r="L8" s="25" t="s">
        <v>31</v>
      </c>
      <c r="M8" s="51">
        <v>6</v>
      </c>
      <c r="N8" s="72" t="s">
        <v>160</v>
      </c>
    </row>
    <row r="9" spans="2:15" ht="18" x14ac:dyDescent="0.35">
      <c r="B9" s="88" t="s">
        <v>28</v>
      </c>
      <c r="C9" s="87">
        <f>C10-SUM(C5:C8)</f>
        <v>0</v>
      </c>
      <c r="D9" s="8"/>
      <c r="F9" s="25" t="s">
        <v>29</v>
      </c>
      <c r="G9" s="51">
        <v>0.25</v>
      </c>
      <c r="H9" s="48" t="s">
        <v>12</v>
      </c>
      <c r="I9" s="25" t="s">
        <v>30</v>
      </c>
      <c r="J9" s="50">
        <v>50</v>
      </c>
      <c r="K9" s="64" t="s">
        <v>16</v>
      </c>
      <c r="L9" s="25" t="s">
        <v>35</v>
      </c>
      <c r="M9" s="51">
        <v>190</v>
      </c>
      <c r="N9" s="72" t="s">
        <v>160</v>
      </c>
    </row>
    <row r="10" spans="2:15" ht="18.600000000000001" thickBot="1" x14ac:dyDescent="0.4">
      <c r="B10" s="89" t="s">
        <v>32</v>
      </c>
      <c r="C10" s="90">
        <f>SUM(H27:H41,H43:H48)/1000</f>
        <v>0</v>
      </c>
      <c r="D10" s="8"/>
      <c r="F10" s="25" t="s">
        <v>33</v>
      </c>
      <c r="G10" s="51">
        <v>2.25</v>
      </c>
      <c r="H10" s="48" t="s">
        <v>12</v>
      </c>
      <c r="I10" s="25" t="s">
        <v>34</v>
      </c>
      <c r="J10" s="50">
        <v>50</v>
      </c>
      <c r="K10" s="64" t="s">
        <v>16</v>
      </c>
      <c r="L10" s="25" t="s">
        <v>179</v>
      </c>
      <c r="M10" s="51">
        <v>2</v>
      </c>
      <c r="N10" s="72" t="s">
        <v>160</v>
      </c>
    </row>
    <row r="11" spans="2:15" ht="18.600000000000001" thickBot="1" x14ac:dyDescent="0.4">
      <c r="F11" s="20" t="s">
        <v>291</v>
      </c>
      <c r="G11" s="51">
        <v>2</v>
      </c>
      <c r="H11" s="48" t="s">
        <v>37</v>
      </c>
      <c r="I11" s="25" t="s">
        <v>122</v>
      </c>
      <c r="J11" s="50">
        <v>50</v>
      </c>
      <c r="K11" s="64" t="s">
        <v>16</v>
      </c>
      <c r="L11" s="25" t="s">
        <v>43</v>
      </c>
      <c r="M11" s="51">
        <v>24</v>
      </c>
      <c r="N11" s="72" t="s">
        <v>160</v>
      </c>
    </row>
    <row r="12" spans="2:15" ht="18.600000000000001" thickBot="1" x14ac:dyDescent="0.4">
      <c r="B12" s="96" t="s">
        <v>40</v>
      </c>
      <c r="C12" s="92"/>
      <c r="F12" s="94" t="s">
        <v>292</v>
      </c>
      <c r="G12" s="51">
        <v>1</v>
      </c>
      <c r="H12" s="48" t="s">
        <v>37</v>
      </c>
      <c r="I12" s="25" t="s">
        <v>42</v>
      </c>
      <c r="J12" s="50">
        <v>1</v>
      </c>
      <c r="K12" s="64" t="s">
        <v>16</v>
      </c>
      <c r="L12" s="25" t="s">
        <v>50</v>
      </c>
      <c r="M12" s="51">
        <v>36</v>
      </c>
      <c r="N12" s="72" t="s">
        <v>160</v>
      </c>
    </row>
    <row r="13" spans="2:15" ht="18" x14ac:dyDescent="0.35">
      <c r="B13" s="98" t="s">
        <v>44</v>
      </c>
      <c r="C13" s="91">
        <f>H52</f>
        <v>0</v>
      </c>
      <c r="D13" s="8"/>
      <c r="F13" s="70" t="s">
        <v>345</v>
      </c>
      <c r="G13" s="51">
        <v>2</v>
      </c>
      <c r="H13" s="48" t="s">
        <v>12</v>
      </c>
      <c r="I13" s="25" t="s">
        <v>45</v>
      </c>
      <c r="J13" s="50">
        <v>50</v>
      </c>
      <c r="K13" s="64" t="s">
        <v>16</v>
      </c>
      <c r="L13" s="25" t="s">
        <v>54</v>
      </c>
      <c r="M13" s="51">
        <v>990</v>
      </c>
      <c r="N13" s="72" t="s">
        <v>37</v>
      </c>
    </row>
    <row r="14" spans="2:15" ht="18" x14ac:dyDescent="0.35">
      <c r="B14" s="88" t="s">
        <v>47</v>
      </c>
      <c r="C14" s="87">
        <f>H55</f>
        <v>0</v>
      </c>
      <c r="D14" s="8"/>
      <c r="F14" s="70" t="s">
        <v>352</v>
      </c>
      <c r="G14" s="51">
        <v>2</v>
      </c>
      <c r="H14" s="48" t="s">
        <v>12</v>
      </c>
      <c r="I14" s="25" t="s">
        <v>288</v>
      </c>
      <c r="J14" s="77">
        <v>50</v>
      </c>
      <c r="K14" s="78" t="s">
        <v>16</v>
      </c>
      <c r="L14" s="74" t="s">
        <v>56</v>
      </c>
      <c r="M14" s="82">
        <f>SUMIFS(M4:M13,N4:N13,"mL")</f>
        <v>1000</v>
      </c>
      <c r="N14" s="72" t="s">
        <v>57</v>
      </c>
    </row>
    <row r="15" spans="2:15" ht="18.600000000000001" thickBot="1" x14ac:dyDescent="0.4">
      <c r="B15" s="89" t="s">
        <v>51</v>
      </c>
      <c r="C15" s="90"/>
      <c r="D15" s="8"/>
      <c r="F15" s="70" t="s">
        <v>295</v>
      </c>
      <c r="G15" s="51">
        <v>2.5</v>
      </c>
      <c r="H15" s="48" t="s">
        <v>12</v>
      </c>
      <c r="I15" s="76" t="s">
        <v>53</v>
      </c>
      <c r="J15" s="77">
        <v>1000</v>
      </c>
      <c r="K15" s="78" t="s">
        <v>37</v>
      </c>
      <c r="L15" s="65"/>
      <c r="M15" s="67"/>
      <c r="N15" s="66"/>
    </row>
    <row r="16" spans="2:15" ht="18.600000000000001" thickBot="1" x14ac:dyDescent="0.4">
      <c r="F16" s="70" t="s">
        <v>48</v>
      </c>
      <c r="G16" s="51">
        <v>0.5</v>
      </c>
      <c r="H16" s="48" t="s">
        <v>37</v>
      </c>
      <c r="I16" s="65" t="s">
        <v>56</v>
      </c>
      <c r="J16" s="80">
        <f>SUMIFS(J5:J15,K5:K15,"mL")</f>
        <v>1000</v>
      </c>
      <c r="K16" s="66" t="s">
        <v>37</v>
      </c>
      <c r="L16" s="3"/>
      <c r="M16" s="3"/>
    </row>
    <row r="17" spans="6:17" ht="18" x14ac:dyDescent="0.35">
      <c r="F17" s="364" t="s">
        <v>52</v>
      </c>
      <c r="G17" s="51">
        <v>2</v>
      </c>
      <c r="H17" s="365" t="s">
        <v>12</v>
      </c>
      <c r="L17" s="3"/>
      <c r="M17" s="3"/>
    </row>
    <row r="18" spans="6:17" ht="18.600000000000001" thickBot="1" x14ac:dyDescent="0.4">
      <c r="F18" s="70" t="s">
        <v>347</v>
      </c>
      <c r="G18" s="51">
        <v>10</v>
      </c>
      <c r="H18" s="48" t="s">
        <v>37</v>
      </c>
      <c r="I18" s="7" t="s">
        <v>58</v>
      </c>
      <c r="L18" s="7" t="s">
        <v>349</v>
      </c>
      <c r="O18" s="7" t="s">
        <v>350</v>
      </c>
    </row>
    <row r="19" spans="6:17" ht="18" x14ac:dyDescent="0.35">
      <c r="F19" s="71" t="s">
        <v>297</v>
      </c>
      <c r="G19" s="51">
        <v>1</v>
      </c>
      <c r="H19" s="48" t="s">
        <v>37</v>
      </c>
      <c r="I19" s="60" t="s">
        <v>6</v>
      </c>
      <c r="J19" s="61" t="s">
        <v>7</v>
      </c>
      <c r="K19" s="62" t="s">
        <v>8</v>
      </c>
      <c r="L19" s="60" t="s">
        <v>6</v>
      </c>
      <c r="M19" s="61" t="s">
        <v>7</v>
      </c>
      <c r="N19" s="62" t="s">
        <v>8</v>
      </c>
      <c r="O19" s="60" t="s">
        <v>6</v>
      </c>
      <c r="P19" s="61" t="s">
        <v>7</v>
      </c>
      <c r="Q19" s="62" t="s">
        <v>8</v>
      </c>
    </row>
    <row r="20" spans="6:17" ht="18" x14ac:dyDescent="0.35">
      <c r="F20" s="70" t="s">
        <v>195</v>
      </c>
      <c r="G20" s="51">
        <v>0.3</v>
      </c>
      <c r="H20" s="48" t="s">
        <v>12</v>
      </c>
      <c r="I20" s="25" t="s">
        <v>59</v>
      </c>
      <c r="J20" s="51">
        <v>1</v>
      </c>
      <c r="K20" s="72" t="s">
        <v>12</v>
      </c>
      <c r="L20" s="25" t="s">
        <v>348</v>
      </c>
      <c r="M20" s="51">
        <v>4.9000000000000004</v>
      </c>
      <c r="N20" s="72" t="s">
        <v>12</v>
      </c>
      <c r="O20" s="25" t="s">
        <v>124</v>
      </c>
      <c r="P20" s="51">
        <v>295</v>
      </c>
      <c r="Q20" s="72" t="s">
        <v>12</v>
      </c>
    </row>
    <row r="21" spans="6:17" ht="18" x14ac:dyDescent="0.35">
      <c r="F21" s="70" t="s">
        <v>298</v>
      </c>
      <c r="G21" s="51">
        <v>0.3</v>
      </c>
      <c r="H21" s="48" t="s">
        <v>12</v>
      </c>
      <c r="I21" s="25" t="s">
        <v>62</v>
      </c>
      <c r="J21" s="51">
        <v>999</v>
      </c>
      <c r="K21" s="72" t="s">
        <v>37</v>
      </c>
      <c r="L21" s="25" t="s">
        <v>54</v>
      </c>
      <c r="M21" s="51">
        <v>1000</v>
      </c>
      <c r="N21" s="72" t="s">
        <v>37</v>
      </c>
      <c r="O21" s="25" t="s">
        <v>54</v>
      </c>
      <c r="P21" s="51">
        <v>1000</v>
      </c>
      <c r="Q21" s="72" t="s">
        <v>37</v>
      </c>
    </row>
    <row r="22" spans="6:17" ht="18" x14ac:dyDescent="0.35">
      <c r="F22" s="46" t="s">
        <v>53</v>
      </c>
      <c r="G22" s="124">
        <f>1000-SUMIF(H5:H21,"mL",G5:G21)</f>
        <v>985.5</v>
      </c>
      <c r="H22" s="48" t="s">
        <v>37</v>
      </c>
      <c r="I22" s="74" t="s">
        <v>56</v>
      </c>
      <c r="J22" s="82">
        <f>SUMIFS(J20:J21,K20:K21,"mL")</f>
        <v>999</v>
      </c>
      <c r="K22" s="72" t="s">
        <v>57</v>
      </c>
      <c r="L22" s="74" t="s">
        <v>56</v>
      </c>
      <c r="M22" s="82">
        <f>SUMIFS(M20:M21,N20:N21,"mL")</f>
        <v>1000</v>
      </c>
      <c r="N22" s="72" t="s">
        <v>57</v>
      </c>
      <c r="O22" s="74" t="s">
        <v>56</v>
      </c>
      <c r="P22" s="82">
        <f>SUMIFS(P20:P21,Q20:Q21,"mL")</f>
        <v>1000</v>
      </c>
      <c r="Q22" s="72" t="s">
        <v>57</v>
      </c>
    </row>
    <row r="23" spans="6:17" ht="18.600000000000001" thickBot="1" x14ac:dyDescent="0.4">
      <c r="F23" s="73" t="s">
        <v>56</v>
      </c>
      <c r="G23" s="81">
        <v>1000</v>
      </c>
      <c r="H23" s="49"/>
      <c r="I23" s="65"/>
      <c r="J23" s="67"/>
      <c r="K23" s="66"/>
      <c r="L23" s="65"/>
      <c r="M23" s="67"/>
      <c r="N23" s="66"/>
      <c r="O23" s="65"/>
      <c r="P23" s="67"/>
      <c r="Q23" s="66"/>
    </row>
    <row r="24" spans="6:17" ht="18" x14ac:dyDescent="0.35">
      <c r="I24" s="83"/>
      <c r="J24" s="84"/>
      <c r="K24" s="1"/>
    </row>
    <row r="25" spans="6:17" x14ac:dyDescent="0.3">
      <c r="F25" s="7"/>
      <c r="G25" s="97"/>
      <c r="I25" s="97"/>
      <c r="J25" s="97"/>
      <c r="K25" s="97"/>
      <c r="L25" s="42"/>
      <c r="M25" s="42"/>
      <c r="N25" s="7"/>
      <c r="O25" s="7"/>
      <c r="P25" s="7"/>
    </row>
    <row r="26" spans="6:17" x14ac:dyDescent="0.3">
      <c r="F26" s="7"/>
      <c r="G26" s="7"/>
      <c r="H26" s="7"/>
      <c r="I26" s="7"/>
      <c r="J26" s="97"/>
      <c r="K26" s="7"/>
      <c r="L26" s="7"/>
      <c r="M26" s="7"/>
      <c r="N26" s="7"/>
      <c r="O26" s="7"/>
      <c r="P26" s="7"/>
    </row>
    <row r="27" spans="6:17" x14ac:dyDescent="0.3">
      <c r="G27" s="1"/>
      <c r="H27" s="8"/>
      <c r="I27" s="8"/>
      <c r="J27" s="83"/>
    </row>
    <row r="28" spans="6:17" x14ac:dyDescent="0.3">
      <c r="G28" s="1"/>
      <c r="H28" s="8"/>
      <c r="I28" s="8"/>
      <c r="J28" s="83"/>
    </row>
    <row r="29" spans="6:17" x14ac:dyDescent="0.3">
      <c r="G29" s="1"/>
      <c r="H29" s="8"/>
      <c r="I29" s="8"/>
      <c r="J29" s="83"/>
    </row>
    <row r="30" spans="6:17" x14ac:dyDescent="0.3">
      <c r="G30" s="1"/>
      <c r="H30" s="8"/>
      <c r="I30" s="8"/>
      <c r="J30" s="83"/>
    </row>
    <row r="31" spans="6:17" x14ac:dyDescent="0.3">
      <c r="G31" s="1"/>
      <c r="H31" s="8"/>
      <c r="I31" s="8"/>
    </row>
    <row r="32" spans="6:17" x14ac:dyDescent="0.3">
      <c r="G32" s="1"/>
      <c r="H32" s="8"/>
      <c r="I32" s="8"/>
    </row>
    <row r="33" spans="3:9" x14ac:dyDescent="0.3">
      <c r="G33" s="1"/>
      <c r="H33" s="8"/>
      <c r="I33" s="8"/>
    </row>
    <row r="34" spans="3:9" x14ac:dyDescent="0.3">
      <c r="G34" s="1"/>
      <c r="H34" s="8"/>
      <c r="I34" s="8"/>
    </row>
    <row r="35" spans="3:9" x14ac:dyDescent="0.3">
      <c r="G35" s="1"/>
      <c r="H35" s="8"/>
      <c r="I35" s="8"/>
    </row>
    <row r="36" spans="3:9" x14ac:dyDescent="0.3">
      <c r="G36" s="1"/>
      <c r="H36" s="1"/>
      <c r="I36" s="8"/>
    </row>
    <row r="37" spans="3:9" x14ac:dyDescent="0.3">
      <c r="G37" s="1"/>
      <c r="H37" s="1"/>
      <c r="I37" s="8"/>
    </row>
    <row r="38" spans="3:9" x14ac:dyDescent="0.3">
      <c r="G38" s="1"/>
      <c r="H38" s="1"/>
      <c r="I38" s="8"/>
    </row>
    <row r="39" spans="3:9" x14ac:dyDescent="0.3">
      <c r="G39" s="1"/>
      <c r="H39" s="1"/>
      <c r="I39" s="8"/>
    </row>
    <row r="40" spans="3:9" x14ac:dyDescent="0.3">
      <c r="G40" s="1"/>
      <c r="H40" s="1"/>
      <c r="I40" s="8"/>
    </row>
    <row r="41" spans="3:9" x14ac:dyDescent="0.3">
      <c r="G41" s="1"/>
      <c r="H41" s="1"/>
      <c r="I41" s="8"/>
    </row>
    <row r="42" spans="3:9" x14ac:dyDescent="0.3">
      <c r="G42" s="1"/>
      <c r="H42" s="8"/>
      <c r="I42" s="8"/>
    </row>
    <row r="43" spans="3:9" x14ac:dyDescent="0.3">
      <c r="C43" t="s">
        <v>83</v>
      </c>
      <c r="G43" s="1"/>
      <c r="H43" s="8"/>
      <c r="I43" s="8"/>
    </row>
    <row r="44" spans="3:9" x14ac:dyDescent="0.3">
      <c r="G44" s="1"/>
      <c r="H44" s="8"/>
      <c r="I44" s="8"/>
    </row>
    <row r="45" spans="3:9" x14ac:dyDescent="0.3">
      <c r="G45" s="1"/>
      <c r="H45" s="8"/>
      <c r="I45" s="8"/>
    </row>
    <row r="46" spans="3:9" x14ac:dyDescent="0.3">
      <c r="G46" s="1"/>
      <c r="H46" s="8"/>
      <c r="I46" s="8"/>
    </row>
    <row r="47" spans="3:9" x14ac:dyDescent="0.3">
      <c r="G47" s="1"/>
      <c r="H47" s="8"/>
      <c r="I47" s="8"/>
    </row>
    <row r="48" spans="3:9" x14ac:dyDescent="0.3">
      <c r="G48" s="1"/>
      <c r="H48" s="8"/>
      <c r="I48" s="8"/>
    </row>
    <row r="49" spans="1:9" x14ac:dyDescent="0.3">
      <c r="I49" s="8"/>
    </row>
    <row r="50" spans="1:9" x14ac:dyDescent="0.3">
      <c r="I50" s="8"/>
    </row>
    <row r="51" spans="1:9" x14ac:dyDescent="0.3">
      <c r="I51" s="8"/>
    </row>
    <row r="52" spans="1:9" x14ac:dyDescent="0.3">
      <c r="I52" s="8"/>
    </row>
    <row r="53" spans="1:9" x14ac:dyDescent="0.3">
      <c r="I53" s="8"/>
    </row>
    <row r="54" spans="1:9" x14ac:dyDescent="0.3">
      <c r="I54" s="8"/>
    </row>
    <row r="55" spans="1:9" x14ac:dyDescent="0.3">
      <c r="I55" s="8"/>
    </row>
    <row r="59" spans="1:9" x14ac:dyDescent="0.3">
      <c r="A59">
        <v>61</v>
      </c>
      <c r="B59">
        <v>-0.13</v>
      </c>
      <c r="C59">
        <v>-0.13</v>
      </c>
      <c r="G59" s="83"/>
      <c r="H59" s="83"/>
    </row>
    <row r="60" spans="1:9" x14ac:dyDescent="0.3">
      <c r="A60">
        <v>33</v>
      </c>
      <c r="B60">
        <v>-6.95</v>
      </c>
      <c r="C60">
        <v>0.2</v>
      </c>
    </row>
    <row r="61" spans="1:9" x14ac:dyDescent="0.3">
      <c r="A61">
        <v>23</v>
      </c>
      <c r="B61">
        <v>-7.67</v>
      </c>
      <c r="C61">
        <v>0.57999999999999996</v>
      </c>
    </row>
    <row r="62" spans="1:9" x14ac:dyDescent="0.3">
      <c r="A62">
        <v>18</v>
      </c>
      <c r="B62">
        <v>-18.02</v>
      </c>
      <c r="C62">
        <v>-0.51</v>
      </c>
    </row>
    <row r="63" spans="1:9" x14ac:dyDescent="0.3">
      <c r="A63">
        <v>25</v>
      </c>
      <c r="B63">
        <v>-49.15</v>
      </c>
      <c r="C63">
        <v>-1.18</v>
      </c>
    </row>
  </sheetData>
  <mergeCells count="2">
    <mergeCell ref="F3:H3"/>
    <mergeCell ref="I3:K3"/>
  </mergeCells>
  <conditionalFormatting sqref="J27">
    <cfRule type="cellIs" dxfId="18" priority="19" operator="greaterThan">
      <formula>$H$27</formula>
    </cfRule>
  </conditionalFormatting>
  <conditionalFormatting sqref="J27:P27">
    <cfRule type="cellIs" dxfId="17" priority="18" operator="greaterThan">
      <formula>$H$27</formula>
    </cfRule>
  </conditionalFormatting>
  <conditionalFormatting sqref="J28:P28">
    <cfRule type="cellIs" dxfId="16" priority="17" operator="greaterThan">
      <formula>$H$28</formula>
    </cfRule>
  </conditionalFormatting>
  <conditionalFormatting sqref="J29:P29">
    <cfRule type="cellIs" dxfId="15" priority="16" operator="greaterThan">
      <formula>$H$29</formula>
    </cfRule>
  </conditionalFormatting>
  <conditionalFormatting sqref="J30:P30">
    <cfRule type="cellIs" dxfId="14" priority="15" operator="greaterThan">
      <formula>$H$30</formula>
    </cfRule>
  </conditionalFormatting>
  <conditionalFormatting sqref="J37:P37">
    <cfRule type="cellIs" dxfId="13" priority="14" operator="greaterThan">
      <formula>$H$37</formula>
    </cfRule>
  </conditionalFormatting>
  <conditionalFormatting sqref="J38:P38">
    <cfRule type="cellIs" dxfId="12" priority="13" operator="greaterThan">
      <formula>$H$38</formula>
    </cfRule>
  </conditionalFormatting>
  <conditionalFormatting sqref="J39:P39">
    <cfRule type="cellIs" dxfId="11" priority="12" operator="greaterThan">
      <formula>$H$39</formula>
    </cfRule>
  </conditionalFormatting>
  <conditionalFormatting sqref="J40:P40">
    <cfRule type="cellIs" dxfId="10" priority="11" operator="greaterThan">
      <formula>$H$40</formula>
    </cfRule>
  </conditionalFormatting>
  <conditionalFormatting sqref="J45:P45">
    <cfRule type="cellIs" dxfId="9" priority="10" operator="greaterThan">
      <formula>$H$45</formula>
    </cfRule>
  </conditionalFormatting>
  <conditionalFormatting sqref="J46:P46">
    <cfRule type="cellIs" dxfId="8" priority="9" operator="greaterThan">
      <formula>$H$46</formula>
    </cfRule>
  </conditionalFormatting>
  <conditionalFormatting sqref="J48:P48">
    <cfRule type="cellIs" dxfId="7" priority="8" operator="greaterThan">
      <formula>$H$48</formula>
    </cfRule>
  </conditionalFormatting>
  <conditionalFormatting sqref="J49:P49">
    <cfRule type="cellIs" dxfId="6" priority="7" operator="greaterThan">
      <formula>$H$49</formula>
    </cfRule>
  </conditionalFormatting>
  <conditionalFormatting sqref="J50:P50">
    <cfRule type="cellIs" dxfId="5" priority="6" operator="greaterThan">
      <formula>$H$50</formula>
    </cfRule>
  </conditionalFormatting>
  <conditionalFormatting sqref="J51:P51">
    <cfRule type="cellIs" dxfId="4" priority="5" operator="greaterThan">
      <formula>$H$51</formula>
    </cfRule>
  </conditionalFormatting>
  <conditionalFormatting sqref="J52:P52">
    <cfRule type="cellIs" dxfId="3" priority="4" operator="greaterThan">
      <formula>$H$52</formula>
    </cfRule>
  </conditionalFormatting>
  <conditionalFormatting sqref="J53:P53">
    <cfRule type="cellIs" dxfId="2" priority="3" operator="greaterThan">
      <formula>$H$53</formula>
    </cfRule>
  </conditionalFormatting>
  <conditionalFormatting sqref="J54:P54">
    <cfRule type="cellIs" dxfId="1" priority="2" operator="greaterThan">
      <formula>$H$54</formula>
    </cfRule>
  </conditionalFormatting>
  <conditionalFormatting sqref="J55:P55">
    <cfRule type="cellIs" dxfId="0" priority="1" operator="greaterThan">
      <formula>$H$55</formula>
    </cfRule>
  </conditionalFormatting>
  <pageMargins left="0.7" right="0.7" top="0.75" bottom="0.75" header="0.3" footer="0.3"/>
  <pageSetup scale="3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9E248-0EAA-49B2-B78B-6B97B11020CE}">
  <sheetPr>
    <tabColor theme="9" tint="0.39997558519241921"/>
    <pageSetUpPr fitToPage="1"/>
  </sheetPr>
  <dimension ref="A1:Q63"/>
  <sheetViews>
    <sheetView topLeftCell="E1" zoomScale="88" zoomScaleNormal="70" workbookViewId="0">
      <selection activeCell="G22" sqref="G22:G23"/>
    </sheetView>
  </sheetViews>
  <sheetFormatPr defaultRowHeight="14.4" x14ac:dyDescent="0.3"/>
  <cols>
    <col min="2" max="2" width="18.44140625" customWidth="1"/>
    <col min="3" max="4" width="16.44140625" customWidth="1"/>
    <col min="6" max="6" width="33.88671875" customWidth="1"/>
    <col min="7" max="7" width="24" customWidth="1"/>
    <col min="8" max="8" width="14.109375" customWidth="1"/>
    <col min="9" max="9" width="29.88671875" customWidth="1"/>
    <col min="10" max="10" width="25.5546875" customWidth="1"/>
    <col min="11" max="11" width="11.88671875" bestFit="1" customWidth="1"/>
    <col min="12" max="12" width="26" customWidth="1"/>
    <col min="13" max="13" width="11.109375" customWidth="1"/>
    <col min="14" max="14" width="12.109375" customWidth="1"/>
    <col min="15" max="15" width="24" customWidth="1"/>
    <col min="16" max="16" width="12.6640625" customWidth="1"/>
    <col min="17" max="17" width="16.5546875" customWidth="1"/>
  </cols>
  <sheetData>
    <row r="1" spans="2:15" x14ac:dyDescent="0.3">
      <c r="I1" s="1"/>
      <c r="J1" s="1"/>
      <c r="K1" s="2"/>
    </row>
    <row r="2" spans="2:15" ht="15" thickBot="1" x14ac:dyDescent="0.35">
      <c r="F2" s="7" t="s">
        <v>0</v>
      </c>
      <c r="I2" s="42" t="s">
        <v>289</v>
      </c>
      <c r="J2" s="1"/>
      <c r="K2" s="2"/>
      <c r="L2" s="7" t="s">
        <v>343</v>
      </c>
    </row>
    <row r="3" spans="2:15" ht="18.600000000000001" thickBot="1" x14ac:dyDescent="0.4">
      <c r="B3" s="56" t="s">
        <v>3</v>
      </c>
      <c r="C3" s="53"/>
      <c r="D3" t="s">
        <v>4</v>
      </c>
      <c r="F3" s="351" t="s">
        <v>5</v>
      </c>
      <c r="G3" s="352"/>
      <c r="H3" s="353"/>
      <c r="I3" s="351" t="s">
        <v>5</v>
      </c>
      <c r="J3" s="352"/>
      <c r="K3" s="353"/>
      <c r="L3" s="60" t="s">
        <v>6</v>
      </c>
      <c r="M3" s="61" t="s">
        <v>7</v>
      </c>
      <c r="N3" s="62" t="s">
        <v>8</v>
      </c>
    </row>
    <row r="4" spans="2:15" ht="43.8" x14ac:dyDescent="0.35">
      <c r="B4" s="95" t="s">
        <v>9</v>
      </c>
      <c r="C4" s="93">
        <f>SUM(H27:H36,H44)/1000</f>
        <v>0</v>
      </c>
      <c r="D4" s="8"/>
      <c r="F4" s="43" t="s">
        <v>6</v>
      </c>
      <c r="G4" s="44" t="s">
        <v>10</v>
      </c>
      <c r="H4" s="45" t="s">
        <v>8</v>
      </c>
      <c r="I4" s="60" t="s">
        <v>11</v>
      </c>
      <c r="J4" s="61" t="s">
        <v>10</v>
      </c>
      <c r="K4" s="62" t="s">
        <v>8</v>
      </c>
      <c r="L4" s="25" t="s">
        <v>124</v>
      </c>
      <c r="M4" s="51">
        <v>10</v>
      </c>
      <c r="N4" s="72" t="s">
        <v>37</v>
      </c>
      <c r="O4" t="s">
        <v>351</v>
      </c>
    </row>
    <row r="5" spans="2:15" ht="18" x14ac:dyDescent="0.35">
      <c r="B5" s="88" t="s">
        <v>13</v>
      </c>
      <c r="C5" s="87">
        <f>H27/1000</f>
        <v>0</v>
      </c>
      <c r="D5" s="8"/>
      <c r="F5" s="25" t="s">
        <v>307</v>
      </c>
      <c r="G5" s="51">
        <v>0.35</v>
      </c>
      <c r="H5" s="48" t="s">
        <v>14</v>
      </c>
      <c r="I5" s="25" t="s">
        <v>15</v>
      </c>
      <c r="J5" s="50">
        <v>20</v>
      </c>
      <c r="K5" s="64" t="s">
        <v>16</v>
      </c>
      <c r="L5" s="25" t="s">
        <v>164</v>
      </c>
      <c r="M5" s="51">
        <v>1.5</v>
      </c>
      <c r="N5" s="72" t="s">
        <v>12</v>
      </c>
    </row>
    <row r="6" spans="2:15" ht="18" x14ac:dyDescent="0.35">
      <c r="B6" s="88" t="s">
        <v>18</v>
      </c>
      <c r="C6" s="87">
        <f>H30/1000</f>
        <v>0</v>
      </c>
      <c r="D6" s="8"/>
      <c r="F6" s="25" t="s">
        <v>308</v>
      </c>
      <c r="G6" s="51">
        <v>0.23</v>
      </c>
      <c r="H6" s="48" t="s">
        <v>12</v>
      </c>
      <c r="I6" s="25" t="s">
        <v>19</v>
      </c>
      <c r="J6" s="50">
        <v>20</v>
      </c>
      <c r="K6" s="64" t="s">
        <v>16</v>
      </c>
      <c r="L6" s="25" t="s">
        <v>168</v>
      </c>
      <c r="M6" s="51">
        <v>70</v>
      </c>
      <c r="N6" s="72" t="s">
        <v>160</v>
      </c>
    </row>
    <row r="7" spans="2:15" ht="18" x14ac:dyDescent="0.35">
      <c r="B7" s="88" t="s">
        <v>20</v>
      </c>
      <c r="C7" s="87">
        <f>H31/1000</f>
        <v>0</v>
      </c>
      <c r="D7" s="8"/>
      <c r="F7" s="25" t="s">
        <v>21</v>
      </c>
      <c r="G7" s="51">
        <v>0.5</v>
      </c>
      <c r="H7" s="48" t="s">
        <v>12</v>
      </c>
      <c r="I7" s="25" t="s">
        <v>120</v>
      </c>
      <c r="J7" s="50">
        <v>100</v>
      </c>
      <c r="K7" s="64" t="s">
        <v>16</v>
      </c>
      <c r="L7" s="25" t="s">
        <v>163</v>
      </c>
      <c r="M7" s="51">
        <v>100</v>
      </c>
      <c r="N7" s="72" t="s">
        <v>160</v>
      </c>
    </row>
    <row r="8" spans="2:15" ht="18" x14ac:dyDescent="0.35">
      <c r="B8" s="88" t="s">
        <v>24</v>
      </c>
      <c r="C8" s="87">
        <f>H35/1000</f>
        <v>0</v>
      </c>
      <c r="D8" s="8"/>
      <c r="F8" s="25" t="s">
        <v>290</v>
      </c>
      <c r="G8" s="51">
        <v>0.5</v>
      </c>
      <c r="H8" s="48" t="s">
        <v>12</v>
      </c>
      <c r="I8" s="25" t="s">
        <v>121</v>
      </c>
      <c r="J8" s="50">
        <v>50</v>
      </c>
      <c r="K8" s="64" t="s">
        <v>16</v>
      </c>
      <c r="L8" s="25" t="s">
        <v>31</v>
      </c>
      <c r="M8" s="51">
        <v>6</v>
      </c>
      <c r="N8" s="72" t="s">
        <v>160</v>
      </c>
    </row>
    <row r="9" spans="2:15" ht="18" x14ac:dyDescent="0.35">
      <c r="B9" s="88" t="s">
        <v>28</v>
      </c>
      <c r="C9" s="87">
        <f>C10-SUM(C5:C8)</f>
        <v>0</v>
      </c>
      <c r="D9" s="8"/>
      <c r="F9" s="25" t="s">
        <v>29</v>
      </c>
      <c r="G9" s="51">
        <v>0.25</v>
      </c>
      <c r="H9" s="48" t="s">
        <v>12</v>
      </c>
      <c r="I9" s="25" t="s">
        <v>30</v>
      </c>
      <c r="J9" s="50">
        <v>50</v>
      </c>
      <c r="K9" s="64" t="s">
        <v>16</v>
      </c>
      <c r="L9" s="25" t="s">
        <v>35</v>
      </c>
      <c r="M9" s="51">
        <v>190</v>
      </c>
      <c r="N9" s="72" t="s">
        <v>160</v>
      </c>
    </row>
    <row r="10" spans="2:15" ht="18.600000000000001" thickBot="1" x14ac:dyDescent="0.4">
      <c r="B10" s="89" t="s">
        <v>32</v>
      </c>
      <c r="C10" s="90">
        <f>SUM(H27:H41,H43:H48)/1000</f>
        <v>0</v>
      </c>
      <c r="D10" s="8"/>
      <c r="F10" s="25" t="s">
        <v>33</v>
      </c>
      <c r="G10" s="51">
        <v>2.25</v>
      </c>
      <c r="H10" s="48" t="s">
        <v>12</v>
      </c>
      <c r="I10" s="25" t="s">
        <v>34</v>
      </c>
      <c r="J10" s="50">
        <v>50</v>
      </c>
      <c r="K10" s="64" t="s">
        <v>16</v>
      </c>
      <c r="L10" s="25" t="s">
        <v>179</v>
      </c>
      <c r="M10" s="51">
        <v>2</v>
      </c>
      <c r="N10" s="72" t="s">
        <v>160</v>
      </c>
    </row>
    <row r="11" spans="2:15" ht="18.600000000000001" thickBot="1" x14ac:dyDescent="0.4">
      <c r="F11" s="20" t="s">
        <v>291</v>
      </c>
      <c r="G11" s="51">
        <v>2</v>
      </c>
      <c r="H11" s="48" t="s">
        <v>37</v>
      </c>
      <c r="I11" s="25" t="s">
        <v>122</v>
      </c>
      <c r="J11" s="50">
        <v>50</v>
      </c>
      <c r="K11" s="64" t="s">
        <v>16</v>
      </c>
      <c r="L11" s="25" t="s">
        <v>43</v>
      </c>
      <c r="M11" s="51">
        <v>24</v>
      </c>
      <c r="N11" s="72" t="s">
        <v>160</v>
      </c>
    </row>
    <row r="12" spans="2:15" ht="18.600000000000001" thickBot="1" x14ac:dyDescent="0.4">
      <c r="B12" s="96" t="s">
        <v>40</v>
      </c>
      <c r="C12" s="92"/>
      <c r="F12" s="94" t="s">
        <v>292</v>
      </c>
      <c r="G12" s="51">
        <v>1</v>
      </c>
      <c r="H12" s="48" t="s">
        <v>37</v>
      </c>
      <c r="I12" s="25" t="s">
        <v>42</v>
      </c>
      <c r="J12" s="50">
        <v>1</v>
      </c>
      <c r="K12" s="64" t="s">
        <v>16</v>
      </c>
      <c r="L12" s="25" t="s">
        <v>50</v>
      </c>
      <c r="M12" s="51">
        <v>36</v>
      </c>
      <c r="N12" s="72" t="s">
        <v>160</v>
      </c>
    </row>
    <row r="13" spans="2:15" ht="18" x14ac:dyDescent="0.35">
      <c r="B13" s="98" t="s">
        <v>44</v>
      </c>
      <c r="C13" s="91">
        <f>H52</f>
        <v>0</v>
      </c>
      <c r="D13" s="8"/>
      <c r="F13" s="70" t="s">
        <v>345</v>
      </c>
      <c r="G13" s="51">
        <v>2</v>
      </c>
      <c r="H13" s="48" t="s">
        <v>12</v>
      </c>
      <c r="I13" s="25" t="s">
        <v>45</v>
      </c>
      <c r="J13" s="50">
        <v>50</v>
      </c>
      <c r="K13" s="64" t="s">
        <v>16</v>
      </c>
      <c r="L13" s="25" t="s">
        <v>54</v>
      </c>
      <c r="M13" s="51">
        <v>990</v>
      </c>
      <c r="N13" s="72" t="s">
        <v>37</v>
      </c>
    </row>
    <row r="14" spans="2:15" ht="18" x14ac:dyDescent="0.35">
      <c r="B14" s="88" t="s">
        <v>47</v>
      </c>
      <c r="C14" s="87">
        <f>H55</f>
        <v>0</v>
      </c>
      <c r="D14" s="8"/>
      <c r="F14" s="70" t="s">
        <v>352</v>
      </c>
      <c r="G14" s="51">
        <v>2</v>
      </c>
      <c r="H14" s="48" t="s">
        <v>12</v>
      </c>
      <c r="I14" s="25" t="s">
        <v>288</v>
      </c>
      <c r="J14" s="77">
        <v>50</v>
      </c>
      <c r="K14" s="78" t="s">
        <v>16</v>
      </c>
      <c r="L14" s="74" t="s">
        <v>56</v>
      </c>
      <c r="M14" s="82">
        <f>SUMIFS(M4:M13,N4:N13,"mL")</f>
        <v>1000</v>
      </c>
      <c r="N14" s="72" t="s">
        <v>57</v>
      </c>
    </row>
    <row r="15" spans="2:15" ht="18.600000000000001" thickBot="1" x14ac:dyDescent="0.4">
      <c r="B15" s="89" t="s">
        <v>51</v>
      </c>
      <c r="C15" s="90"/>
      <c r="D15" s="8"/>
      <c r="F15" s="347" t="s">
        <v>295</v>
      </c>
      <c r="G15" s="345">
        <v>0</v>
      </c>
      <c r="H15" s="346" t="s">
        <v>12</v>
      </c>
      <c r="I15" s="76" t="s">
        <v>53</v>
      </c>
      <c r="J15" s="77">
        <v>1000</v>
      </c>
      <c r="K15" s="78" t="s">
        <v>37</v>
      </c>
      <c r="L15" s="65"/>
      <c r="M15" s="67"/>
      <c r="N15" s="66"/>
    </row>
    <row r="16" spans="2:15" ht="18.600000000000001" thickBot="1" x14ac:dyDescent="0.4">
      <c r="F16" s="70" t="s">
        <v>48</v>
      </c>
      <c r="G16" s="51">
        <v>0.5</v>
      </c>
      <c r="H16" s="48" t="s">
        <v>37</v>
      </c>
      <c r="I16" s="65" t="s">
        <v>56</v>
      </c>
      <c r="J16" s="80">
        <f>SUMIFS(J5:J15,K5:K15,"mL")</f>
        <v>1000</v>
      </c>
      <c r="K16" s="66" t="s">
        <v>37</v>
      </c>
      <c r="L16" s="3"/>
      <c r="M16" s="3"/>
    </row>
    <row r="17" spans="6:17" ht="18" x14ac:dyDescent="0.35">
      <c r="F17" s="344" t="s">
        <v>52</v>
      </c>
      <c r="G17" s="345">
        <v>0</v>
      </c>
      <c r="H17" s="346" t="s">
        <v>12</v>
      </c>
      <c r="L17" s="3"/>
      <c r="M17" s="3"/>
    </row>
    <row r="18" spans="6:17" ht="18.600000000000001" thickBot="1" x14ac:dyDescent="0.4">
      <c r="F18" s="70" t="s">
        <v>347</v>
      </c>
      <c r="G18" s="51">
        <v>10</v>
      </c>
      <c r="H18" s="48" t="s">
        <v>37</v>
      </c>
      <c r="I18" s="7" t="s">
        <v>58</v>
      </c>
      <c r="L18" s="7" t="s">
        <v>349</v>
      </c>
      <c r="O18" s="7" t="s">
        <v>350</v>
      </c>
    </row>
    <row r="19" spans="6:17" ht="18" x14ac:dyDescent="0.35">
      <c r="F19" s="71" t="s">
        <v>297</v>
      </c>
      <c r="G19" s="51">
        <v>1</v>
      </c>
      <c r="H19" s="48" t="s">
        <v>37</v>
      </c>
      <c r="I19" s="60" t="s">
        <v>6</v>
      </c>
      <c r="J19" s="61" t="s">
        <v>7</v>
      </c>
      <c r="K19" s="62" t="s">
        <v>8</v>
      </c>
      <c r="L19" s="60" t="s">
        <v>6</v>
      </c>
      <c r="M19" s="61" t="s">
        <v>7</v>
      </c>
      <c r="N19" s="62" t="s">
        <v>8</v>
      </c>
      <c r="O19" s="60" t="s">
        <v>6</v>
      </c>
      <c r="P19" s="61" t="s">
        <v>7</v>
      </c>
      <c r="Q19" s="62" t="s">
        <v>8</v>
      </c>
    </row>
    <row r="20" spans="6:17" ht="18" x14ac:dyDescent="0.35">
      <c r="F20" s="70" t="s">
        <v>195</v>
      </c>
      <c r="G20" s="51">
        <v>0.3</v>
      </c>
      <c r="H20" s="48" t="s">
        <v>12</v>
      </c>
      <c r="I20" s="25" t="s">
        <v>59</v>
      </c>
      <c r="J20" s="51">
        <v>1</v>
      </c>
      <c r="K20" s="72" t="s">
        <v>12</v>
      </c>
      <c r="L20" s="25" t="s">
        <v>348</v>
      </c>
      <c r="M20" s="51">
        <v>4.9000000000000004</v>
      </c>
      <c r="N20" s="72" t="s">
        <v>12</v>
      </c>
      <c r="O20" s="25" t="s">
        <v>124</v>
      </c>
      <c r="P20" s="51">
        <v>295</v>
      </c>
      <c r="Q20" s="72" t="s">
        <v>12</v>
      </c>
    </row>
    <row r="21" spans="6:17" ht="18" x14ac:dyDescent="0.35">
      <c r="F21" s="70" t="s">
        <v>298</v>
      </c>
      <c r="G21" s="51">
        <v>0.3</v>
      </c>
      <c r="H21" s="48" t="s">
        <v>12</v>
      </c>
      <c r="I21" s="25" t="s">
        <v>62</v>
      </c>
      <c r="J21" s="51">
        <v>999</v>
      </c>
      <c r="K21" s="72" t="s">
        <v>37</v>
      </c>
      <c r="L21" s="25" t="s">
        <v>54</v>
      </c>
      <c r="M21" s="51">
        <v>1000</v>
      </c>
      <c r="N21" s="72" t="s">
        <v>37</v>
      </c>
      <c r="O21" s="25" t="s">
        <v>54</v>
      </c>
      <c r="P21" s="51">
        <v>1000</v>
      </c>
      <c r="Q21" s="72" t="s">
        <v>37</v>
      </c>
    </row>
    <row r="22" spans="6:17" ht="18" x14ac:dyDescent="0.35">
      <c r="F22" s="46" t="s">
        <v>53</v>
      </c>
      <c r="G22" s="124">
        <f>1000-SUMIF(H5:H21,"mL",G5:G21)</f>
        <v>985.5</v>
      </c>
      <c r="H22" s="48" t="s">
        <v>37</v>
      </c>
      <c r="I22" s="74" t="s">
        <v>56</v>
      </c>
      <c r="J22" s="82">
        <f>SUMIFS(J20:J21,K20:K21,"mL")</f>
        <v>999</v>
      </c>
      <c r="K22" s="72" t="s">
        <v>57</v>
      </c>
      <c r="L22" s="74" t="s">
        <v>56</v>
      </c>
      <c r="M22" s="82">
        <f>SUMIFS(M20:M21,N20:N21,"mL")</f>
        <v>1000</v>
      </c>
      <c r="N22" s="72" t="s">
        <v>57</v>
      </c>
      <c r="O22" s="74" t="s">
        <v>56</v>
      </c>
      <c r="P22" s="82">
        <f>SUMIFS(P20:P21,Q20:Q21,"mL")</f>
        <v>1000</v>
      </c>
      <c r="Q22" s="72" t="s">
        <v>57</v>
      </c>
    </row>
    <row r="23" spans="6:17" ht="18.600000000000001" thickBot="1" x14ac:dyDescent="0.4">
      <c r="F23" s="73" t="s">
        <v>56</v>
      </c>
      <c r="G23" s="81">
        <v>1000</v>
      </c>
      <c r="H23" s="49"/>
      <c r="I23" s="65"/>
      <c r="J23" s="67"/>
      <c r="K23" s="66"/>
      <c r="L23" s="65"/>
      <c r="M23" s="67"/>
      <c r="N23" s="66"/>
      <c r="O23" s="65"/>
      <c r="P23" s="67"/>
      <c r="Q23" s="66"/>
    </row>
    <row r="24" spans="6:17" ht="18" x14ac:dyDescent="0.35">
      <c r="I24" s="83"/>
      <c r="J24" s="84"/>
      <c r="K24" s="1"/>
    </row>
    <row r="25" spans="6:17" x14ac:dyDescent="0.3">
      <c r="F25" s="7"/>
      <c r="G25" s="97"/>
      <c r="I25" s="97"/>
      <c r="J25" s="97"/>
      <c r="K25" s="97"/>
      <c r="L25" s="42"/>
      <c r="M25" s="42"/>
      <c r="N25" s="7"/>
      <c r="O25" s="7"/>
      <c r="P25" s="7"/>
    </row>
    <row r="26" spans="6:17" x14ac:dyDescent="0.3">
      <c r="F26" s="7"/>
      <c r="G26" s="7"/>
      <c r="H26" s="7"/>
      <c r="I26" s="7"/>
      <c r="J26" s="97"/>
      <c r="K26" s="7"/>
      <c r="L26" s="7"/>
      <c r="M26" s="7"/>
      <c r="N26" s="7"/>
      <c r="O26" s="7"/>
      <c r="P26" s="7"/>
    </row>
    <row r="27" spans="6:17" x14ac:dyDescent="0.3">
      <c r="G27" s="1"/>
      <c r="H27" s="8"/>
      <c r="I27" s="8"/>
      <c r="J27" s="83"/>
    </row>
    <row r="28" spans="6:17" x14ac:dyDescent="0.3">
      <c r="G28" s="1"/>
      <c r="H28" s="8"/>
      <c r="I28" s="8"/>
      <c r="J28" s="83"/>
    </row>
    <row r="29" spans="6:17" x14ac:dyDescent="0.3">
      <c r="G29" s="1"/>
      <c r="H29" s="8"/>
      <c r="I29" s="8"/>
      <c r="J29" s="83"/>
    </row>
    <row r="30" spans="6:17" x14ac:dyDescent="0.3">
      <c r="G30" s="1"/>
      <c r="H30" s="8"/>
      <c r="I30" s="8"/>
      <c r="J30" s="83"/>
    </row>
    <row r="31" spans="6:17" x14ac:dyDescent="0.3">
      <c r="G31" s="1"/>
      <c r="H31" s="8"/>
      <c r="I31" s="8"/>
    </row>
    <row r="32" spans="6:17" x14ac:dyDescent="0.3">
      <c r="G32" s="1"/>
      <c r="H32" s="8"/>
      <c r="I32" s="8"/>
    </row>
    <row r="33" spans="3:9" x14ac:dyDescent="0.3">
      <c r="G33" s="1"/>
      <c r="H33" s="8"/>
      <c r="I33" s="8"/>
    </row>
    <row r="34" spans="3:9" x14ac:dyDescent="0.3">
      <c r="G34" s="1"/>
      <c r="H34" s="8"/>
      <c r="I34" s="8"/>
    </row>
    <row r="35" spans="3:9" x14ac:dyDescent="0.3">
      <c r="G35" s="1"/>
      <c r="H35" s="8"/>
      <c r="I35" s="8"/>
    </row>
    <row r="36" spans="3:9" x14ac:dyDescent="0.3">
      <c r="G36" s="1"/>
      <c r="H36" s="1"/>
      <c r="I36" s="8"/>
    </row>
    <row r="37" spans="3:9" x14ac:dyDescent="0.3">
      <c r="G37" s="1"/>
      <c r="H37" s="1"/>
      <c r="I37" s="8"/>
    </row>
    <row r="38" spans="3:9" x14ac:dyDescent="0.3">
      <c r="G38" s="1"/>
      <c r="H38" s="1"/>
      <c r="I38" s="8"/>
    </row>
    <row r="39" spans="3:9" x14ac:dyDescent="0.3">
      <c r="G39" s="1"/>
      <c r="H39" s="1"/>
      <c r="I39" s="8"/>
    </row>
    <row r="40" spans="3:9" x14ac:dyDescent="0.3">
      <c r="G40" s="1"/>
      <c r="H40" s="1"/>
      <c r="I40" s="8"/>
    </row>
    <row r="41" spans="3:9" x14ac:dyDescent="0.3">
      <c r="G41" s="1"/>
      <c r="H41" s="1"/>
      <c r="I41" s="8"/>
    </row>
    <row r="42" spans="3:9" x14ac:dyDescent="0.3">
      <c r="G42" s="1"/>
      <c r="H42" s="8"/>
      <c r="I42" s="8"/>
    </row>
    <row r="43" spans="3:9" x14ac:dyDescent="0.3">
      <c r="C43" t="s">
        <v>83</v>
      </c>
      <c r="G43" s="1"/>
      <c r="H43" s="8"/>
      <c r="I43" s="8"/>
    </row>
    <row r="44" spans="3:9" x14ac:dyDescent="0.3">
      <c r="G44" s="1"/>
      <c r="H44" s="8"/>
      <c r="I44" s="8"/>
    </row>
    <row r="45" spans="3:9" x14ac:dyDescent="0.3">
      <c r="G45" s="1"/>
      <c r="H45" s="8"/>
      <c r="I45" s="8"/>
    </row>
    <row r="46" spans="3:9" x14ac:dyDescent="0.3">
      <c r="G46" s="1"/>
      <c r="H46" s="8"/>
      <c r="I46" s="8"/>
    </row>
    <row r="47" spans="3:9" x14ac:dyDescent="0.3">
      <c r="G47" s="1"/>
      <c r="H47" s="8"/>
      <c r="I47" s="8"/>
    </row>
    <row r="48" spans="3:9" x14ac:dyDescent="0.3">
      <c r="G48" s="1"/>
      <c r="H48" s="8"/>
      <c r="I48" s="8"/>
    </row>
    <row r="49" spans="1:9" x14ac:dyDescent="0.3">
      <c r="I49" s="8"/>
    </row>
    <row r="50" spans="1:9" x14ac:dyDescent="0.3">
      <c r="I50" s="8"/>
    </row>
    <row r="51" spans="1:9" x14ac:dyDescent="0.3">
      <c r="I51" s="8"/>
    </row>
    <row r="52" spans="1:9" x14ac:dyDescent="0.3">
      <c r="I52" s="8"/>
    </row>
    <row r="53" spans="1:9" x14ac:dyDescent="0.3">
      <c r="I53" s="8"/>
    </row>
    <row r="54" spans="1:9" x14ac:dyDescent="0.3">
      <c r="I54" s="8"/>
    </row>
    <row r="55" spans="1:9" x14ac:dyDescent="0.3">
      <c r="I55" s="8"/>
    </row>
    <row r="59" spans="1:9" x14ac:dyDescent="0.3">
      <c r="A59">
        <v>61</v>
      </c>
      <c r="B59">
        <v>-0.13</v>
      </c>
      <c r="C59">
        <v>-0.13</v>
      </c>
      <c r="G59" s="83"/>
      <c r="H59" s="83"/>
    </row>
    <row r="60" spans="1:9" x14ac:dyDescent="0.3">
      <c r="A60">
        <v>33</v>
      </c>
      <c r="B60">
        <v>-6.95</v>
      </c>
      <c r="C60">
        <v>0.2</v>
      </c>
    </row>
    <row r="61" spans="1:9" x14ac:dyDescent="0.3">
      <c r="A61">
        <v>23</v>
      </c>
      <c r="B61">
        <v>-7.67</v>
      </c>
      <c r="C61">
        <v>0.57999999999999996</v>
      </c>
    </row>
    <row r="62" spans="1:9" x14ac:dyDescent="0.3">
      <c r="A62">
        <v>18</v>
      </c>
      <c r="B62">
        <v>-18.02</v>
      </c>
      <c r="C62">
        <v>-0.51</v>
      </c>
    </row>
    <row r="63" spans="1:9" x14ac:dyDescent="0.3">
      <c r="A63">
        <v>25</v>
      </c>
      <c r="B63">
        <v>-49.15</v>
      </c>
      <c r="C63">
        <v>-1.18</v>
      </c>
    </row>
  </sheetData>
  <mergeCells count="2">
    <mergeCell ref="F3:H3"/>
    <mergeCell ref="I3:K3"/>
  </mergeCells>
  <conditionalFormatting sqref="J27">
    <cfRule type="cellIs" dxfId="183" priority="19" operator="greaterThan">
      <formula>$H$27</formula>
    </cfRule>
  </conditionalFormatting>
  <conditionalFormatting sqref="J27:P27">
    <cfRule type="cellIs" dxfId="182" priority="18" operator="greaterThan">
      <formula>$H$27</formula>
    </cfRule>
  </conditionalFormatting>
  <conditionalFormatting sqref="J28:P28">
    <cfRule type="cellIs" dxfId="181" priority="17" operator="greaterThan">
      <formula>$H$28</formula>
    </cfRule>
  </conditionalFormatting>
  <conditionalFormatting sqref="J29:P29">
    <cfRule type="cellIs" dxfId="180" priority="16" operator="greaterThan">
      <formula>$H$29</formula>
    </cfRule>
  </conditionalFormatting>
  <conditionalFormatting sqref="J30:P30">
    <cfRule type="cellIs" dxfId="179" priority="15" operator="greaterThan">
      <formula>$H$30</formula>
    </cfRule>
  </conditionalFormatting>
  <conditionalFormatting sqref="J37:P37">
    <cfRule type="cellIs" dxfId="178" priority="14" operator="greaterThan">
      <formula>$H$37</formula>
    </cfRule>
  </conditionalFormatting>
  <conditionalFormatting sqref="J38:P38">
    <cfRule type="cellIs" dxfId="177" priority="13" operator="greaterThan">
      <formula>$H$38</formula>
    </cfRule>
  </conditionalFormatting>
  <conditionalFormatting sqref="J39:P39">
    <cfRule type="cellIs" dxfId="176" priority="12" operator="greaterThan">
      <formula>$H$39</formula>
    </cfRule>
  </conditionalFormatting>
  <conditionalFormatting sqref="J40:P40">
    <cfRule type="cellIs" dxfId="175" priority="11" operator="greaterThan">
      <formula>$H$40</formula>
    </cfRule>
  </conditionalFormatting>
  <conditionalFormatting sqref="J45:P45">
    <cfRule type="cellIs" dxfId="174" priority="10" operator="greaterThan">
      <formula>$H$45</formula>
    </cfRule>
  </conditionalFormatting>
  <conditionalFormatting sqref="J46:P46">
    <cfRule type="cellIs" dxfId="173" priority="9" operator="greaterThan">
      <formula>$H$46</formula>
    </cfRule>
  </conditionalFormatting>
  <conditionalFormatting sqref="J48:P48">
    <cfRule type="cellIs" dxfId="172" priority="8" operator="greaterThan">
      <formula>$H$48</formula>
    </cfRule>
  </conditionalFormatting>
  <conditionalFormatting sqref="J49:P49">
    <cfRule type="cellIs" dxfId="171" priority="7" operator="greaterThan">
      <formula>$H$49</formula>
    </cfRule>
  </conditionalFormatting>
  <conditionalFormatting sqref="J50:P50">
    <cfRule type="cellIs" dxfId="170" priority="6" operator="greaterThan">
      <formula>$H$50</formula>
    </cfRule>
  </conditionalFormatting>
  <conditionalFormatting sqref="J51:P51">
    <cfRule type="cellIs" dxfId="169" priority="5" operator="greaterThan">
      <formula>$H$51</formula>
    </cfRule>
  </conditionalFormatting>
  <conditionalFormatting sqref="J52:P52">
    <cfRule type="cellIs" dxfId="168" priority="4" operator="greaterThan">
      <formula>$H$52</formula>
    </cfRule>
  </conditionalFormatting>
  <conditionalFormatting sqref="J53:P53">
    <cfRule type="cellIs" dxfId="167" priority="3" operator="greaterThan">
      <formula>$H$53</formula>
    </cfRule>
  </conditionalFormatting>
  <conditionalFormatting sqref="J54:P54">
    <cfRule type="cellIs" dxfId="166" priority="2" operator="greaterThan">
      <formula>$H$54</formula>
    </cfRule>
  </conditionalFormatting>
  <conditionalFormatting sqref="J55:P55">
    <cfRule type="cellIs" dxfId="165" priority="1" operator="greaterThan">
      <formula>$H$55</formula>
    </cfRule>
  </conditionalFormatting>
  <pageMargins left="0.7" right="0.7" top="0.75" bottom="0.75" header="0.3" footer="0.3"/>
  <pageSetup scale="3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0D766-B58B-4AAF-8CE4-C3859BC260CE}">
  <sheetPr>
    <tabColor theme="9" tint="0.39997558519241921"/>
    <pageSetUpPr fitToPage="1"/>
  </sheetPr>
  <dimension ref="A1:Q63"/>
  <sheetViews>
    <sheetView topLeftCell="E1" zoomScale="88" zoomScaleNormal="70" workbookViewId="0">
      <selection activeCell="G22" sqref="G22:G23"/>
    </sheetView>
  </sheetViews>
  <sheetFormatPr defaultRowHeight="14.4" x14ac:dyDescent="0.3"/>
  <cols>
    <col min="2" max="2" width="18.44140625" customWidth="1"/>
    <col min="3" max="4" width="16.44140625" customWidth="1"/>
    <col min="6" max="6" width="33.88671875" customWidth="1"/>
    <col min="7" max="7" width="24" customWidth="1"/>
    <col min="8" max="8" width="14.109375" customWidth="1"/>
    <col min="9" max="9" width="29.88671875" customWidth="1"/>
    <col min="10" max="10" width="25.5546875" customWidth="1"/>
    <col min="11" max="11" width="11.88671875" bestFit="1" customWidth="1"/>
    <col min="12" max="12" width="26" customWidth="1"/>
    <col min="13" max="13" width="11.109375" customWidth="1"/>
    <col min="14" max="14" width="12.109375" customWidth="1"/>
    <col min="15" max="15" width="24" customWidth="1"/>
    <col min="16" max="16" width="12.6640625" customWidth="1"/>
    <col min="17" max="17" width="16.5546875" customWidth="1"/>
  </cols>
  <sheetData>
    <row r="1" spans="2:15" x14ac:dyDescent="0.3">
      <c r="I1" s="1"/>
      <c r="J1" s="1"/>
      <c r="K1" s="2"/>
    </row>
    <row r="2" spans="2:15" ht="15" thickBot="1" x14ac:dyDescent="0.35">
      <c r="F2" s="7" t="s">
        <v>0</v>
      </c>
      <c r="I2" s="42" t="s">
        <v>289</v>
      </c>
      <c r="J2" s="1"/>
      <c r="K2" s="2"/>
      <c r="L2" s="7" t="s">
        <v>343</v>
      </c>
    </row>
    <row r="3" spans="2:15" ht="18.600000000000001" thickBot="1" x14ac:dyDescent="0.4">
      <c r="B3" s="56" t="s">
        <v>3</v>
      </c>
      <c r="C3" s="53"/>
      <c r="D3" t="s">
        <v>4</v>
      </c>
      <c r="F3" s="351" t="s">
        <v>5</v>
      </c>
      <c r="G3" s="352"/>
      <c r="H3" s="353"/>
      <c r="I3" s="351" t="s">
        <v>5</v>
      </c>
      <c r="J3" s="352"/>
      <c r="K3" s="353"/>
      <c r="L3" s="60" t="s">
        <v>6</v>
      </c>
      <c r="M3" s="61" t="s">
        <v>7</v>
      </c>
      <c r="N3" s="62" t="s">
        <v>8</v>
      </c>
    </row>
    <row r="4" spans="2:15" ht="43.8" x14ac:dyDescent="0.35">
      <c r="B4" s="95" t="s">
        <v>9</v>
      </c>
      <c r="C4" s="93">
        <f>SUM(H27:H36,H44)/1000</f>
        <v>0</v>
      </c>
      <c r="D4" s="8"/>
      <c r="F4" s="43" t="s">
        <v>6</v>
      </c>
      <c r="G4" s="44" t="s">
        <v>10</v>
      </c>
      <c r="H4" s="45" t="s">
        <v>8</v>
      </c>
      <c r="I4" s="60" t="s">
        <v>11</v>
      </c>
      <c r="J4" s="61" t="s">
        <v>10</v>
      </c>
      <c r="K4" s="62" t="s">
        <v>8</v>
      </c>
      <c r="L4" s="25" t="s">
        <v>124</v>
      </c>
      <c r="M4" s="51">
        <v>10</v>
      </c>
      <c r="N4" s="72" t="s">
        <v>37</v>
      </c>
      <c r="O4" t="s">
        <v>351</v>
      </c>
    </row>
    <row r="5" spans="2:15" ht="18" x14ac:dyDescent="0.35">
      <c r="B5" s="88" t="s">
        <v>13</v>
      </c>
      <c r="C5" s="87">
        <f>H27/1000</f>
        <v>0</v>
      </c>
      <c r="D5" s="8"/>
      <c r="F5" s="25" t="s">
        <v>307</v>
      </c>
      <c r="G5" s="51">
        <v>0.35</v>
      </c>
      <c r="H5" s="48" t="s">
        <v>14</v>
      </c>
      <c r="I5" s="25" t="s">
        <v>15</v>
      </c>
      <c r="J5" s="50">
        <v>20</v>
      </c>
      <c r="K5" s="64" t="s">
        <v>16</v>
      </c>
      <c r="L5" s="25" t="s">
        <v>164</v>
      </c>
      <c r="M5" s="51">
        <v>1.5</v>
      </c>
      <c r="N5" s="72" t="s">
        <v>12</v>
      </c>
    </row>
    <row r="6" spans="2:15" ht="18" x14ac:dyDescent="0.35">
      <c r="B6" s="88" t="s">
        <v>18</v>
      </c>
      <c r="C6" s="87">
        <f>H30/1000</f>
        <v>0</v>
      </c>
      <c r="D6" s="8"/>
      <c r="F6" s="25" t="s">
        <v>308</v>
      </c>
      <c r="G6" s="51">
        <v>0.23</v>
      </c>
      <c r="H6" s="48" t="s">
        <v>12</v>
      </c>
      <c r="I6" s="25" t="s">
        <v>19</v>
      </c>
      <c r="J6" s="50">
        <v>20</v>
      </c>
      <c r="K6" s="64" t="s">
        <v>16</v>
      </c>
      <c r="L6" s="25" t="s">
        <v>168</v>
      </c>
      <c r="M6" s="51">
        <v>70</v>
      </c>
      <c r="N6" s="72" t="s">
        <v>160</v>
      </c>
    </row>
    <row r="7" spans="2:15" ht="18" x14ac:dyDescent="0.35">
      <c r="B7" s="88" t="s">
        <v>20</v>
      </c>
      <c r="C7" s="87">
        <f>H31/1000</f>
        <v>0</v>
      </c>
      <c r="D7" s="8"/>
      <c r="F7" s="25" t="s">
        <v>21</v>
      </c>
      <c r="G7" s="51">
        <v>0.5</v>
      </c>
      <c r="H7" s="48" t="s">
        <v>12</v>
      </c>
      <c r="I7" s="25" t="s">
        <v>120</v>
      </c>
      <c r="J7" s="50">
        <v>100</v>
      </c>
      <c r="K7" s="64" t="s">
        <v>16</v>
      </c>
      <c r="L7" s="25" t="s">
        <v>163</v>
      </c>
      <c r="M7" s="51">
        <v>100</v>
      </c>
      <c r="N7" s="72" t="s">
        <v>160</v>
      </c>
    </row>
    <row r="8" spans="2:15" ht="18" x14ac:dyDescent="0.35">
      <c r="B8" s="88" t="s">
        <v>24</v>
      </c>
      <c r="C8" s="87">
        <f>H35/1000</f>
        <v>0</v>
      </c>
      <c r="D8" s="8"/>
      <c r="F8" s="25" t="s">
        <v>290</v>
      </c>
      <c r="G8" s="51">
        <v>0.5</v>
      </c>
      <c r="H8" s="48" t="s">
        <v>12</v>
      </c>
      <c r="I8" s="25" t="s">
        <v>121</v>
      </c>
      <c r="J8" s="50">
        <v>50</v>
      </c>
      <c r="K8" s="64" t="s">
        <v>16</v>
      </c>
      <c r="L8" s="25" t="s">
        <v>31</v>
      </c>
      <c r="M8" s="51">
        <v>6</v>
      </c>
      <c r="N8" s="72" t="s">
        <v>160</v>
      </c>
    </row>
    <row r="9" spans="2:15" ht="18" x14ac:dyDescent="0.35">
      <c r="B9" s="88" t="s">
        <v>28</v>
      </c>
      <c r="C9" s="87">
        <f>C10-SUM(C5:C8)</f>
        <v>0</v>
      </c>
      <c r="D9" s="8"/>
      <c r="F9" s="25" t="s">
        <v>29</v>
      </c>
      <c r="G9" s="51">
        <v>0.25</v>
      </c>
      <c r="H9" s="48" t="s">
        <v>12</v>
      </c>
      <c r="I9" s="25" t="s">
        <v>30</v>
      </c>
      <c r="J9" s="50">
        <v>50</v>
      </c>
      <c r="K9" s="64" t="s">
        <v>16</v>
      </c>
      <c r="L9" s="25" t="s">
        <v>35</v>
      </c>
      <c r="M9" s="51">
        <v>190</v>
      </c>
      <c r="N9" s="72" t="s">
        <v>160</v>
      </c>
    </row>
    <row r="10" spans="2:15" ht="18.600000000000001" thickBot="1" x14ac:dyDescent="0.4">
      <c r="B10" s="89" t="s">
        <v>32</v>
      </c>
      <c r="C10" s="90">
        <f>SUM(H27:H41,H43:H48)/1000</f>
        <v>0</v>
      </c>
      <c r="D10" s="8"/>
      <c r="F10" s="25" t="s">
        <v>33</v>
      </c>
      <c r="G10" s="51">
        <v>2.25</v>
      </c>
      <c r="H10" s="48" t="s">
        <v>12</v>
      </c>
      <c r="I10" s="25" t="s">
        <v>34</v>
      </c>
      <c r="J10" s="50">
        <v>50</v>
      </c>
      <c r="K10" s="64" t="s">
        <v>16</v>
      </c>
      <c r="L10" s="25" t="s">
        <v>179</v>
      </c>
      <c r="M10" s="51">
        <v>2</v>
      </c>
      <c r="N10" s="72" t="s">
        <v>160</v>
      </c>
    </row>
    <row r="11" spans="2:15" ht="18.600000000000001" thickBot="1" x14ac:dyDescent="0.4">
      <c r="F11" s="20" t="s">
        <v>291</v>
      </c>
      <c r="G11" s="51">
        <v>2</v>
      </c>
      <c r="H11" s="48" t="s">
        <v>37</v>
      </c>
      <c r="I11" s="25" t="s">
        <v>122</v>
      </c>
      <c r="J11" s="50">
        <v>50</v>
      </c>
      <c r="K11" s="64" t="s">
        <v>16</v>
      </c>
      <c r="L11" s="25" t="s">
        <v>43</v>
      </c>
      <c r="M11" s="51">
        <v>24</v>
      </c>
      <c r="N11" s="72" t="s">
        <v>160</v>
      </c>
    </row>
    <row r="12" spans="2:15" ht="18.600000000000001" thickBot="1" x14ac:dyDescent="0.4">
      <c r="B12" s="96" t="s">
        <v>40</v>
      </c>
      <c r="C12" s="92"/>
      <c r="F12" s="94" t="s">
        <v>292</v>
      </c>
      <c r="G12" s="51">
        <v>1</v>
      </c>
      <c r="H12" s="48" t="s">
        <v>37</v>
      </c>
      <c r="I12" s="25" t="s">
        <v>42</v>
      </c>
      <c r="J12" s="50">
        <v>1</v>
      </c>
      <c r="K12" s="64" t="s">
        <v>16</v>
      </c>
      <c r="L12" s="25" t="s">
        <v>50</v>
      </c>
      <c r="M12" s="51">
        <v>36</v>
      </c>
      <c r="N12" s="72" t="s">
        <v>160</v>
      </c>
    </row>
    <row r="13" spans="2:15" ht="18" x14ac:dyDescent="0.35">
      <c r="B13" s="98" t="s">
        <v>44</v>
      </c>
      <c r="C13" s="91">
        <f>H52</f>
        <v>0</v>
      </c>
      <c r="D13" s="8"/>
      <c r="F13" s="347" t="s">
        <v>345</v>
      </c>
      <c r="G13" s="345">
        <v>0</v>
      </c>
      <c r="H13" s="346" t="s">
        <v>12</v>
      </c>
      <c r="I13" s="25" t="s">
        <v>45</v>
      </c>
      <c r="J13" s="50">
        <v>50</v>
      </c>
      <c r="K13" s="64" t="s">
        <v>16</v>
      </c>
      <c r="L13" s="25" t="s">
        <v>54</v>
      </c>
      <c r="M13" s="51">
        <v>990</v>
      </c>
      <c r="N13" s="72" t="s">
        <v>37</v>
      </c>
    </row>
    <row r="14" spans="2:15" ht="18" x14ac:dyDescent="0.35">
      <c r="B14" s="88" t="s">
        <v>47</v>
      </c>
      <c r="C14" s="87">
        <f>H55</f>
        <v>0</v>
      </c>
      <c r="D14" s="8"/>
      <c r="F14" s="347" t="s">
        <v>352</v>
      </c>
      <c r="G14" s="345">
        <v>0</v>
      </c>
      <c r="H14" s="346" t="s">
        <v>12</v>
      </c>
      <c r="I14" s="25" t="s">
        <v>288</v>
      </c>
      <c r="J14" s="77">
        <v>50</v>
      </c>
      <c r="K14" s="78" t="s">
        <v>16</v>
      </c>
      <c r="L14" s="74" t="s">
        <v>56</v>
      </c>
      <c r="M14" s="82">
        <f>SUMIFS(M4:M13,N4:N13,"mL")</f>
        <v>1000</v>
      </c>
      <c r="N14" s="72" t="s">
        <v>57</v>
      </c>
    </row>
    <row r="15" spans="2:15" ht="18.600000000000001" thickBot="1" x14ac:dyDescent="0.4">
      <c r="B15" s="89" t="s">
        <v>51</v>
      </c>
      <c r="C15" s="90"/>
      <c r="D15" s="8"/>
      <c r="F15" s="347" t="s">
        <v>295</v>
      </c>
      <c r="G15" s="345">
        <v>0</v>
      </c>
      <c r="H15" s="346" t="s">
        <v>12</v>
      </c>
      <c r="I15" s="76" t="s">
        <v>53</v>
      </c>
      <c r="J15" s="77">
        <v>1000</v>
      </c>
      <c r="K15" s="78" t="s">
        <v>37</v>
      </c>
      <c r="L15" s="65"/>
      <c r="M15" s="67"/>
      <c r="N15" s="66"/>
    </row>
    <row r="16" spans="2:15" ht="18.600000000000001" thickBot="1" x14ac:dyDescent="0.4">
      <c r="F16" s="70" t="s">
        <v>48</v>
      </c>
      <c r="G16" s="51">
        <v>0.5</v>
      </c>
      <c r="H16" s="48" t="s">
        <v>37</v>
      </c>
      <c r="I16" s="65" t="s">
        <v>56</v>
      </c>
      <c r="J16" s="80">
        <f>SUMIFS(J5:J15,K5:K15,"mL")</f>
        <v>1000</v>
      </c>
      <c r="K16" s="66" t="s">
        <v>37</v>
      </c>
      <c r="L16" s="3"/>
      <c r="M16" s="3"/>
    </row>
    <row r="17" spans="6:17" ht="18" x14ac:dyDescent="0.35">
      <c r="F17" s="344" t="s">
        <v>52</v>
      </c>
      <c r="G17" s="345">
        <v>0</v>
      </c>
      <c r="H17" s="346" t="s">
        <v>12</v>
      </c>
      <c r="L17" s="3"/>
      <c r="M17" s="3"/>
    </row>
    <row r="18" spans="6:17" ht="18.600000000000001" thickBot="1" x14ac:dyDescent="0.4">
      <c r="F18" s="70" t="s">
        <v>347</v>
      </c>
      <c r="G18" s="51">
        <v>10</v>
      </c>
      <c r="H18" s="48" t="s">
        <v>37</v>
      </c>
      <c r="I18" s="7" t="s">
        <v>58</v>
      </c>
      <c r="L18" s="7" t="s">
        <v>349</v>
      </c>
      <c r="O18" s="7" t="s">
        <v>350</v>
      </c>
    </row>
    <row r="19" spans="6:17" ht="18" x14ac:dyDescent="0.35">
      <c r="F19" s="71" t="s">
        <v>297</v>
      </c>
      <c r="G19" s="51">
        <v>1</v>
      </c>
      <c r="H19" s="48" t="s">
        <v>37</v>
      </c>
      <c r="I19" s="60" t="s">
        <v>6</v>
      </c>
      <c r="J19" s="61" t="s">
        <v>7</v>
      </c>
      <c r="K19" s="62" t="s">
        <v>8</v>
      </c>
      <c r="L19" s="60" t="s">
        <v>6</v>
      </c>
      <c r="M19" s="61" t="s">
        <v>7</v>
      </c>
      <c r="N19" s="62" t="s">
        <v>8</v>
      </c>
      <c r="O19" s="60" t="s">
        <v>6</v>
      </c>
      <c r="P19" s="61" t="s">
        <v>7</v>
      </c>
      <c r="Q19" s="62" t="s">
        <v>8</v>
      </c>
    </row>
    <row r="20" spans="6:17" ht="18" x14ac:dyDescent="0.35">
      <c r="F20" s="70" t="s">
        <v>195</v>
      </c>
      <c r="G20" s="51">
        <v>0.3</v>
      </c>
      <c r="H20" s="48" t="s">
        <v>12</v>
      </c>
      <c r="I20" s="25" t="s">
        <v>59</v>
      </c>
      <c r="J20" s="51">
        <v>1</v>
      </c>
      <c r="K20" s="72" t="s">
        <v>12</v>
      </c>
      <c r="L20" s="25" t="s">
        <v>348</v>
      </c>
      <c r="M20" s="51">
        <v>4.9000000000000004</v>
      </c>
      <c r="N20" s="72" t="s">
        <v>12</v>
      </c>
      <c r="O20" s="25" t="s">
        <v>124</v>
      </c>
      <c r="P20" s="51">
        <v>295</v>
      </c>
      <c r="Q20" s="72" t="s">
        <v>12</v>
      </c>
    </row>
    <row r="21" spans="6:17" ht="18" x14ac:dyDescent="0.35">
      <c r="F21" s="70" t="s">
        <v>298</v>
      </c>
      <c r="G21" s="51">
        <v>0.3</v>
      </c>
      <c r="H21" s="48" t="s">
        <v>12</v>
      </c>
      <c r="I21" s="25" t="s">
        <v>62</v>
      </c>
      <c r="J21" s="51">
        <v>999</v>
      </c>
      <c r="K21" s="72" t="s">
        <v>37</v>
      </c>
      <c r="L21" s="25" t="s">
        <v>54</v>
      </c>
      <c r="M21" s="51">
        <v>1000</v>
      </c>
      <c r="N21" s="72" t="s">
        <v>37</v>
      </c>
      <c r="O21" s="25" t="s">
        <v>54</v>
      </c>
      <c r="P21" s="51">
        <v>1000</v>
      </c>
      <c r="Q21" s="72" t="s">
        <v>37</v>
      </c>
    </row>
    <row r="22" spans="6:17" ht="18" x14ac:dyDescent="0.35">
      <c r="F22" s="46" t="s">
        <v>53</v>
      </c>
      <c r="G22" s="124">
        <f>1000-SUMIF(H5:H21,"mL",G5:G21)</f>
        <v>985.5</v>
      </c>
      <c r="H22" s="48" t="s">
        <v>37</v>
      </c>
      <c r="I22" s="74" t="s">
        <v>56</v>
      </c>
      <c r="J22" s="82">
        <f>SUMIFS(J20:J21,K20:K21,"mL")</f>
        <v>999</v>
      </c>
      <c r="K22" s="72" t="s">
        <v>57</v>
      </c>
      <c r="L22" s="74" t="s">
        <v>56</v>
      </c>
      <c r="M22" s="82">
        <f>SUMIFS(M20:M21,N20:N21,"mL")</f>
        <v>1000</v>
      </c>
      <c r="N22" s="72" t="s">
        <v>57</v>
      </c>
      <c r="O22" s="74" t="s">
        <v>56</v>
      </c>
      <c r="P22" s="82">
        <f>SUMIFS(P20:P21,Q20:Q21,"mL")</f>
        <v>1000</v>
      </c>
      <c r="Q22" s="72" t="s">
        <v>57</v>
      </c>
    </row>
    <row r="23" spans="6:17" ht="18.600000000000001" thickBot="1" x14ac:dyDescent="0.4">
      <c r="F23" s="73" t="s">
        <v>56</v>
      </c>
      <c r="G23" s="81">
        <v>1000</v>
      </c>
      <c r="H23" s="49"/>
      <c r="I23" s="65"/>
      <c r="J23" s="67"/>
      <c r="K23" s="66"/>
      <c r="L23" s="65"/>
      <c r="M23" s="67"/>
      <c r="N23" s="66"/>
      <c r="O23" s="65"/>
      <c r="P23" s="67"/>
      <c r="Q23" s="66"/>
    </row>
    <row r="24" spans="6:17" ht="18" x14ac:dyDescent="0.35">
      <c r="I24" s="83"/>
      <c r="J24" s="84"/>
      <c r="K24" s="1"/>
    </row>
    <row r="25" spans="6:17" x14ac:dyDescent="0.3">
      <c r="F25" s="7"/>
      <c r="G25" s="97"/>
      <c r="I25" s="97"/>
      <c r="J25" s="97"/>
      <c r="K25" s="97"/>
      <c r="L25" s="42"/>
      <c r="M25" s="42"/>
      <c r="N25" s="7"/>
      <c r="O25" s="7"/>
      <c r="P25" s="7"/>
    </row>
    <row r="26" spans="6:17" x14ac:dyDescent="0.3">
      <c r="F26" s="7"/>
      <c r="G26" s="7"/>
      <c r="H26" s="7"/>
      <c r="I26" s="7"/>
      <c r="J26" s="97"/>
      <c r="K26" s="7"/>
      <c r="L26" s="7"/>
      <c r="M26" s="7"/>
      <c r="N26" s="7"/>
      <c r="O26" s="7"/>
      <c r="P26" s="7"/>
    </row>
    <row r="27" spans="6:17" x14ac:dyDescent="0.3">
      <c r="G27" s="1"/>
      <c r="H27" s="8"/>
      <c r="I27" s="8"/>
      <c r="J27" s="83"/>
    </row>
    <row r="28" spans="6:17" x14ac:dyDescent="0.3">
      <c r="G28" s="1"/>
      <c r="H28" s="8"/>
      <c r="I28" s="8"/>
      <c r="J28" s="83"/>
    </row>
    <row r="29" spans="6:17" x14ac:dyDescent="0.3">
      <c r="G29" s="1"/>
      <c r="H29" s="8"/>
      <c r="I29" s="8"/>
      <c r="J29" s="83"/>
    </row>
    <row r="30" spans="6:17" x14ac:dyDescent="0.3">
      <c r="G30" s="1"/>
      <c r="H30" s="8"/>
      <c r="I30" s="8"/>
      <c r="J30" s="83"/>
    </row>
    <row r="31" spans="6:17" x14ac:dyDescent="0.3">
      <c r="G31" s="1"/>
      <c r="H31" s="8"/>
      <c r="I31" s="8"/>
    </row>
    <row r="32" spans="6:17" x14ac:dyDescent="0.3">
      <c r="G32" s="1"/>
      <c r="H32" s="8"/>
      <c r="I32" s="8"/>
    </row>
    <row r="33" spans="3:9" x14ac:dyDescent="0.3">
      <c r="G33" s="1"/>
      <c r="H33" s="8"/>
      <c r="I33" s="8"/>
    </row>
    <row r="34" spans="3:9" x14ac:dyDescent="0.3">
      <c r="G34" s="1"/>
      <c r="H34" s="8"/>
      <c r="I34" s="8"/>
    </row>
    <row r="35" spans="3:9" x14ac:dyDescent="0.3">
      <c r="G35" s="1"/>
      <c r="H35" s="8"/>
      <c r="I35" s="8"/>
    </row>
    <row r="36" spans="3:9" x14ac:dyDescent="0.3">
      <c r="G36" s="1"/>
      <c r="H36" s="1"/>
      <c r="I36" s="8"/>
    </row>
    <row r="37" spans="3:9" x14ac:dyDescent="0.3">
      <c r="G37" s="1"/>
      <c r="H37" s="1"/>
      <c r="I37" s="8"/>
    </row>
    <row r="38" spans="3:9" x14ac:dyDescent="0.3">
      <c r="G38" s="1"/>
      <c r="H38" s="1"/>
      <c r="I38" s="8"/>
    </row>
    <row r="39" spans="3:9" x14ac:dyDescent="0.3">
      <c r="G39" s="1"/>
      <c r="H39" s="1"/>
      <c r="I39" s="8"/>
    </row>
    <row r="40" spans="3:9" x14ac:dyDescent="0.3">
      <c r="G40" s="1"/>
      <c r="H40" s="1"/>
      <c r="I40" s="8"/>
    </row>
    <row r="41" spans="3:9" x14ac:dyDescent="0.3">
      <c r="G41" s="1"/>
      <c r="H41" s="1"/>
      <c r="I41" s="8"/>
    </row>
    <row r="42" spans="3:9" x14ac:dyDescent="0.3">
      <c r="G42" s="1"/>
      <c r="H42" s="8"/>
      <c r="I42" s="8"/>
    </row>
    <row r="43" spans="3:9" x14ac:dyDescent="0.3">
      <c r="C43" t="s">
        <v>83</v>
      </c>
      <c r="G43" s="1"/>
      <c r="H43" s="8"/>
      <c r="I43" s="8"/>
    </row>
    <row r="44" spans="3:9" x14ac:dyDescent="0.3">
      <c r="G44" s="1"/>
      <c r="H44" s="8"/>
      <c r="I44" s="8"/>
    </row>
    <row r="45" spans="3:9" x14ac:dyDescent="0.3">
      <c r="G45" s="1"/>
      <c r="H45" s="8"/>
      <c r="I45" s="8"/>
    </row>
    <row r="46" spans="3:9" x14ac:dyDescent="0.3">
      <c r="G46" s="1"/>
      <c r="H46" s="8"/>
      <c r="I46" s="8"/>
    </row>
    <row r="47" spans="3:9" x14ac:dyDescent="0.3">
      <c r="G47" s="1"/>
      <c r="H47" s="8"/>
      <c r="I47" s="8"/>
    </row>
    <row r="48" spans="3:9" x14ac:dyDescent="0.3">
      <c r="G48" s="1"/>
      <c r="H48" s="8"/>
      <c r="I48" s="8"/>
    </row>
    <row r="49" spans="1:9" x14ac:dyDescent="0.3">
      <c r="I49" s="8"/>
    </row>
    <row r="50" spans="1:9" x14ac:dyDescent="0.3">
      <c r="I50" s="8"/>
    </row>
    <row r="51" spans="1:9" x14ac:dyDescent="0.3">
      <c r="I51" s="8"/>
    </row>
    <row r="52" spans="1:9" x14ac:dyDescent="0.3">
      <c r="I52" s="8"/>
    </row>
    <row r="53" spans="1:9" x14ac:dyDescent="0.3">
      <c r="I53" s="8"/>
    </row>
    <row r="54" spans="1:9" x14ac:dyDescent="0.3">
      <c r="I54" s="8"/>
    </row>
    <row r="55" spans="1:9" x14ac:dyDescent="0.3">
      <c r="I55" s="8"/>
    </row>
    <row r="59" spans="1:9" x14ac:dyDescent="0.3">
      <c r="A59">
        <v>61</v>
      </c>
      <c r="B59">
        <v>-0.13</v>
      </c>
      <c r="C59">
        <v>-0.13</v>
      </c>
      <c r="G59" s="83"/>
      <c r="H59" s="83"/>
    </row>
    <row r="60" spans="1:9" x14ac:dyDescent="0.3">
      <c r="A60">
        <v>33</v>
      </c>
      <c r="B60">
        <v>-6.95</v>
      </c>
      <c r="C60">
        <v>0.2</v>
      </c>
    </row>
    <row r="61" spans="1:9" x14ac:dyDescent="0.3">
      <c r="A61">
        <v>23</v>
      </c>
      <c r="B61">
        <v>-7.67</v>
      </c>
      <c r="C61">
        <v>0.57999999999999996</v>
      </c>
    </row>
    <row r="62" spans="1:9" x14ac:dyDescent="0.3">
      <c r="A62">
        <v>18</v>
      </c>
      <c r="B62">
        <v>-18.02</v>
      </c>
      <c r="C62">
        <v>-0.51</v>
      </c>
    </row>
    <row r="63" spans="1:9" x14ac:dyDescent="0.3">
      <c r="A63">
        <v>25</v>
      </c>
      <c r="B63">
        <v>-49.15</v>
      </c>
      <c r="C63">
        <v>-1.18</v>
      </c>
    </row>
  </sheetData>
  <mergeCells count="2">
    <mergeCell ref="F3:H3"/>
    <mergeCell ref="I3:K3"/>
  </mergeCells>
  <conditionalFormatting sqref="J27">
    <cfRule type="cellIs" dxfId="164" priority="19" operator="greaterThan">
      <formula>$H$27</formula>
    </cfRule>
  </conditionalFormatting>
  <conditionalFormatting sqref="J27:P27">
    <cfRule type="cellIs" dxfId="163" priority="18" operator="greaterThan">
      <formula>$H$27</formula>
    </cfRule>
  </conditionalFormatting>
  <conditionalFormatting sqref="J28:P28">
    <cfRule type="cellIs" dxfId="162" priority="17" operator="greaterThan">
      <formula>$H$28</formula>
    </cfRule>
  </conditionalFormatting>
  <conditionalFormatting sqref="J29:P29">
    <cfRule type="cellIs" dxfId="161" priority="16" operator="greaterThan">
      <formula>$H$29</formula>
    </cfRule>
  </conditionalFormatting>
  <conditionalFormatting sqref="J30:P30">
    <cfRule type="cellIs" dxfId="160" priority="15" operator="greaterThan">
      <formula>$H$30</formula>
    </cfRule>
  </conditionalFormatting>
  <conditionalFormatting sqref="J37:P37">
    <cfRule type="cellIs" dxfId="159" priority="14" operator="greaterThan">
      <formula>$H$37</formula>
    </cfRule>
  </conditionalFormatting>
  <conditionalFormatting sqref="J38:P38">
    <cfRule type="cellIs" dxfId="158" priority="13" operator="greaterThan">
      <formula>$H$38</formula>
    </cfRule>
  </conditionalFormatting>
  <conditionalFormatting sqref="J39:P39">
    <cfRule type="cellIs" dxfId="157" priority="12" operator="greaterThan">
      <formula>$H$39</formula>
    </cfRule>
  </conditionalFormatting>
  <conditionalFormatting sqref="J40:P40">
    <cfRule type="cellIs" dxfId="156" priority="11" operator="greaterThan">
      <formula>$H$40</formula>
    </cfRule>
  </conditionalFormatting>
  <conditionalFormatting sqref="J45:P45">
    <cfRule type="cellIs" dxfId="155" priority="10" operator="greaterThan">
      <formula>$H$45</formula>
    </cfRule>
  </conditionalFormatting>
  <conditionalFormatting sqref="J46:P46">
    <cfRule type="cellIs" dxfId="154" priority="9" operator="greaterThan">
      <formula>$H$46</formula>
    </cfRule>
  </conditionalFormatting>
  <conditionalFormatting sqref="J48:P48">
    <cfRule type="cellIs" dxfId="153" priority="8" operator="greaterThan">
      <formula>$H$48</formula>
    </cfRule>
  </conditionalFormatting>
  <conditionalFormatting sqref="J49:P49">
    <cfRule type="cellIs" dxfId="152" priority="7" operator="greaterThan">
      <formula>$H$49</formula>
    </cfRule>
  </conditionalFormatting>
  <conditionalFormatting sqref="J50:P50">
    <cfRule type="cellIs" dxfId="151" priority="6" operator="greaterThan">
      <formula>$H$50</formula>
    </cfRule>
  </conditionalFormatting>
  <conditionalFormatting sqref="J51:P51">
    <cfRule type="cellIs" dxfId="150" priority="5" operator="greaterThan">
      <formula>$H$51</formula>
    </cfRule>
  </conditionalFormatting>
  <conditionalFormatting sqref="J52:P52">
    <cfRule type="cellIs" dxfId="149" priority="4" operator="greaterThan">
      <formula>$H$52</formula>
    </cfRule>
  </conditionalFormatting>
  <conditionalFormatting sqref="J53:P53">
    <cfRule type="cellIs" dxfId="148" priority="3" operator="greaterThan">
      <formula>$H$53</formula>
    </cfRule>
  </conditionalFormatting>
  <conditionalFormatting sqref="J54:P54">
    <cfRule type="cellIs" dxfId="147" priority="2" operator="greaterThan">
      <formula>$H$54</formula>
    </cfRule>
  </conditionalFormatting>
  <conditionalFormatting sqref="J55:P55">
    <cfRule type="cellIs" dxfId="146" priority="1" operator="greaterThan">
      <formula>$H$55</formula>
    </cfRule>
  </conditionalFormatting>
  <pageMargins left="0.7" right="0.7" top="0.75" bottom="0.75" header="0.3" footer="0.3"/>
  <pageSetup scale="3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F51BB-AD98-4553-AB0D-EF99BD04DE4D}">
  <sheetPr>
    <tabColor theme="9" tint="0.39997558519241921"/>
    <pageSetUpPr fitToPage="1"/>
  </sheetPr>
  <dimension ref="A1:Q63"/>
  <sheetViews>
    <sheetView topLeftCell="E1" zoomScale="88" zoomScaleNormal="70" workbookViewId="0">
      <selection activeCell="G22" sqref="G22:G23"/>
    </sheetView>
  </sheetViews>
  <sheetFormatPr defaultRowHeight="14.4" x14ac:dyDescent="0.3"/>
  <cols>
    <col min="2" max="2" width="18.44140625" customWidth="1"/>
    <col min="3" max="4" width="16.44140625" customWidth="1"/>
    <col min="6" max="6" width="33.88671875" customWidth="1"/>
    <col min="7" max="7" width="24" customWidth="1"/>
    <col min="8" max="8" width="14.109375" customWidth="1"/>
    <col min="9" max="9" width="29.88671875" customWidth="1"/>
    <col min="10" max="10" width="25.5546875" customWidth="1"/>
    <col min="11" max="11" width="11.88671875" bestFit="1" customWidth="1"/>
    <col min="12" max="12" width="26" customWidth="1"/>
    <col min="13" max="13" width="11.109375" customWidth="1"/>
    <col min="14" max="14" width="12.109375" customWidth="1"/>
    <col min="15" max="15" width="24" customWidth="1"/>
    <col min="16" max="16" width="12.6640625" customWidth="1"/>
    <col min="17" max="17" width="16.5546875" customWidth="1"/>
  </cols>
  <sheetData>
    <row r="1" spans="2:15" x14ac:dyDescent="0.3">
      <c r="I1" s="1"/>
      <c r="J1" s="1"/>
      <c r="K1" s="2"/>
    </row>
    <row r="2" spans="2:15" ht="15" thickBot="1" x14ac:dyDescent="0.35">
      <c r="F2" s="7" t="s">
        <v>0</v>
      </c>
      <c r="I2" s="42" t="s">
        <v>289</v>
      </c>
      <c r="J2" s="1"/>
      <c r="K2" s="2"/>
      <c r="L2" s="7" t="s">
        <v>343</v>
      </c>
    </row>
    <row r="3" spans="2:15" ht="18.600000000000001" thickBot="1" x14ac:dyDescent="0.4">
      <c r="B3" s="56" t="s">
        <v>3</v>
      </c>
      <c r="C3" s="53"/>
      <c r="D3" t="s">
        <v>4</v>
      </c>
      <c r="F3" s="351" t="s">
        <v>5</v>
      </c>
      <c r="G3" s="352"/>
      <c r="H3" s="353"/>
      <c r="I3" s="351" t="s">
        <v>5</v>
      </c>
      <c r="J3" s="352"/>
      <c r="K3" s="353"/>
      <c r="L3" s="60" t="s">
        <v>6</v>
      </c>
      <c r="M3" s="61" t="s">
        <v>7</v>
      </c>
      <c r="N3" s="62" t="s">
        <v>8</v>
      </c>
    </row>
    <row r="4" spans="2:15" ht="43.8" x14ac:dyDescent="0.35">
      <c r="B4" s="95" t="s">
        <v>9</v>
      </c>
      <c r="C4" s="93">
        <f>SUM(H27:H36,H44)/1000</f>
        <v>0</v>
      </c>
      <c r="D4" s="8"/>
      <c r="F4" s="43" t="s">
        <v>6</v>
      </c>
      <c r="G4" s="44" t="s">
        <v>10</v>
      </c>
      <c r="H4" s="45" t="s">
        <v>8</v>
      </c>
      <c r="I4" s="60" t="s">
        <v>11</v>
      </c>
      <c r="J4" s="61" t="s">
        <v>10</v>
      </c>
      <c r="K4" s="62" t="s">
        <v>8</v>
      </c>
      <c r="L4" s="25" t="s">
        <v>124</v>
      </c>
      <c r="M4" s="51">
        <v>10</v>
      </c>
      <c r="N4" s="72" t="s">
        <v>37</v>
      </c>
      <c r="O4" t="s">
        <v>351</v>
      </c>
    </row>
    <row r="5" spans="2:15" ht="18" x14ac:dyDescent="0.35">
      <c r="B5" s="88" t="s">
        <v>13</v>
      </c>
      <c r="C5" s="87">
        <f>H27/1000</f>
        <v>0</v>
      </c>
      <c r="D5" s="8"/>
      <c r="F5" s="25" t="s">
        <v>307</v>
      </c>
      <c r="G5" s="51">
        <v>0.35</v>
      </c>
      <c r="H5" s="48" t="s">
        <v>14</v>
      </c>
      <c r="I5" s="25" t="s">
        <v>15</v>
      </c>
      <c r="J5" s="50">
        <v>20</v>
      </c>
      <c r="K5" s="64" t="s">
        <v>16</v>
      </c>
      <c r="L5" s="25" t="s">
        <v>164</v>
      </c>
      <c r="M5" s="51">
        <v>1.5</v>
      </c>
      <c r="N5" s="72" t="s">
        <v>12</v>
      </c>
    </row>
    <row r="6" spans="2:15" ht="18" x14ac:dyDescent="0.35">
      <c r="B6" s="88" t="s">
        <v>18</v>
      </c>
      <c r="C6" s="87">
        <f>H30/1000</f>
        <v>0</v>
      </c>
      <c r="D6" s="8"/>
      <c r="F6" s="25" t="s">
        <v>308</v>
      </c>
      <c r="G6" s="51">
        <v>0.23</v>
      </c>
      <c r="H6" s="48" t="s">
        <v>12</v>
      </c>
      <c r="I6" s="25" t="s">
        <v>19</v>
      </c>
      <c r="J6" s="50">
        <v>20</v>
      </c>
      <c r="K6" s="64" t="s">
        <v>16</v>
      </c>
      <c r="L6" s="25" t="s">
        <v>168</v>
      </c>
      <c r="M6" s="51">
        <v>70</v>
      </c>
      <c r="N6" s="72" t="s">
        <v>160</v>
      </c>
    </row>
    <row r="7" spans="2:15" ht="18" x14ac:dyDescent="0.35">
      <c r="B7" s="88" t="s">
        <v>20</v>
      </c>
      <c r="C7" s="87">
        <f>H31/1000</f>
        <v>0</v>
      </c>
      <c r="D7" s="8"/>
      <c r="F7" s="25" t="s">
        <v>21</v>
      </c>
      <c r="G7" s="51">
        <v>0.5</v>
      </c>
      <c r="H7" s="48" t="s">
        <v>12</v>
      </c>
      <c r="I7" s="25" t="s">
        <v>120</v>
      </c>
      <c r="J7" s="50">
        <v>100</v>
      </c>
      <c r="K7" s="64" t="s">
        <v>16</v>
      </c>
      <c r="L7" s="25" t="s">
        <v>163</v>
      </c>
      <c r="M7" s="51">
        <v>100</v>
      </c>
      <c r="N7" s="72" t="s">
        <v>160</v>
      </c>
    </row>
    <row r="8" spans="2:15" ht="18" x14ac:dyDescent="0.35">
      <c r="B8" s="88" t="s">
        <v>24</v>
      </c>
      <c r="C8" s="87">
        <f>H35/1000</f>
        <v>0</v>
      </c>
      <c r="D8" s="8"/>
      <c r="F8" s="25" t="s">
        <v>290</v>
      </c>
      <c r="G8" s="51">
        <v>0.5</v>
      </c>
      <c r="H8" s="48" t="s">
        <v>12</v>
      </c>
      <c r="I8" s="25" t="s">
        <v>121</v>
      </c>
      <c r="J8" s="50">
        <v>50</v>
      </c>
      <c r="K8" s="64" t="s">
        <v>16</v>
      </c>
      <c r="L8" s="25" t="s">
        <v>31</v>
      </c>
      <c r="M8" s="51">
        <v>6</v>
      </c>
      <c r="N8" s="72" t="s">
        <v>160</v>
      </c>
    </row>
    <row r="9" spans="2:15" ht="18" x14ac:dyDescent="0.35">
      <c r="B9" s="88" t="s">
        <v>28</v>
      </c>
      <c r="C9" s="87">
        <f>C10-SUM(C5:C8)</f>
        <v>0</v>
      </c>
      <c r="D9" s="8"/>
      <c r="F9" s="25" t="s">
        <v>29</v>
      </c>
      <c r="G9" s="51">
        <v>0.25</v>
      </c>
      <c r="H9" s="48" t="s">
        <v>12</v>
      </c>
      <c r="I9" s="25" t="s">
        <v>30</v>
      </c>
      <c r="J9" s="50">
        <v>50</v>
      </c>
      <c r="K9" s="64" t="s">
        <v>16</v>
      </c>
      <c r="L9" s="25" t="s">
        <v>35</v>
      </c>
      <c r="M9" s="51">
        <v>190</v>
      </c>
      <c r="N9" s="72" t="s">
        <v>160</v>
      </c>
    </row>
    <row r="10" spans="2:15" ht="18.600000000000001" thickBot="1" x14ac:dyDescent="0.4">
      <c r="B10" s="89" t="s">
        <v>32</v>
      </c>
      <c r="C10" s="90">
        <f>SUM(H27:H41,H43:H48)/1000</f>
        <v>0</v>
      </c>
      <c r="D10" s="8"/>
      <c r="F10" s="25" t="s">
        <v>33</v>
      </c>
      <c r="G10" s="51">
        <v>2.25</v>
      </c>
      <c r="H10" s="48" t="s">
        <v>12</v>
      </c>
      <c r="I10" s="25" t="s">
        <v>34</v>
      </c>
      <c r="J10" s="50">
        <v>50</v>
      </c>
      <c r="K10" s="64" t="s">
        <v>16</v>
      </c>
      <c r="L10" s="25" t="s">
        <v>179</v>
      </c>
      <c r="M10" s="51">
        <v>2</v>
      </c>
      <c r="N10" s="72" t="s">
        <v>160</v>
      </c>
    </row>
    <row r="11" spans="2:15" ht="18.600000000000001" thickBot="1" x14ac:dyDescent="0.4">
      <c r="F11" s="20" t="s">
        <v>291</v>
      </c>
      <c r="G11" s="51">
        <v>2</v>
      </c>
      <c r="H11" s="48" t="s">
        <v>37</v>
      </c>
      <c r="I11" s="25" t="s">
        <v>122</v>
      </c>
      <c r="J11" s="50">
        <v>50</v>
      </c>
      <c r="K11" s="64" t="s">
        <v>16</v>
      </c>
      <c r="L11" s="25" t="s">
        <v>43</v>
      </c>
      <c r="M11" s="51">
        <v>24</v>
      </c>
      <c r="N11" s="72" t="s">
        <v>160</v>
      </c>
    </row>
    <row r="12" spans="2:15" ht="18.600000000000001" thickBot="1" x14ac:dyDescent="0.4">
      <c r="B12" s="96" t="s">
        <v>40</v>
      </c>
      <c r="C12" s="92"/>
      <c r="F12" s="94" t="s">
        <v>292</v>
      </c>
      <c r="G12" s="51">
        <v>1</v>
      </c>
      <c r="H12" s="48" t="s">
        <v>37</v>
      </c>
      <c r="I12" s="25" t="s">
        <v>42</v>
      </c>
      <c r="J12" s="50">
        <v>1</v>
      </c>
      <c r="K12" s="64" t="s">
        <v>16</v>
      </c>
      <c r="L12" s="25" t="s">
        <v>50</v>
      </c>
      <c r="M12" s="51">
        <v>36</v>
      </c>
      <c r="N12" s="72" t="s">
        <v>160</v>
      </c>
    </row>
    <row r="13" spans="2:15" ht="18" x14ac:dyDescent="0.35">
      <c r="B13" s="98" t="s">
        <v>44</v>
      </c>
      <c r="C13" s="91">
        <f>H52</f>
        <v>0</v>
      </c>
      <c r="D13" s="8"/>
      <c r="F13" s="347" t="s">
        <v>345</v>
      </c>
      <c r="G13" s="345">
        <v>0</v>
      </c>
      <c r="H13" s="346" t="s">
        <v>12</v>
      </c>
      <c r="I13" s="25" t="s">
        <v>45</v>
      </c>
      <c r="J13" s="50">
        <v>50</v>
      </c>
      <c r="K13" s="64" t="s">
        <v>16</v>
      </c>
      <c r="L13" s="25" t="s">
        <v>54</v>
      </c>
      <c r="M13" s="51">
        <v>990</v>
      </c>
      <c r="N13" s="72" t="s">
        <v>37</v>
      </c>
    </row>
    <row r="14" spans="2:15" ht="18" x14ac:dyDescent="0.35">
      <c r="B14" s="88" t="s">
        <v>47</v>
      </c>
      <c r="C14" s="87">
        <f>H55</f>
        <v>0</v>
      </c>
      <c r="D14" s="8"/>
      <c r="F14" s="347" t="s">
        <v>352</v>
      </c>
      <c r="G14" s="345">
        <v>0</v>
      </c>
      <c r="H14" s="346" t="s">
        <v>12</v>
      </c>
      <c r="I14" s="25" t="s">
        <v>288</v>
      </c>
      <c r="J14" s="77">
        <v>50</v>
      </c>
      <c r="K14" s="78" t="s">
        <v>16</v>
      </c>
      <c r="L14" s="74" t="s">
        <v>56</v>
      </c>
      <c r="M14" s="82">
        <f>SUMIFS(M4:M13,N4:N13,"mL")</f>
        <v>1000</v>
      </c>
      <c r="N14" s="72" t="s">
        <v>57</v>
      </c>
    </row>
    <row r="15" spans="2:15" ht="18.600000000000001" thickBot="1" x14ac:dyDescent="0.4">
      <c r="B15" s="89" t="s">
        <v>51</v>
      </c>
      <c r="C15" s="90"/>
      <c r="D15" s="8"/>
      <c r="F15" s="347" t="s">
        <v>295</v>
      </c>
      <c r="G15" s="345">
        <v>0</v>
      </c>
      <c r="H15" s="346" t="s">
        <v>12</v>
      </c>
      <c r="I15" s="76" t="s">
        <v>53</v>
      </c>
      <c r="J15" s="77">
        <v>1000</v>
      </c>
      <c r="K15" s="78" t="s">
        <v>37</v>
      </c>
      <c r="L15" s="65"/>
      <c r="M15" s="67"/>
      <c r="N15" s="66"/>
    </row>
    <row r="16" spans="2:15" ht="18.600000000000001" thickBot="1" x14ac:dyDescent="0.4">
      <c r="F16" s="70" t="s">
        <v>48</v>
      </c>
      <c r="G16" s="51">
        <v>0.5</v>
      </c>
      <c r="H16" s="48" t="s">
        <v>37</v>
      </c>
      <c r="I16" s="65" t="s">
        <v>56</v>
      </c>
      <c r="J16" s="80">
        <f>SUMIFS(J5:J15,K5:K15,"mL")</f>
        <v>1000</v>
      </c>
      <c r="K16" s="66" t="s">
        <v>37</v>
      </c>
      <c r="L16" s="3"/>
      <c r="M16" s="3"/>
    </row>
    <row r="17" spans="6:17" ht="18" x14ac:dyDescent="0.35">
      <c r="F17" s="344" t="s">
        <v>52</v>
      </c>
      <c r="G17" s="345">
        <v>0</v>
      </c>
      <c r="H17" s="346" t="s">
        <v>12</v>
      </c>
      <c r="L17" s="3"/>
      <c r="M17" s="3"/>
    </row>
    <row r="18" spans="6:17" ht="18.600000000000001" thickBot="1" x14ac:dyDescent="0.4">
      <c r="F18" s="347" t="s">
        <v>347</v>
      </c>
      <c r="G18" s="345">
        <v>0</v>
      </c>
      <c r="H18" s="346" t="s">
        <v>37</v>
      </c>
      <c r="I18" s="7" t="s">
        <v>58</v>
      </c>
      <c r="L18" s="7" t="s">
        <v>349</v>
      </c>
      <c r="O18" s="7" t="s">
        <v>350</v>
      </c>
    </row>
    <row r="19" spans="6:17" ht="18" x14ac:dyDescent="0.35">
      <c r="F19" s="71" t="s">
        <v>297</v>
      </c>
      <c r="G19" s="51">
        <v>1</v>
      </c>
      <c r="H19" s="48" t="s">
        <v>37</v>
      </c>
      <c r="I19" s="60" t="s">
        <v>6</v>
      </c>
      <c r="J19" s="61" t="s">
        <v>7</v>
      </c>
      <c r="K19" s="62" t="s">
        <v>8</v>
      </c>
      <c r="L19" s="60" t="s">
        <v>6</v>
      </c>
      <c r="M19" s="61" t="s">
        <v>7</v>
      </c>
      <c r="N19" s="62" t="s">
        <v>8</v>
      </c>
      <c r="O19" s="60" t="s">
        <v>6</v>
      </c>
      <c r="P19" s="61" t="s">
        <v>7</v>
      </c>
      <c r="Q19" s="62" t="s">
        <v>8</v>
      </c>
    </row>
    <row r="20" spans="6:17" ht="18" x14ac:dyDescent="0.35">
      <c r="F20" s="70" t="s">
        <v>195</v>
      </c>
      <c r="G20" s="51">
        <v>0.3</v>
      </c>
      <c r="H20" s="48" t="s">
        <v>12</v>
      </c>
      <c r="I20" s="25" t="s">
        <v>59</v>
      </c>
      <c r="J20" s="51">
        <v>1</v>
      </c>
      <c r="K20" s="72" t="s">
        <v>12</v>
      </c>
      <c r="L20" s="25" t="s">
        <v>348</v>
      </c>
      <c r="M20" s="51">
        <v>4.9000000000000004</v>
      </c>
      <c r="N20" s="72" t="s">
        <v>12</v>
      </c>
      <c r="O20" s="25" t="s">
        <v>124</v>
      </c>
      <c r="P20" s="51">
        <v>295</v>
      </c>
      <c r="Q20" s="72" t="s">
        <v>12</v>
      </c>
    </row>
    <row r="21" spans="6:17" ht="18" x14ac:dyDescent="0.35">
      <c r="F21" s="70" t="s">
        <v>298</v>
      </c>
      <c r="G21" s="51">
        <v>0.3</v>
      </c>
      <c r="H21" s="48" t="s">
        <v>12</v>
      </c>
      <c r="I21" s="25" t="s">
        <v>62</v>
      </c>
      <c r="J21" s="51">
        <v>999</v>
      </c>
      <c r="K21" s="72" t="s">
        <v>37</v>
      </c>
      <c r="L21" s="25" t="s">
        <v>54</v>
      </c>
      <c r="M21" s="51">
        <v>1000</v>
      </c>
      <c r="N21" s="72" t="s">
        <v>37</v>
      </c>
      <c r="O21" s="25" t="s">
        <v>54</v>
      </c>
      <c r="P21" s="51">
        <v>1000</v>
      </c>
      <c r="Q21" s="72" t="s">
        <v>37</v>
      </c>
    </row>
    <row r="22" spans="6:17" ht="18" x14ac:dyDescent="0.35">
      <c r="F22" s="46" t="s">
        <v>53</v>
      </c>
      <c r="G22" s="124">
        <f>1000-SUMIF(H5:H21,"mL",G5:G21)</f>
        <v>995.5</v>
      </c>
      <c r="H22" s="48" t="s">
        <v>37</v>
      </c>
      <c r="I22" s="74" t="s">
        <v>56</v>
      </c>
      <c r="J22" s="82">
        <f>SUMIFS(J20:J21,K20:K21,"mL")</f>
        <v>999</v>
      </c>
      <c r="K22" s="72" t="s">
        <v>57</v>
      </c>
      <c r="L22" s="74" t="s">
        <v>56</v>
      </c>
      <c r="M22" s="82">
        <f>SUMIFS(M20:M21,N20:N21,"mL")</f>
        <v>1000</v>
      </c>
      <c r="N22" s="72" t="s">
        <v>57</v>
      </c>
      <c r="O22" s="74" t="s">
        <v>56</v>
      </c>
      <c r="P22" s="82">
        <f>SUMIFS(P20:P21,Q20:Q21,"mL")</f>
        <v>1000</v>
      </c>
      <c r="Q22" s="72" t="s">
        <v>57</v>
      </c>
    </row>
    <row r="23" spans="6:17" ht="18.600000000000001" thickBot="1" x14ac:dyDescent="0.4">
      <c r="F23" s="73" t="s">
        <v>56</v>
      </c>
      <c r="G23" s="81">
        <v>1000</v>
      </c>
      <c r="H23" s="49"/>
      <c r="I23" s="65"/>
      <c r="J23" s="67"/>
      <c r="K23" s="66"/>
      <c r="L23" s="65"/>
      <c r="M23" s="67"/>
      <c r="N23" s="66"/>
      <c r="O23" s="65"/>
      <c r="P23" s="67"/>
      <c r="Q23" s="66"/>
    </row>
    <row r="24" spans="6:17" ht="18" x14ac:dyDescent="0.35">
      <c r="I24" s="83"/>
      <c r="J24" s="84"/>
      <c r="K24" s="1"/>
    </row>
    <row r="25" spans="6:17" x14ac:dyDescent="0.3">
      <c r="F25" s="7"/>
      <c r="G25" s="97"/>
      <c r="I25" s="97"/>
      <c r="J25" s="97"/>
      <c r="K25" s="97"/>
      <c r="L25" s="42"/>
      <c r="M25" s="42"/>
      <c r="N25" s="7"/>
      <c r="O25" s="7"/>
      <c r="P25" s="7"/>
    </row>
    <row r="26" spans="6:17" x14ac:dyDescent="0.3">
      <c r="F26" s="7"/>
      <c r="G26" s="7"/>
      <c r="H26" s="7"/>
      <c r="I26" s="7"/>
      <c r="J26" s="97"/>
      <c r="K26" s="7"/>
      <c r="L26" s="7"/>
      <c r="M26" s="7"/>
      <c r="N26" s="7"/>
      <c r="O26" s="7"/>
      <c r="P26" s="7"/>
    </row>
    <row r="27" spans="6:17" x14ac:dyDescent="0.3">
      <c r="G27" s="1"/>
      <c r="H27" s="8"/>
      <c r="I27" s="8"/>
      <c r="J27" s="83"/>
    </row>
    <row r="28" spans="6:17" x14ac:dyDescent="0.3">
      <c r="G28" s="1"/>
      <c r="H28" s="8"/>
      <c r="I28" s="8"/>
      <c r="J28" s="83"/>
    </row>
    <row r="29" spans="6:17" x14ac:dyDescent="0.3">
      <c r="G29" s="1"/>
      <c r="H29" s="8"/>
      <c r="I29" s="8"/>
      <c r="J29" s="83"/>
    </row>
    <row r="30" spans="6:17" x14ac:dyDescent="0.3">
      <c r="G30" s="1"/>
      <c r="H30" s="8"/>
      <c r="I30" s="8"/>
      <c r="J30" s="83"/>
    </row>
    <row r="31" spans="6:17" x14ac:dyDescent="0.3">
      <c r="G31" s="1"/>
      <c r="H31" s="8"/>
      <c r="I31" s="8"/>
    </row>
    <row r="32" spans="6:17" x14ac:dyDescent="0.3">
      <c r="G32" s="1"/>
      <c r="H32" s="8"/>
      <c r="I32" s="8"/>
    </row>
    <row r="33" spans="3:9" x14ac:dyDescent="0.3">
      <c r="G33" s="1"/>
      <c r="H33" s="8"/>
      <c r="I33" s="8"/>
    </row>
    <row r="34" spans="3:9" x14ac:dyDescent="0.3">
      <c r="G34" s="1"/>
      <c r="H34" s="8"/>
      <c r="I34" s="8"/>
    </row>
    <row r="35" spans="3:9" x14ac:dyDescent="0.3">
      <c r="G35" s="1"/>
      <c r="H35" s="8"/>
      <c r="I35" s="8"/>
    </row>
    <row r="36" spans="3:9" x14ac:dyDescent="0.3">
      <c r="G36" s="1"/>
      <c r="H36" s="1"/>
      <c r="I36" s="8"/>
    </row>
    <row r="37" spans="3:9" x14ac:dyDescent="0.3">
      <c r="G37" s="1"/>
      <c r="H37" s="1"/>
      <c r="I37" s="8"/>
    </row>
    <row r="38" spans="3:9" x14ac:dyDescent="0.3">
      <c r="G38" s="1"/>
      <c r="H38" s="1"/>
      <c r="I38" s="8"/>
    </row>
    <row r="39" spans="3:9" x14ac:dyDescent="0.3">
      <c r="G39" s="1"/>
      <c r="H39" s="1"/>
      <c r="I39" s="8"/>
    </row>
    <row r="40" spans="3:9" x14ac:dyDescent="0.3">
      <c r="G40" s="1"/>
      <c r="H40" s="1"/>
      <c r="I40" s="8"/>
    </row>
    <row r="41" spans="3:9" x14ac:dyDescent="0.3">
      <c r="G41" s="1"/>
      <c r="H41" s="1"/>
      <c r="I41" s="8"/>
    </row>
    <row r="42" spans="3:9" x14ac:dyDescent="0.3">
      <c r="G42" s="1"/>
      <c r="H42" s="8"/>
      <c r="I42" s="8"/>
    </row>
    <row r="43" spans="3:9" x14ac:dyDescent="0.3">
      <c r="C43" t="s">
        <v>83</v>
      </c>
      <c r="G43" s="1"/>
      <c r="H43" s="8"/>
      <c r="I43" s="8"/>
    </row>
    <row r="44" spans="3:9" x14ac:dyDescent="0.3">
      <c r="G44" s="1"/>
      <c r="H44" s="8"/>
      <c r="I44" s="8"/>
    </row>
    <row r="45" spans="3:9" x14ac:dyDescent="0.3">
      <c r="G45" s="1"/>
      <c r="H45" s="8"/>
      <c r="I45" s="8"/>
    </row>
    <row r="46" spans="3:9" x14ac:dyDescent="0.3">
      <c r="G46" s="1"/>
      <c r="H46" s="8"/>
      <c r="I46" s="8"/>
    </row>
    <row r="47" spans="3:9" x14ac:dyDescent="0.3">
      <c r="G47" s="1"/>
      <c r="H47" s="8"/>
      <c r="I47" s="8"/>
    </row>
    <row r="48" spans="3:9" x14ac:dyDescent="0.3">
      <c r="G48" s="1"/>
      <c r="H48" s="8"/>
      <c r="I48" s="8"/>
    </row>
    <row r="49" spans="1:9" x14ac:dyDescent="0.3">
      <c r="I49" s="8"/>
    </row>
    <row r="50" spans="1:9" x14ac:dyDescent="0.3">
      <c r="I50" s="8"/>
    </row>
    <row r="51" spans="1:9" x14ac:dyDescent="0.3">
      <c r="I51" s="8"/>
    </row>
    <row r="52" spans="1:9" x14ac:dyDescent="0.3">
      <c r="I52" s="8"/>
    </row>
    <row r="53" spans="1:9" x14ac:dyDescent="0.3">
      <c r="I53" s="8"/>
    </row>
    <row r="54" spans="1:9" x14ac:dyDescent="0.3">
      <c r="I54" s="8"/>
    </row>
    <row r="55" spans="1:9" x14ac:dyDescent="0.3">
      <c r="I55" s="8"/>
    </row>
    <row r="59" spans="1:9" x14ac:dyDescent="0.3">
      <c r="A59">
        <v>61</v>
      </c>
      <c r="B59">
        <v>-0.13</v>
      </c>
      <c r="C59">
        <v>-0.13</v>
      </c>
      <c r="G59" s="83"/>
      <c r="H59" s="83"/>
    </row>
    <row r="60" spans="1:9" x14ac:dyDescent="0.3">
      <c r="A60">
        <v>33</v>
      </c>
      <c r="B60">
        <v>-6.95</v>
      </c>
      <c r="C60">
        <v>0.2</v>
      </c>
    </row>
    <row r="61" spans="1:9" x14ac:dyDescent="0.3">
      <c r="A61">
        <v>23</v>
      </c>
      <c r="B61">
        <v>-7.67</v>
      </c>
      <c r="C61">
        <v>0.57999999999999996</v>
      </c>
    </row>
    <row r="62" spans="1:9" x14ac:dyDescent="0.3">
      <c r="A62">
        <v>18</v>
      </c>
      <c r="B62">
        <v>-18.02</v>
      </c>
      <c r="C62">
        <v>-0.51</v>
      </c>
    </row>
    <row r="63" spans="1:9" x14ac:dyDescent="0.3">
      <c r="A63">
        <v>25</v>
      </c>
      <c r="B63">
        <v>-49.15</v>
      </c>
      <c r="C63">
        <v>-1.18</v>
      </c>
    </row>
  </sheetData>
  <mergeCells count="2">
    <mergeCell ref="F3:H3"/>
    <mergeCell ref="I3:K3"/>
  </mergeCells>
  <conditionalFormatting sqref="J27">
    <cfRule type="cellIs" dxfId="145" priority="19" operator="greaterThan">
      <formula>$H$27</formula>
    </cfRule>
  </conditionalFormatting>
  <conditionalFormatting sqref="J27:P27">
    <cfRule type="cellIs" dxfId="144" priority="18" operator="greaterThan">
      <formula>$H$27</formula>
    </cfRule>
  </conditionalFormatting>
  <conditionalFormatting sqref="J28:P28">
    <cfRule type="cellIs" dxfId="143" priority="17" operator="greaterThan">
      <formula>$H$28</formula>
    </cfRule>
  </conditionalFormatting>
  <conditionalFormatting sqref="J29:P29">
    <cfRule type="cellIs" dxfId="142" priority="16" operator="greaterThan">
      <formula>$H$29</formula>
    </cfRule>
  </conditionalFormatting>
  <conditionalFormatting sqref="J30:P30">
    <cfRule type="cellIs" dxfId="141" priority="15" operator="greaterThan">
      <formula>$H$30</formula>
    </cfRule>
  </conditionalFormatting>
  <conditionalFormatting sqref="J37:P37">
    <cfRule type="cellIs" dxfId="140" priority="14" operator="greaterThan">
      <formula>$H$37</formula>
    </cfRule>
  </conditionalFormatting>
  <conditionalFormatting sqref="J38:P38">
    <cfRule type="cellIs" dxfId="139" priority="13" operator="greaterThan">
      <formula>$H$38</formula>
    </cfRule>
  </conditionalFormatting>
  <conditionalFormatting sqref="J39:P39">
    <cfRule type="cellIs" dxfId="138" priority="12" operator="greaterThan">
      <formula>$H$39</formula>
    </cfRule>
  </conditionalFormatting>
  <conditionalFormatting sqref="J40:P40">
    <cfRule type="cellIs" dxfId="137" priority="11" operator="greaterThan">
      <formula>$H$40</formula>
    </cfRule>
  </conditionalFormatting>
  <conditionalFormatting sqref="J45:P45">
    <cfRule type="cellIs" dxfId="136" priority="10" operator="greaterThan">
      <formula>$H$45</formula>
    </cfRule>
  </conditionalFormatting>
  <conditionalFormatting sqref="J46:P46">
    <cfRule type="cellIs" dxfId="135" priority="9" operator="greaterThan">
      <formula>$H$46</formula>
    </cfRule>
  </conditionalFormatting>
  <conditionalFormatting sqref="J48:P48">
    <cfRule type="cellIs" dxfId="134" priority="8" operator="greaterThan">
      <formula>$H$48</formula>
    </cfRule>
  </conditionalFormatting>
  <conditionalFormatting sqref="J49:P49">
    <cfRule type="cellIs" dxfId="133" priority="7" operator="greaterThan">
      <formula>$H$49</formula>
    </cfRule>
  </conditionalFormatting>
  <conditionalFormatting sqref="J50:P50">
    <cfRule type="cellIs" dxfId="132" priority="6" operator="greaterThan">
      <formula>$H$50</formula>
    </cfRule>
  </conditionalFormatting>
  <conditionalFormatting sqref="J51:P51">
    <cfRule type="cellIs" dxfId="131" priority="5" operator="greaterThan">
      <formula>$H$51</formula>
    </cfRule>
  </conditionalFormatting>
  <conditionalFormatting sqref="J52:P52">
    <cfRule type="cellIs" dxfId="130" priority="4" operator="greaterThan">
      <formula>$H$52</formula>
    </cfRule>
  </conditionalFormatting>
  <conditionalFormatting sqref="J53:P53">
    <cfRule type="cellIs" dxfId="129" priority="3" operator="greaterThan">
      <formula>$H$53</formula>
    </cfRule>
  </conditionalFormatting>
  <conditionalFormatting sqref="J54:P54">
    <cfRule type="cellIs" dxfId="128" priority="2" operator="greaterThan">
      <formula>$H$54</formula>
    </cfRule>
  </conditionalFormatting>
  <conditionalFormatting sqref="J55:P55">
    <cfRule type="cellIs" dxfId="127" priority="1" operator="greaterThan">
      <formula>$H$55</formula>
    </cfRule>
  </conditionalFormatting>
  <pageMargins left="0.7" right="0.7" top="0.75" bottom="0.75" header="0.3" footer="0.3"/>
  <pageSetup scale="3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6E757-B9ED-4C51-BFA0-5250C7FF4B5D}">
  <sheetPr>
    <tabColor theme="9" tint="0.39997558519241921"/>
  </sheetPr>
  <dimension ref="B1:AH52"/>
  <sheetViews>
    <sheetView topLeftCell="A10" workbookViewId="0">
      <selection activeCell="I17" sqref="I17"/>
    </sheetView>
  </sheetViews>
  <sheetFormatPr defaultRowHeight="14.4" x14ac:dyDescent="0.3"/>
  <cols>
    <col min="2" max="2" width="26.33203125" customWidth="1"/>
    <col min="3" max="3" width="16.109375" customWidth="1"/>
    <col min="4" max="4" width="15.109375" customWidth="1"/>
    <col min="5" max="5" width="8.109375" customWidth="1"/>
    <col min="6" max="6" width="35.88671875" customWidth="1"/>
    <col min="7" max="7" width="14.109375" customWidth="1"/>
    <col min="8" max="8" width="9.88671875" customWidth="1"/>
    <col min="9" max="9" width="19.109375" customWidth="1"/>
    <col min="10" max="10" width="12.5546875" customWidth="1"/>
    <col min="11" max="11" width="19.109375" customWidth="1"/>
    <col min="12" max="12" width="28.88671875" customWidth="1"/>
    <col min="13" max="13" width="23.109375" customWidth="1"/>
    <col min="14" max="14" width="9.88671875" customWidth="1"/>
    <col min="15" max="15" width="29" customWidth="1"/>
    <col min="16" max="16" width="22.44140625" customWidth="1"/>
    <col min="17" max="17" width="10.88671875" customWidth="1"/>
    <col min="18" max="18" width="13" hidden="1" customWidth="1"/>
    <col min="19" max="19" width="12.109375" hidden="1" customWidth="1"/>
    <col min="20" max="20" width="14.88671875" hidden="1" customWidth="1"/>
    <col min="21" max="21" width="18.6640625" customWidth="1"/>
    <col min="22" max="22" width="14.88671875" customWidth="1"/>
    <col min="23" max="23" width="12.88671875" customWidth="1"/>
    <col min="30" max="30" width="15.109375" customWidth="1"/>
    <col min="33" max="33" width="20" customWidth="1"/>
  </cols>
  <sheetData>
    <row r="1" spans="2:34" ht="15.6" x14ac:dyDescent="0.3">
      <c r="B1" s="146" t="s">
        <v>129</v>
      </c>
    </row>
    <row r="2" spans="2:34" ht="37.200000000000003" x14ac:dyDescent="0.45">
      <c r="B2" s="125" t="s">
        <v>130</v>
      </c>
      <c r="C2" s="145">
        <v>1.2</v>
      </c>
      <c r="D2" s="83" t="s">
        <v>131</v>
      </c>
      <c r="E2" s="8">
        <f>(C2*32*1000)/(22.4*2*1000)</f>
        <v>0.8571428571428571</v>
      </c>
    </row>
    <row r="3" spans="2:34" ht="28.8" x14ac:dyDescent="0.3">
      <c r="B3" s="83" t="s">
        <v>132</v>
      </c>
      <c r="C3">
        <v>0.13900000000000001</v>
      </c>
      <c r="D3" t="s">
        <v>133</v>
      </c>
      <c r="E3" s="8">
        <f>E2/C3</f>
        <v>6.1664953751284681</v>
      </c>
    </row>
    <row r="4" spans="2:34" x14ac:dyDescent="0.3">
      <c r="B4" t="s">
        <v>134</v>
      </c>
      <c r="C4" s="8">
        <f>450/C3/1440</f>
        <v>2.2482014388489207</v>
      </c>
    </row>
    <row r="5" spans="2:34" x14ac:dyDescent="0.3">
      <c r="B5" t="s">
        <v>135</v>
      </c>
      <c r="C5" s="8"/>
    </row>
    <row r="6" spans="2:34" x14ac:dyDescent="0.3">
      <c r="B6" t="s">
        <v>136</v>
      </c>
      <c r="C6" s="8"/>
    </row>
    <row r="7" spans="2:34" ht="43.8" thickBot="1" x14ac:dyDescent="0.35">
      <c r="B7" s="153"/>
      <c r="C7" s="153"/>
      <c r="F7" s="7" t="s">
        <v>137</v>
      </c>
      <c r="I7" s="42" t="s">
        <v>138</v>
      </c>
      <c r="J7" s="1"/>
      <c r="K7" s="2"/>
      <c r="L7" s="7" t="s">
        <v>139</v>
      </c>
      <c r="M7" s="97" t="s">
        <v>140</v>
      </c>
      <c r="N7">
        <v>1000</v>
      </c>
      <c r="O7" s="7" t="s">
        <v>141</v>
      </c>
      <c r="P7" s="97" t="s">
        <v>140</v>
      </c>
      <c r="Q7">
        <v>1000</v>
      </c>
      <c r="U7">
        <v>0.3</v>
      </c>
      <c r="AC7" s="7" t="s">
        <v>142</v>
      </c>
      <c r="AF7" s="7" t="s">
        <v>143</v>
      </c>
    </row>
    <row r="8" spans="2:34" ht="58.8" thickBot="1" x14ac:dyDescent="0.4">
      <c r="B8" s="96" t="s">
        <v>3</v>
      </c>
      <c r="C8" s="154">
        <f>SUM('RM 10.6 Speece 1996'!C57:C69,'RM 10.6 Speece 1996'!E57:E69)</f>
        <v>3.0211822359332903E-2</v>
      </c>
      <c r="F8" s="351" t="s">
        <v>144</v>
      </c>
      <c r="G8" s="352"/>
      <c r="H8" s="353"/>
      <c r="I8" s="351" t="s">
        <v>5</v>
      </c>
      <c r="J8" s="352"/>
      <c r="K8" s="352"/>
      <c r="L8" s="43" t="s">
        <v>6</v>
      </c>
      <c r="M8" s="44" t="s">
        <v>7</v>
      </c>
      <c r="N8" s="163" t="s">
        <v>8</v>
      </c>
      <c r="O8" s="164" t="s">
        <v>6</v>
      </c>
      <c r="P8" s="44" t="s">
        <v>7</v>
      </c>
      <c r="Q8" s="45" t="s">
        <v>8</v>
      </c>
      <c r="R8" s="126"/>
      <c r="S8" s="83"/>
      <c r="T8" s="83" t="s">
        <v>145</v>
      </c>
      <c r="U8" s="83" t="s">
        <v>146</v>
      </c>
      <c r="Z8" t="s">
        <v>147</v>
      </c>
      <c r="AC8" t="s">
        <v>148</v>
      </c>
      <c r="AD8">
        <v>12.8</v>
      </c>
      <c r="AE8" t="s">
        <v>12</v>
      </c>
    </row>
    <row r="9" spans="2:34" ht="62.4" customHeight="1" x14ac:dyDescent="0.35">
      <c r="B9" s="95" t="s">
        <v>149</v>
      </c>
      <c r="C9" s="93">
        <f>SUM('RM 10.6 Speece 1996'!C57:C60,'RM 10.6 Speece 1996'!E57:E62)</f>
        <v>2.2053258669024189E-2</v>
      </c>
      <c r="E9" s="175" t="s">
        <v>150</v>
      </c>
      <c r="F9" s="43" t="s">
        <v>151</v>
      </c>
      <c r="G9" s="44" t="s">
        <v>152</v>
      </c>
      <c r="H9" s="45" t="s">
        <v>8</v>
      </c>
      <c r="I9" s="60" t="s">
        <v>11</v>
      </c>
      <c r="J9" s="61" t="s">
        <v>10</v>
      </c>
      <c r="K9" s="159" t="s">
        <v>8</v>
      </c>
      <c r="L9" s="165" t="s">
        <v>153</v>
      </c>
      <c r="M9" s="139">
        <v>50</v>
      </c>
      <c r="N9" s="72" t="s">
        <v>37</v>
      </c>
      <c r="O9" s="68" t="s">
        <v>153</v>
      </c>
      <c r="P9" s="139">
        <v>50</v>
      </c>
      <c r="Q9" s="166" t="s">
        <v>37</v>
      </c>
      <c r="S9" s="83" t="s">
        <v>154</v>
      </c>
      <c r="T9" s="83" t="s">
        <v>155</v>
      </c>
      <c r="U9" s="8">
        <f>P9*(1-U7)</f>
        <v>35</v>
      </c>
      <c r="V9" s="83" t="s">
        <v>156</v>
      </c>
      <c r="W9" s="83" t="s">
        <v>157</v>
      </c>
      <c r="X9" s="83"/>
      <c r="Y9" s="83"/>
      <c r="AC9" t="s">
        <v>158</v>
      </c>
      <c r="AD9">
        <v>1.35</v>
      </c>
      <c r="AE9" t="s">
        <v>12</v>
      </c>
      <c r="AF9" t="s">
        <v>159</v>
      </c>
      <c r="AG9">
        <v>10</v>
      </c>
      <c r="AH9" t="s">
        <v>37</v>
      </c>
    </row>
    <row r="10" spans="2:34" ht="18" x14ac:dyDescent="0.35">
      <c r="B10" s="88" t="s">
        <v>13</v>
      </c>
      <c r="C10" s="87">
        <f>'RM 10.6 Speece 1996'!C57</f>
        <v>6.5245759025663328E-3</v>
      </c>
      <c r="E10" s="6">
        <v>1</v>
      </c>
      <c r="F10" s="122" t="s">
        <v>368</v>
      </c>
      <c r="G10" s="124">
        <v>0</v>
      </c>
      <c r="H10" s="48" t="s">
        <v>160</v>
      </c>
      <c r="I10" s="38" t="s">
        <v>15</v>
      </c>
      <c r="J10" s="50">
        <v>50</v>
      </c>
      <c r="K10" s="160" t="s">
        <v>16</v>
      </c>
      <c r="L10" s="86" t="s">
        <v>161</v>
      </c>
      <c r="M10" s="148">
        <f>$N$7*'RM 10.6 Speece 1996'!AC22</f>
        <v>106.78119964189794</v>
      </c>
      <c r="N10" s="72" t="s">
        <v>160</v>
      </c>
      <c r="O10" s="24" t="s">
        <v>161</v>
      </c>
      <c r="P10" s="148">
        <f>$Q$7*'RM 10.6 Speece 1996'!AD22</f>
        <v>35593.733213965977</v>
      </c>
      <c r="Q10" s="166" t="s">
        <v>160</v>
      </c>
      <c r="R10" s="8">
        <f>'RM 10.6 Speece 1996'!V22/M10</f>
        <v>6.1664953751284684E-3</v>
      </c>
      <c r="S10">
        <v>1500</v>
      </c>
      <c r="T10">
        <v>1350</v>
      </c>
      <c r="U10" s="8">
        <f t="shared" ref="U10:U19" si="0">P10-(S10*$U$7)</f>
        <v>35143.733213965977</v>
      </c>
      <c r="V10" s="118" t="s">
        <v>160</v>
      </c>
      <c r="W10" s="118">
        <f>M10-T10</f>
        <v>-1243.218800358102</v>
      </c>
      <c r="X10" s="118"/>
      <c r="Y10" s="118"/>
      <c r="Z10">
        <v>1350</v>
      </c>
      <c r="AA10" t="s">
        <v>162</v>
      </c>
      <c r="AC10" t="s">
        <v>163</v>
      </c>
      <c r="AD10" s="116">
        <v>0.1</v>
      </c>
      <c r="AE10" t="s">
        <v>12</v>
      </c>
      <c r="AF10" t="s">
        <v>164</v>
      </c>
      <c r="AH10" t="s">
        <v>160</v>
      </c>
    </row>
    <row r="11" spans="2:34" ht="18" x14ac:dyDescent="0.35">
      <c r="B11" s="88" t="s">
        <v>18</v>
      </c>
      <c r="C11" s="87">
        <f>'RM 10.6 Speece 1996'!C60</f>
        <v>7.6726342710997444E-3</v>
      </c>
      <c r="E11" s="6">
        <v>2</v>
      </c>
      <c r="F11" s="29" t="s">
        <v>165</v>
      </c>
      <c r="G11" s="124">
        <f>'RM 10.6 Speece 1996'!W35</f>
        <v>420.17494691275698</v>
      </c>
      <c r="H11" s="48" t="s">
        <v>12</v>
      </c>
      <c r="I11" s="38" t="s">
        <v>19</v>
      </c>
      <c r="J11" s="50">
        <v>50</v>
      </c>
      <c r="K11" s="160" t="s">
        <v>16</v>
      </c>
      <c r="L11" s="86" t="s">
        <v>166</v>
      </c>
      <c r="M11" s="148">
        <f>$N$7*'RM 10.6 Speece 1996'!AC23</f>
        <v>8.443535890039028</v>
      </c>
      <c r="N11" s="72" t="s">
        <v>160</v>
      </c>
      <c r="O11" s="24" t="s">
        <v>166</v>
      </c>
      <c r="P11" s="148">
        <f>$Q$7*'RM 10.6 Speece 1996'!AD23</f>
        <v>56.290239266926868</v>
      </c>
      <c r="Q11" s="166" t="s">
        <v>160</v>
      </c>
      <c r="R11" s="8">
        <f>'RM 10.6 Speece 1996'!V23/M11</f>
        <v>6.166495375128471E-3</v>
      </c>
      <c r="S11">
        <v>190</v>
      </c>
      <c r="T11">
        <v>30</v>
      </c>
      <c r="U11" s="8">
        <f t="shared" si="0"/>
        <v>-0.70976073307313214</v>
      </c>
      <c r="V11" s="118" t="s">
        <v>160</v>
      </c>
      <c r="W11" s="118">
        <f t="shared" ref="W11:W19" si="1">M11-T11</f>
        <v>-21.55646410996097</v>
      </c>
      <c r="X11" s="118"/>
      <c r="Y11" s="118"/>
      <c r="Z11">
        <v>30</v>
      </c>
      <c r="AA11" t="s">
        <v>167</v>
      </c>
      <c r="AC11" t="s">
        <v>35</v>
      </c>
      <c r="AD11" s="116">
        <v>0.03</v>
      </c>
      <c r="AE11" t="s">
        <v>12</v>
      </c>
      <c r="AF11" t="s">
        <v>168</v>
      </c>
      <c r="AG11">
        <v>70</v>
      </c>
      <c r="AH11" t="s">
        <v>160</v>
      </c>
    </row>
    <row r="12" spans="2:34" ht="18" x14ac:dyDescent="0.35">
      <c r="B12" s="88" t="s">
        <v>20</v>
      </c>
      <c r="C12" s="87">
        <f>'RM 10.6 Speece 1996'!E59</f>
        <v>0</v>
      </c>
      <c r="E12" s="6">
        <v>2</v>
      </c>
      <c r="F12" s="29" t="s">
        <v>169</v>
      </c>
      <c r="G12" s="124">
        <f>'RM 10.6 Speece 1996'!W36</f>
        <v>498.0143147718066</v>
      </c>
      <c r="H12" s="48" t="s">
        <v>12</v>
      </c>
      <c r="I12" s="38" t="s">
        <v>120</v>
      </c>
      <c r="J12" s="50">
        <v>121.55101075777277</v>
      </c>
      <c r="K12" s="160" t="s">
        <v>16</v>
      </c>
      <c r="L12" s="86" t="s">
        <v>170</v>
      </c>
      <c r="M12" s="148">
        <f>$N$7*'RM 10.6 Speece 1996'!AC24</f>
        <v>16.197580507752601</v>
      </c>
      <c r="N12" s="72" t="s">
        <v>160</v>
      </c>
      <c r="O12" s="24" t="s">
        <v>170</v>
      </c>
      <c r="P12" s="148">
        <f>$Q$7*'RM 10.6 Speece 1996'!AD24</f>
        <v>80.987902538762995</v>
      </c>
      <c r="Q12" s="166" t="s">
        <v>160</v>
      </c>
      <c r="R12" s="8">
        <f>'RM 10.6 Speece 1996'!V24/M12</f>
        <v>6.1664953751284675E-3</v>
      </c>
      <c r="S12">
        <v>36</v>
      </c>
      <c r="T12">
        <v>120</v>
      </c>
      <c r="U12" s="8">
        <f t="shared" si="0"/>
        <v>70.187902538762998</v>
      </c>
      <c r="V12" s="118" t="s">
        <v>160</v>
      </c>
      <c r="W12" s="118">
        <f t="shared" si="1"/>
        <v>-103.8024194922474</v>
      </c>
      <c r="X12" s="118"/>
      <c r="Y12" s="118"/>
      <c r="Z12">
        <v>120</v>
      </c>
      <c r="AA12" t="s">
        <v>160</v>
      </c>
      <c r="AC12" t="s">
        <v>29</v>
      </c>
      <c r="AD12">
        <v>0.1</v>
      </c>
      <c r="AE12" t="s">
        <v>12</v>
      </c>
      <c r="AF12" t="s">
        <v>163</v>
      </c>
      <c r="AG12">
        <v>100</v>
      </c>
      <c r="AH12" t="s">
        <v>160</v>
      </c>
    </row>
    <row r="13" spans="2:34" ht="18" x14ac:dyDescent="0.35">
      <c r="B13" s="88" t="s">
        <v>24</v>
      </c>
      <c r="C13" s="87">
        <f>'RM 10.6 Speece 1996'!E57</f>
        <v>0</v>
      </c>
      <c r="E13" s="6">
        <v>2</v>
      </c>
      <c r="F13" s="29" t="s">
        <v>171</v>
      </c>
      <c r="G13" s="124">
        <f>'RM 10.6 Speece 1996'!W37</f>
        <v>550.16467065868267</v>
      </c>
      <c r="H13" s="48" t="s">
        <v>12</v>
      </c>
      <c r="I13" s="38" t="s">
        <v>121</v>
      </c>
      <c r="J13" s="50">
        <v>127.10105330594862</v>
      </c>
      <c r="K13" s="160" t="s">
        <v>16</v>
      </c>
      <c r="L13" s="86" t="s">
        <v>172</v>
      </c>
      <c r="M13" s="148">
        <f>$N$7*'RM 10.6 Speece 1996'!AC25</f>
        <v>41.857459161823193</v>
      </c>
      <c r="N13" s="72" t="s">
        <v>160</v>
      </c>
      <c r="O13" s="24" t="s">
        <v>172</v>
      </c>
      <c r="P13" s="148">
        <f>$Q$7*'RM 10.6 Speece 1996'!AD25</f>
        <v>41.857459161823193</v>
      </c>
      <c r="Q13" s="166" t="s">
        <v>160</v>
      </c>
      <c r="R13" s="8">
        <f>'RM 10.6 Speece 1996'!V25/M13</f>
        <v>6.1664953751284692E-3</v>
      </c>
      <c r="S13">
        <v>70</v>
      </c>
      <c r="T13">
        <v>100</v>
      </c>
      <c r="U13" s="8">
        <f t="shared" si="0"/>
        <v>20.857459161823193</v>
      </c>
      <c r="V13" s="118" t="s">
        <v>160</v>
      </c>
      <c r="W13" s="118">
        <f t="shared" si="1"/>
        <v>-58.142540838176807</v>
      </c>
      <c r="X13" s="118"/>
      <c r="Y13" s="118"/>
      <c r="Z13">
        <v>100</v>
      </c>
      <c r="AA13" t="s">
        <v>160</v>
      </c>
      <c r="AC13" t="s">
        <v>168</v>
      </c>
      <c r="AD13" s="116">
        <v>0.1</v>
      </c>
      <c r="AE13" t="s">
        <v>12</v>
      </c>
      <c r="AF13" t="s">
        <v>31</v>
      </c>
      <c r="AG13">
        <v>6</v>
      </c>
      <c r="AH13" t="s">
        <v>160</v>
      </c>
    </row>
    <row r="14" spans="2:34" ht="18.600000000000001" thickBot="1" x14ac:dyDescent="0.4">
      <c r="B14" s="149" t="s">
        <v>32</v>
      </c>
      <c r="C14" s="150">
        <f>SUM(H35:H49,H51:H56)/1000</f>
        <v>0</v>
      </c>
      <c r="E14" s="6">
        <v>2</v>
      </c>
      <c r="F14" s="29" t="s">
        <v>173</v>
      </c>
      <c r="G14" s="124">
        <f>'RM 10.6 Speece 1996'!W38</f>
        <v>726.29944887429644</v>
      </c>
      <c r="H14" s="48" t="s">
        <v>12</v>
      </c>
      <c r="I14" s="38" t="s">
        <v>30</v>
      </c>
      <c r="J14" s="50">
        <v>100</v>
      </c>
      <c r="K14" s="160" t="s">
        <v>16</v>
      </c>
      <c r="L14" s="86" t="s">
        <v>174</v>
      </c>
      <c r="M14" s="148">
        <f>$N$7*'RM 10.6 Speece 1996'!AC26</f>
        <v>30.341211644374511</v>
      </c>
      <c r="N14" s="72" t="s">
        <v>160</v>
      </c>
      <c r="O14" s="24" t="s">
        <v>174</v>
      </c>
      <c r="P14" s="148">
        <f>$Q$7*'RM 10.6 Speece 1996'!AD26</f>
        <v>151.70605822187255</v>
      </c>
      <c r="Q14" s="166" t="s">
        <v>160</v>
      </c>
      <c r="R14" s="8">
        <f>'RM 10.6 Speece 1996'!V26/M14</f>
        <v>6.1664953751284675E-3</v>
      </c>
      <c r="S14">
        <v>2</v>
      </c>
      <c r="T14">
        <v>30</v>
      </c>
      <c r="U14" s="8">
        <f t="shared" si="0"/>
        <v>151.10605822187256</v>
      </c>
      <c r="V14" s="118" t="s">
        <v>160</v>
      </c>
      <c r="W14" s="118">
        <f t="shared" si="1"/>
        <v>0.34121164437451057</v>
      </c>
      <c r="X14" s="118"/>
      <c r="Y14" s="118"/>
      <c r="Z14">
        <v>30</v>
      </c>
      <c r="AA14" t="s">
        <v>175</v>
      </c>
      <c r="AC14" t="s">
        <v>176</v>
      </c>
      <c r="AD14" s="116">
        <v>0.03</v>
      </c>
      <c r="AE14" t="s">
        <v>12</v>
      </c>
      <c r="AF14" t="s">
        <v>35</v>
      </c>
      <c r="AG14">
        <v>190</v>
      </c>
      <c r="AH14" t="s">
        <v>160</v>
      </c>
    </row>
    <row r="15" spans="2:34" ht="21.6" thickBot="1" x14ac:dyDescent="0.45">
      <c r="B15" s="151" t="s">
        <v>4</v>
      </c>
      <c r="C15" s="152">
        <f>0.5*SUM(C16:C17)</f>
        <v>0</v>
      </c>
      <c r="E15" s="6">
        <v>2</v>
      </c>
      <c r="F15" s="122" t="s">
        <v>177</v>
      </c>
      <c r="G15" s="124">
        <f>SUM('RM 10.6 Speece 1996'!V17:W17)/1000*1000/H24</f>
        <v>7.1059878313317544</v>
      </c>
      <c r="H15" s="48" t="s">
        <v>37</v>
      </c>
      <c r="I15" s="38" t="s">
        <v>34</v>
      </c>
      <c r="J15" s="50">
        <v>100</v>
      </c>
      <c r="K15" s="160" t="s">
        <v>16</v>
      </c>
      <c r="L15" s="86" t="s">
        <v>178</v>
      </c>
      <c r="M15" s="148">
        <f>$N$7*'RM 10.6 Speece 1996'!AC27</f>
        <v>14.407426283218056</v>
      </c>
      <c r="N15" s="72" t="s">
        <v>160</v>
      </c>
      <c r="O15" s="24" t="s">
        <v>178</v>
      </c>
      <c r="P15" s="148">
        <f>$Q$7*'RM 10.6 Speece 1996'!AD27</f>
        <v>72.03713141609029</v>
      </c>
      <c r="Q15" s="166" t="s">
        <v>160</v>
      </c>
      <c r="R15" s="8">
        <f>'RM 10.6 Speece 1996'!V27/M15</f>
        <v>6.1664953751284692E-3</v>
      </c>
      <c r="S15">
        <v>100</v>
      </c>
      <c r="T15">
        <v>100</v>
      </c>
      <c r="U15" s="8">
        <f t="shared" si="0"/>
        <v>42.03713141609029</v>
      </c>
      <c r="V15" s="118" t="s">
        <v>160</v>
      </c>
      <c r="W15" s="118">
        <f t="shared" si="1"/>
        <v>-85.592573716781942</v>
      </c>
      <c r="X15" s="118"/>
      <c r="Y15" s="118"/>
      <c r="Z15">
        <v>100</v>
      </c>
      <c r="AA15" t="s">
        <v>160</v>
      </c>
      <c r="AC15" t="s">
        <v>31</v>
      </c>
      <c r="AD15">
        <v>0.01</v>
      </c>
      <c r="AE15" t="s">
        <v>12</v>
      </c>
      <c r="AF15" t="s">
        <v>179</v>
      </c>
      <c r="AG15">
        <v>2</v>
      </c>
      <c r="AH15" t="s">
        <v>160</v>
      </c>
    </row>
    <row r="16" spans="2:34" ht="18" x14ac:dyDescent="0.35">
      <c r="B16" s="98" t="s">
        <v>180</v>
      </c>
      <c r="C16" s="91">
        <f>'RM 10.6 Speece 1996'!AA53</f>
        <v>0</v>
      </c>
      <c r="E16" s="6">
        <v>2</v>
      </c>
      <c r="F16" s="24" t="s">
        <v>181</v>
      </c>
      <c r="G16" s="124">
        <f>SUM('RM 10.6 Speece 1996'!V19:W19)/1000*1000/H27</f>
        <v>1.477792737349398</v>
      </c>
      <c r="H16" s="48" t="s">
        <v>37</v>
      </c>
      <c r="I16" s="38" t="s">
        <v>122</v>
      </c>
      <c r="J16" s="50">
        <v>100</v>
      </c>
      <c r="K16" s="160" t="s">
        <v>16</v>
      </c>
      <c r="L16" s="86" t="s">
        <v>182</v>
      </c>
      <c r="M16" s="148">
        <f>$N$7*'RM 10.6 Speece 1996'!AC28</f>
        <v>10.585641433930805</v>
      </c>
      <c r="N16" s="72" t="s">
        <v>160</v>
      </c>
      <c r="O16" s="24" t="s">
        <v>182</v>
      </c>
      <c r="P16" s="148">
        <f>$Q$7*'RM 10.6 Speece 1996'!AD28</f>
        <v>132.32051792413506</v>
      </c>
      <c r="Q16" s="166" t="s">
        <v>160</v>
      </c>
      <c r="R16" s="8">
        <f>'RM 10.6 Speece 1996'!V28/M16</f>
        <v>6.1664953751284675E-3</v>
      </c>
      <c r="S16">
        <v>36</v>
      </c>
      <c r="T16">
        <v>30</v>
      </c>
      <c r="U16" s="8">
        <f t="shared" si="0"/>
        <v>121.52051792413506</v>
      </c>
      <c r="V16" s="118" t="s">
        <v>160</v>
      </c>
      <c r="W16" s="118">
        <f t="shared" si="1"/>
        <v>-19.414358566069197</v>
      </c>
      <c r="X16" s="118"/>
      <c r="Y16" s="118"/>
      <c r="Z16">
        <v>30</v>
      </c>
      <c r="AA16" t="s">
        <v>160</v>
      </c>
      <c r="AC16" t="s">
        <v>50</v>
      </c>
      <c r="AD16" s="116">
        <v>0.03</v>
      </c>
      <c r="AE16" t="s">
        <v>12</v>
      </c>
      <c r="AF16" t="s">
        <v>43</v>
      </c>
      <c r="AG16">
        <v>24</v>
      </c>
      <c r="AH16" t="s">
        <v>160</v>
      </c>
    </row>
    <row r="17" spans="2:34" ht="18" x14ac:dyDescent="0.35">
      <c r="B17" s="88" t="s">
        <v>183</v>
      </c>
      <c r="C17" s="87">
        <f>'RM 10.6 Speece 1996'!AB53</f>
        <v>0</v>
      </c>
      <c r="E17" s="6">
        <v>2</v>
      </c>
      <c r="F17" s="24" t="s">
        <v>184</v>
      </c>
      <c r="G17" s="124">
        <f>SUM('RM 10.6 Speece 1996'!V20:W20)/1000*1000/H30</f>
        <v>3.329790751122208</v>
      </c>
      <c r="H17" s="48" t="s">
        <v>37</v>
      </c>
      <c r="I17" s="38" t="s">
        <v>42</v>
      </c>
      <c r="J17" s="50">
        <v>50</v>
      </c>
      <c r="K17" s="160" t="s">
        <v>16</v>
      </c>
      <c r="L17" s="86" t="s">
        <v>185</v>
      </c>
      <c r="M17" s="148">
        <f>$N$7*'RM 10.6 Speece 1996'!AC29</f>
        <v>9.3691761904761925</v>
      </c>
      <c r="N17" s="72" t="s">
        <v>160</v>
      </c>
      <c r="O17" s="24" t="s">
        <v>185</v>
      </c>
      <c r="P17" s="148">
        <f>$Q$7*'RM 10.6 Speece 1996'!AD29</f>
        <v>187.38352380952381</v>
      </c>
      <c r="Q17" s="166" t="s">
        <v>160</v>
      </c>
      <c r="R17" s="8">
        <f>'RM 10.6 Speece 1996'!V29/M17</f>
        <v>6.1664953751284675E-3</v>
      </c>
      <c r="S17" s="117"/>
      <c r="T17">
        <v>30</v>
      </c>
      <c r="U17" s="8">
        <f t="shared" si="0"/>
        <v>187.38352380952381</v>
      </c>
      <c r="V17" s="118" t="s">
        <v>160</v>
      </c>
      <c r="W17" s="118">
        <f t="shared" si="1"/>
        <v>-20.630823809523807</v>
      </c>
      <c r="X17" s="118"/>
      <c r="Y17" s="118"/>
      <c r="Z17">
        <v>30</v>
      </c>
      <c r="AA17" t="s">
        <v>186</v>
      </c>
      <c r="AC17" t="s">
        <v>43</v>
      </c>
      <c r="AD17" s="116">
        <v>0.12</v>
      </c>
      <c r="AE17" t="s">
        <v>14</v>
      </c>
      <c r="AF17" t="s">
        <v>50</v>
      </c>
      <c r="AG17">
        <v>36</v>
      </c>
      <c r="AH17" t="s">
        <v>160</v>
      </c>
    </row>
    <row r="18" spans="2:34" ht="18.600000000000001" thickBot="1" x14ac:dyDescent="0.4">
      <c r="B18" s="89" t="s">
        <v>187</v>
      </c>
      <c r="C18" s="90">
        <f>ABS(C16-C17)</f>
        <v>0</v>
      </c>
      <c r="E18" s="6">
        <v>2</v>
      </c>
      <c r="F18" s="24" t="s">
        <v>188</v>
      </c>
      <c r="G18" s="124">
        <f>1000*'RM 10.6 Speece 1996'!V22/'Speece 1996'!M10</f>
        <v>6.1664953751284681</v>
      </c>
      <c r="H18" s="48" t="s">
        <v>37</v>
      </c>
      <c r="I18" s="38" t="s">
        <v>45</v>
      </c>
      <c r="J18" s="50">
        <v>100</v>
      </c>
      <c r="K18" s="160" t="s">
        <v>16</v>
      </c>
      <c r="L18" s="86" t="s">
        <v>189</v>
      </c>
      <c r="M18" s="148">
        <f>$N$7*'RM 10.6 Speece 1996'!AC30</f>
        <v>6.808482459194777</v>
      </c>
      <c r="N18" s="72" t="s">
        <v>160</v>
      </c>
      <c r="O18" s="24" t="s">
        <v>189</v>
      </c>
      <c r="P18" s="148">
        <f>$Q$7*'RM 10.6 Speece 1996'!AD30</f>
        <v>34.042412295973882</v>
      </c>
      <c r="Q18" s="166" t="s">
        <v>160</v>
      </c>
      <c r="R18" s="8">
        <f>'RM 10.6 Speece 1996'!V30/M18</f>
        <v>6.1664953751284666E-3</v>
      </c>
      <c r="S18" s="117"/>
      <c r="U18" s="8">
        <f t="shared" si="0"/>
        <v>34.042412295973882</v>
      </c>
      <c r="V18" s="118" t="s">
        <v>160</v>
      </c>
      <c r="W18" s="118">
        <f t="shared" si="1"/>
        <v>6.808482459194777</v>
      </c>
      <c r="X18" s="118"/>
      <c r="Y18" s="118"/>
      <c r="AC18" t="s">
        <v>33</v>
      </c>
      <c r="AD18">
        <v>1</v>
      </c>
      <c r="AE18" t="s">
        <v>12</v>
      </c>
      <c r="AF18" t="s">
        <v>54</v>
      </c>
      <c r="AG18">
        <v>990</v>
      </c>
      <c r="AH18" t="s">
        <v>37</v>
      </c>
    </row>
    <row r="19" spans="2:34" ht="18.600000000000001" thickBot="1" x14ac:dyDescent="0.4">
      <c r="E19" s="6">
        <v>2</v>
      </c>
      <c r="F19" s="29" t="s">
        <v>190</v>
      </c>
      <c r="G19" s="124">
        <f>1000*'RM 10.6 Speece 1996'!W22/P10</f>
        <v>1</v>
      </c>
      <c r="H19" s="48" t="s">
        <v>37</v>
      </c>
      <c r="I19" s="38" t="s">
        <v>49</v>
      </c>
      <c r="J19" s="77">
        <v>50</v>
      </c>
      <c r="K19" s="161" t="s">
        <v>16</v>
      </c>
      <c r="L19" s="86" t="s">
        <v>191</v>
      </c>
      <c r="M19" s="148">
        <f>$N$7*'RM 10.6 Speece 1996'!AC31</f>
        <v>22.878815911193335</v>
      </c>
      <c r="N19" s="72" t="s">
        <v>160</v>
      </c>
      <c r="O19" s="24" t="s">
        <v>191</v>
      </c>
      <c r="P19" s="148">
        <f>$Q$7*'RM 10.6 Speece 1996'!AD31</f>
        <v>114.39407955596668</v>
      </c>
      <c r="Q19" s="166" t="s">
        <v>160</v>
      </c>
      <c r="R19" s="8">
        <f>'RM 10.6 Speece 1996'!V31/M19</f>
        <v>6.1668464355153435E-3</v>
      </c>
      <c r="S19">
        <v>6</v>
      </c>
      <c r="T19">
        <v>10</v>
      </c>
      <c r="U19" s="8">
        <f t="shared" si="0"/>
        <v>112.59407955596669</v>
      </c>
      <c r="V19" s="118" t="s">
        <v>160</v>
      </c>
      <c r="W19" s="118">
        <f t="shared" si="1"/>
        <v>12.878815911193335</v>
      </c>
      <c r="X19" s="118"/>
      <c r="Y19" s="118"/>
      <c r="Z19">
        <v>10</v>
      </c>
      <c r="AA19" t="s">
        <v>160</v>
      </c>
      <c r="AC19" t="s">
        <v>192</v>
      </c>
      <c r="AD19">
        <v>0.03</v>
      </c>
      <c r="AE19" t="s">
        <v>12</v>
      </c>
      <c r="AF19" t="s">
        <v>56</v>
      </c>
      <c r="AG19">
        <v>1000</v>
      </c>
      <c r="AH19" t="s">
        <v>57</v>
      </c>
    </row>
    <row r="20" spans="2:34" ht="18.600000000000001" thickBot="1" x14ac:dyDescent="0.4">
      <c r="B20" s="96" t="s">
        <v>40</v>
      </c>
      <c r="C20" s="92"/>
      <c r="E20" s="6">
        <v>3</v>
      </c>
      <c r="F20" s="29" t="s">
        <v>193</v>
      </c>
      <c r="G20" s="124">
        <v>0.95</v>
      </c>
      <c r="H20" s="48" t="s">
        <v>37</v>
      </c>
      <c r="I20" s="76" t="s">
        <v>53</v>
      </c>
      <c r="J20" s="77">
        <v>1000</v>
      </c>
      <c r="K20" s="161" t="s">
        <v>37</v>
      </c>
      <c r="L20" s="86" t="s">
        <v>54</v>
      </c>
      <c r="M20" s="148">
        <f>1000-M9</f>
        <v>950</v>
      </c>
      <c r="N20" s="72" t="s">
        <v>37</v>
      </c>
      <c r="O20" s="25" t="s">
        <v>54</v>
      </c>
      <c r="P20" s="148">
        <f>1000-P9</f>
        <v>950</v>
      </c>
      <c r="Q20" s="166" t="s">
        <v>37</v>
      </c>
      <c r="U20" s="118">
        <f>(1-U7)*1000-U9</f>
        <v>665</v>
      </c>
      <c r="V20" s="118" t="s">
        <v>37</v>
      </c>
      <c r="W20" s="118"/>
      <c r="X20" s="118"/>
      <c r="Y20" s="118"/>
      <c r="AC20" t="s">
        <v>194</v>
      </c>
      <c r="AD20">
        <v>1000</v>
      </c>
      <c r="AE20" t="s">
        <v>37</v>
      </c>
    </row>
    <row r="21" spans="2:34" ht="18.600000000000001" thickBot="1" x14ac:dyDescent="0.4">
      <c r="B21" s="98" t="s">
        <v>44</v>
      </c>
      <c r="C21" s="91">
        <f>SUM('RM 10.6 Speece 1996'!D19:E19)</f>
        <v>10.241521068859198</v>
      </c>
      <c r="E21" s="6">
        <v>3</v>
      </c>
      <c r="F21" s="24" t="s">
        <v>195</v>
      </c>
      <c r="G21" s="124">
        <v>5.5</v>
      </c>
      <c r="H21" s="48" t="s">
        <v>37</v>
      </c>
      <c r="I21" s="65" t="s">
        <v>56</v>
      </c>
      <c r="J21" s="80">
        <f>SUMIFS(J10:J20,K10:K20,"mL")</f>
        <v>1000</v>
      </c>
      <c r="K21" s="162" t="s">
        <v>37</v>
      </c>
      <c r="L21" s="73" t="s">
        <v>56</v>
      </c>
      <c r="M21" s="167">
        <f>SUMIFS(M9:M20,N9:N20,"mL")</f>
        <v>1000</v>
      </c>
      <c r="N21" s="168" t="s">
        <v>57</v>
      </c>
      <c r="O21" s="169" t="s">
        <v>56</v>
      </c>
      <c r="P21" s="170">
        <f>SUMIFS(P9:P20,Q9:Q20,"mL")</f>
        <v>1000</v>
      </c>
      <c r="Q21" s="171" t="s">
        <v>57</v>
      </c>
      <c r="V21">
        <f>0.75*50</f>
        <v>37.5</v>
      </c>
      <c r="AC21" t="s">
        <v>56</v>
      </c>
      <c r="AD21">
        <v>1000</v>
      </c>
      <c r="AE21" t="s">
        <v>37</v>
      </c>
    </row>
    <row r="22" spans="2:34" ht="18" x14ac:dyDescent="0.35">
      <c r="B22" s="88" t="s">
        <v>47</v>
      </c>
      <c r="C22" s="87">
        <f>SUM('RM 10.6 Speece 1996'!D17:E17)</f>
        <v>111.66495375128468</v>
      </c>
      <c r="E22" s="6">
        <v>3</v>
      </c>
      <c r="F22" s="24" t="s">
        <v>194</v>
      </c>
      <c r="G22" s="124">
        <f>1000-SUMIF(H10:H21,"mL",G10:G21)</f>
        <v>974.46993330506814</v>
      </c>
      <c r="H22" s="48" t="s">
        <v>37</v>
      </c>
      <c r="M22" s="102"/>
      <c r="N22" s="1"/>
      <c r="P22" s="102"/>
      <c r="Q22" s="1"/>
    </row>
    <row r="23" spans="2:34" ht="18.600000000000001" thickBot="1" x14ac:dyDescent="0.4">
      <c r="B23" s="149" t="s">
        <v>196</v>
      </c>
      <c r="C23" s="150">
        <f>SUM('RM 10.6 Speece 1996'!D20:E20)</f>
        <v>17.332990750256936</v>
      </c>
      <c r="E23" s="6"/>
      <c r="F23" s="29" t="s">
        <v>56</v>
      </c>
      <c r="G23" s="147">
        <f>SUMIF(H10:H22,"mL",G10:G22)</f>
        <v>1000</v>
      </c>
      <c r="H23" s="127" t="s">
        <v>37</v>
      </c>
      <c r="I23" s="7"/>
      <c r="J23" s="175" t="s">
        <v>150</v>
      </c>
      <c r="K23" s="126" t="s">
        <v>197</v>
      </c>
      <c r="M23" s="3"/>
      <c r="R23" s="1"/>
    </row>
    <row r="24" spans="2:34" ht="15" thickBot="1" x14ac:dyDescent="0.35">
      <c r="B24" s="89" t="s">
        <v>51</v>
      </c>
      <c r="C24" s="90"/>
      <c r="E24" s="6"/>
      <c r="F24" s="128" t="s">
        <v>198</v>
      </c>
      <c r="G24" s="129" t="s">
        <v>199</v>
      </c>
      <c r="H24" s="130">
        <v>60</v>
      </c>
      <c r="I24" s="83"/>
      <c r="J24" s="6">
        <v>1</v>
      </c>
      <c r="K24" t="s">
        <v>200</v>
      </c>
      <c r="T24" t="s">
        <v>201</v>
      </c>
    </row>
    <row r="25" spans="2:34" ht="18" x14ac:dyDescent="0.35">
      <c r="F25" s="131" t="s">
        <v>202</v>
      </c>
      <c r="G25" s="124">
        <f>H24*G26/1000</f>
        <v>30</v>
      </c>
      <c r="H25" s="48" t="s">
        <v>12</v>
      </c>
      <c r="J25" s="6">
        <v>2</v>
      </c>
      <c r="K25" s="1" t="s">
        <v>203</v>
      </c>
    </row>
    <row r="26" spans="2:34" ht="18.600000000000001" thickBot="1" x14ac:dyDescent="0.4">
      <c r="F26" s="132" t="s">
        <v>194</v>
      </c>
      <c r="G26" s="133">
        <v>500</v>
      </c>
      <c r="H26" s="49" t="s">
        <v>37</v>
      </c>
      <c r="I26" s="118"/>
      <c r="J26" s="6">
        <v>3</v>
      </c>
      <c r="K26" t="s">
        <v>204</v>
      </c>
    </row>
    <row r="27" spans="2:34" x14ac:dyDescent="0.3">
      <c r="D27" s="97"/>
      <c r="E27" s="97"/>
      <c r="F27" s="128" t="s">
        <v>205</v>
      </c>
      <c r="G27" s="129" t="s">
        <v>199</v>
      </c>
      <c r="H27" s="130">
        <v>30</v>
      </c>
      <c r="I27" s="176"/>
      <c r="J27" s="6">
        <v>4</v>
      </c>
      <c r="K27" t="s">
        <v>206</v>
      </c>
    </row>
    <row r="28" spans="2:34" ht="18" x14ac:dyDescent="0.35">
      <c r="D28" s="97"/>
      <c r="E28" s="83"/>
      <c r="F28" s="88" t="s">
        <v>207</v>
      </c>
      <c r="G28" s="124">
        <f>H27*G29/1000</f>
        <v>7.5</v>
      </c>
      <c r="H28" s="48" t="s">
        <v>12</v>
      </c>
      <c r="J28" s="6">
        <v>5</v>
      </c>
      <c r="K28" s="1" t="s">
        <v>208</v>
      </c>
    </row>
    <row r="29" spans="2:34" ht="18.600000000000001" thickBot="1" x14ac:dyDescent="0.4">
      <c r="F29" s="89" t="s">
        <v>194</v>
      </c>
      <c r="G29" s="133">
        <v>250</v>
      </c>
      <c r="H29" s="49" t="s">
        <v>37</v>
      </c>
      <c r="J29" s="6">
        <v>6</v>
      </c>
      <c r="K29" s="1" t="s">
        <v>209</v>
      </c>
    </row>
    <row r="30" spans="2:34" x14ac:dyDescent="0.3">
      <c r="F30" s="128" t="s">
        <v>210</v>
      </c>
      <c r="G30" s="129" t="s">
        <v>199</v>
      </c>
      <c r="H30" s="130">
        <v>40</v>
      </c>
      <c r="I30" s="176"/>
      <c r="J30" s="6">
        <v>7</v>
      </c>
      <c r="K30" s="1" t="s">
        <v>211</v>
      </c>
    </row>
    <row r="31" spans="2:34" ht="18" x14ac:dyDescent="0.35">
      <c r="F31" s="88" t="s">
        <v>212</v>
      </c>
      <c r="G31" s="124">
        <f>H30*G32/1000</f>
        <v>10</v>
      </c>
      <c r="H31" s="48" t="s">
        <v>12</v>
      </c>
      <c r="I31" s="176"/>
      <c r="J31" s="6">
        <v>8</v>
      </c>
      <c r="K31" s="1" t="s">
        <v>209</v>
      </c>
    </row>
    <row r="32" spans="2:34" ht="18.600000000000001" thickBot="1" x14ac:dyDescent="0.4">
      <c r="F32" s="132" t="s">
        <v>194</v>
      </c>
      <c r="G32" s="133">
        <v>250</v>
      </c>
      <c r="H32" s="49" t="s">
        <v>37</v>
      </c>
      <c r="J32" s="6">
        <v>9</v>
      </c>
      <c r="K32" s="1" t="s">
        <v>213</v>
      </c>
    </row>
    <row r="33" spans="4:17" x14ac:dyDescent="0.3">
      <c r="I33" s="59"/>
      <c r="K33" s="1"/>
    </row>
    <row r="34" spans="4:17" ht="15.6" x14ac:dyDescent="0.3">
      <c r="D34" s="97"/>
      <c r="E34" s="97"/>
      <c r="I34" s="59"/>
      <c r="J34" s="153"/>
      <c r="K34" s="153"/>
    </row>
    <row r="35" spans="4:17" x14ac:dyDescent="0.3">
      <c r="D35" s="83"/>
      <c r="E35" s="83"/>
      <c r="L35" s="3"/>
      <c r="M35" s="3"/>
      <c r="N35" s="143"/>
      <c r="P35" s="3"/>
      <c r="Q35" s="8"/>
    </row>
    <row r="37" spans="4:17" x14ac:dyDescent="0.3">
      <c r="I37" s="59"/>
    </row>
    <row r="38" spans="4:17" x14ac:dyDescent="0.3">
      <c r="I38" s="59"/>
    </row>
    <row r="42" spans="4:17" x14ac:dyDescent="0.3">
      <c r="L42" s="174" t="s">
        <v>214</v>
      </c>
      <c r="M42" s="172" t="s">
        <v>215</v>
      </c>
      <c r="N42" s="173" t="s">
        <v>216</v>
      </c>
      <c r="O42" s="174" t="s">
        <v>214</v>
      </c>
      <c r="P42" s="173" t="s">
        <v>215</v>
      </c>
      <c r="Q42" s="173" t="s">
        <v>216</v>
      </c>
    </row>
    <row r="43" spans="4:17" x14ac:dyDescent="0.3">
      <c r="L43" s="3" t="str">
        <f t="shared" ref="L43:L52" si="2">L10</f>
        <v>Iron as FeCl2.4H2O</v>
      </c>
      <c r="M43" s="3">
        <f t="shared" ref="M43:M52" si="3">M10*$G$18/1000</f>
        <v>0.65846577374243331</v>
      </c>
      <c r="N43" s="143">
        <f>'RM 10.6 Speece 1996'!V22</f>
        <v>0.65846577374243331</v>
      </c>
      <c r="O43" t="str">
        <f t="shared" ref="O43:O52" si="4">O10</f>
        <v>Iron as FeCl2.4H2O</v>
      </c>
      <c r="P43" s="3">
        <f t="shared" ref="P43:P52" si="5">P10*$G$19/1000</f>
        <v>35.593733213965976</v>
      </c>
      <c r="Q43" s="144">
        <f>'RM 10.6 Speece 1996'!W22</f>
        <v>35.593733213965976</v>
      </c>
    </row>
    <row r="44" spans="4:17" x14ac:dyDescent="0.3">
      <c r="L44" s="3" t="str">
        <f t="shared" si="2"/>
        <v>Cobalt as CoCl2.2H2O</v>
      </c>
      <c r="M44" s="3">
        <f t="shared" si="3"/>
        <v>5.2067025015656902E-2</v>
      </c>
      <c r="N44" s="143">
        <f>'RM 10.6 Speece 1996'!V23</f>
        <v>5.2067025015656923E-2</v>
      </c>
      <c r="O44" t="str">
        <f t="shared" si="4"/>
        <v>Cobalt as CoCl2.2H2O</v>
      </c>
      <c r="P44" s="3">
        <f t="shared" si="5"/>
        <v>5.6290239266926868E-2</v>
      </c>
      <c r="Q44" s="144">
        <f>'RM 10.6 Speece 1996'!W23</f>
        <v>5.6290239266926868E-2</v>
      </c>
    </row>
    <row r="45" spans="4:17" x14ac:dyDescent="0.3">
      <c r="L45" s="3" t="str">
        <f t="shared" si="2"/>
        <v>Nickel as NiCl2.6H2O</v>
      </c>
      <c r="M45" s="3">
        <f t="shared" si="3"/>
        <v>9.9882305289327428E-2</v>
      </c>
      <c r="N45" s="143">
        <f>'RM 10.6 Speece 1996'!V24</f>
        <v>9.9882305289327428E-2</v>
      </c>
      <c r="O45" t="str">
        <f t="shared" si="4"/>
        <v>Nickel as NiCl2.6H2O</v>
      </c>
      <c r="P45" s="3">
        <f t="shared" si="5"/>
        <v>8.0987902538762993E-2</v>
      </c>
      <c r="Q45" s="144">
        <f>'RM 10.6 Speece 1996'!W24</f>
        <v>8.0987902538762993E-2</v>
      </c>
    </row>
    <row r="46" spans="4:17" x14ac:dyDescent="0.3">
      <c r="J46" t="s">
        <v>217</v>
      </c>
      <c r="L46" s="3" t="str">
        <f t="shared" si="2"/>
        <v>Zinc as ZnCl2</v>
      </c>
      <c r="M46" s="3">
        <f t="shared" si="3"/>
        <v>0.25811382833601149</v>
      </c>
      <c r="N46" s="143">
        <f>'RM 10.6 Speece 1996'!V25</f>
        <v>0.25811382833601149</v>
      </c>
      <c r="O46" t="str">
        <f t="shared" si="4"/>
        <v>Zinc as ZnCl2</v>
      </c>
      <c r="P46" s="3">
        <f t="shared" si="5"/>
        <v>4.1857459161823193E-2</v>
      </c>
      <c r="Q46" s="144">
        <f>'RM 10.6 Speece 1996'!W25</f>
        <v>4.1857459161823193E-2</v>
      </c>
    </row>
    <row r="47" spans="4:17" x14ac:dyDescent="0.3">
      <c r="J47" t="s">
        <v>218</v>
      </c>
      <c r="L47" s="3" t="str">
        <f t="shared" si="2"/>
        <v>Copper as CuCl2.2H2O</v>
      </c>
      <c r="M47" s="3">
        <f t="shared" si="3"/>
        <v>0.18709894128082946</v>
      </c>
      <c r="N47" s="143">
        <f>'RM 10.6 Speece 1996'!V26</f>
        <v>0.18709894128082943</v>
      </c>
      <c r="O47" t="str">
        <f t="shared" si="4"/>
        <v>Copper as CuCl2.2H2O</v>
      </c>
      <c r="P47" s="3">
        <f t="shared" si="5"/>
        <v>0.15170605822187255</v>
      </c>
      <c r="Q47" s="144">
        <f>'RM 10.6 Speece 1996'!W26</f>
        <v>0.15170605822187255</v>
      </c>
    </row>
    <row r="48" spans="4:17" x14ac:dyDescent="0.3">
      <c r="J48" t="s">
        <v>219</v>
      </c>
      <c r="L48" s="3" t="str">
        <f t="shared" si="2"/>
        <v>Manganese as MnCl2.4H2O</v>
      </c>
      <c r="M48" s="3">
        <f t="shared" si="3"/>
        <v>8.8843327542968475E-2</v>
      </c>
      <c r="N48" s="143">
        <f>'RM 10.6 Speece 1996'!V27</f>
        <v>8.8843327542968489E-2</v>
      </c>
      <c r="O48" t="str">
        <f t="shared" si="4"/>
        <v>Manganese as MnCl2.4H2O</v>
      </c>
      <c r="P48" s="3">
        <f t="shared" si="5"/>
        <v>7.2037131416090291E-2</v>
      </c>
      <c r="Q48" s="144">
        <f>'RM 10.6 Speece 1996'!W27</f>
        <v>7.2037131416090291E-2</v>
      </c>
    </row>
    <row r="49" spans="10:17" x14ac:dyDescent="0.3">
      <c r="J49" s="1" t="s">
        <v>220</v>
      </c>
      <c r="L49" s="3" t="str">
        <f t="shared" si="2"/>
        <v>Molybdenum as Na2MoO4.2H2O</v>
      </c>
      <c r="M49" s="3">
        <f t="shared" si="3"/>
        <v>6.5276308945102599E-2</v>
      </c>
      <c r="N49" s="143">
        <f>'RM 10.6 Speece 1996'!V28</f>
        <v>6.5276308945102585E-2</v>
      </c>
      <c r="O49" t="str">
        <f t="shared" si="4"/>
        <v>Molybdenum as Na2MoO4.2H2O</v>
      </c>
      <c r="P49" s="3">
        <f t="shared" si="5"/>
        <v>0.13232051792413507</v>
      </c>
      <c r="Q49" s="144">
        <f>'RM 10.6 Speece 1996'!W28</f>
        <v>0.13232051792413507</v>
      </c>
    </row>
    <row r="50" spans="10:17" x14ac:dyDescent="0.3">
      <c r="J50" t="s">
        <v>221</v>
      </c>
      <c r="L50" s="3" t="str">
        <f t="shared" si="2"/>
        <v>Selenium as Na2SeO3</v>
      </c>
      <c r="M50" s="3">
        <f t="shared" si="3"/>
        <v>5.7774981647335202E-2</v>
      </c>
      <c r="N50" s="143">
        <f>'RM 10.6 Speece 1996'!V29</f>
        <v>5.7774981647335195E-2</v>
      </c>
      <c r="O50" t="str">
        <f t="shared" si="4"/>
        <v>Selenium as Na2SeO3</v>
      </c>
      <c r="P50" s="3">
        <f t="shared" si="5"/>
        <v>0.18738352380952381</v>
      </c>
      <c r="Q50" s="144">
        <f>'RM 10.6 Speece 1996'!W29</f>
        <v>0.18738352380952381</v>
      </c>
    </row>
    <row r="51" spans="10:17" x14ac:dyDescent="0.3">
      <c r="L51" s="3" t="str">
        <f t="shared" si="2"/>
        <v>Tungsten as NaWO4.2H2O</v>
      </c>
      <c r="M51" s="3">
        <f t="shared" si="3"/>
        <v>4.1984475596267889E-2</v>
      </c>
      <c r="N51" s="143">
        <f>'RM 10.6 Speece 1996'!V30</f>
        <v>4.1984475596267883E-2</v>
      </c>
      <c r="O51" t="str">
        <f t="shared" si="4"/>
        <v>Tungsten as NaWO4.2H2O</v>
      </c>
      <c r="P51" s="3">
        <f t="shared" si="5"/>
        <v>3.4042412295973885E-2</v>
      </c>
      <c r="Q51" s="144">
        <f>'RM 10.6 Speece 1996'!W30</f>
        <v>3.4042412295973885E-2</v>
      </c>
    </row>
    <row r="52" spans="10:17" x14ac:dyDescent="0.3">
      <c r="L52" s="3" t="str">
        <f t="shared" si="2"/>
        <v>Boron as H3BO3</v>
      </c>
      <c r="M52" s="3">
        <f t="shared" si="3"/>
        <v>0.1410821125047893</v>
      </c>
      <c r="N52" s="143">
        <f>'RM 10.6 Speece 1996'!V31</f>
        <v>0.14109014435075434</v>
      </c>
      <c r="O52" t="str">
        <f t="shared" si="4"/>
        <v>Boron as H3BO3</v>
      </c>
      <c r="P52" s="3">
        <f t="shared" si="5"/>
        <v>0.11439407955596669</v>
      </c>
      <c r="Q52" s="144">
        <f>'RM 10.6 Speece 1996'!W31</f>
        <v>0.11440059204440334</v>
      </c>
    </row>
  </sheetData>
  <mergeCells count="2">
    <mergeCell ref="F8:H8"/>
    <mergeCell ref="I8:K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68749-770B-4E89-9B51-8D39B6060DCB}">
  <sheetPr>
    <tabColor theme="9" tint="0.39997558519241921"/>
    <pageSetUpPr fitToPage="1"/>
  </sheetPr>
  <dimension ref="A1:T63"/>
  <sheetViews>
    <sheetView topLeftCell="E1" workbookViewId="0">
      <selection activeCell="G18" sqref="G18"/>
    </sheetView>
  </sheetViews>
  <sheetFormatPr defaultRowHeight="14.4" x14ac:dyDescent="0.3"/>
  <cols>
    <col min="2" max="2" width="18.44140625" customWidth="1"/>
    <col min="3" max="4" width="16.44140625" customWidth="1"/>
    <col min="6" max="6" width="33.88671875" customWidth="1"/>
    <col min="7" max="7" width="24" customWidth="1"/>
    <col min="8" max="8" width="14.109375" customWidth="1"/>
    <col min="9" max="9" width="29.88671875" customWidth="1"/>
    <col min="10" max="10" width="22.88671875" customWidth="1"/>
    <col min="11" max="11" width="11.88671875" bestFit="1" customWidth="1"/>
    <col min="12" max="12" width="26.6640625" customWidth="1"/>
    <col min="13" max="13" width="11.109375" customWidth="1"/>
    <col min="14" max="14" width="12.109375" customWidth="1"/>
    <col min="15" max="15" width="19.88671875" customWidth="1"/>
    <col min="19" max="19" width="10.33203125" customWidth="1"/>
  </cols>
  <sheetData>
    <row r="1" spans="2:20" ht="15" thickBot="1" x14ac:dyDescent="0.35">
      <c r="F1" t="s">
        <v>364</v>
      </c>
      <c r="I1" s="1"/>
      <c r="J1" s="1"/>
      <c r="K1" s="2"/>
    </row>
    <row r="2" spans="2:20" ht="15" thickBot="1" x14ac:dyDescent="0.35">
      <c r="F2" s="7" t="s">
        <v>316</v>
      </c>
      <c r="I2" s="42" t="s">
        <v>1</v>
      </c>
      <c r="J2" s="1"/>
      <c r="K2" s="2"/>
      <c r="L2" s="357" t="s">
        <v>2</v>
      </c>
      <c r="M2" s="358"/>
      <c r="N2" s="359"/>
    </row>
    <row r="3" spans="2:20" ht="18.600000000000001" thickBot="1" x14ac:dyDescent="0.4">
      <c r="B3" s="56" t="s">
        <v>3</v>
      </c>
      <c r="C3" s="53"/>
      <c r="D3" t="s">
        <v>4</v>
      </c>
      <c r="F3" s="351" t="s">
        <v>5</v>
      </c>
      <c r="G3" s="352"/>
      <c r="H3" s="353"/>
      <c r="I3" s="351" t="s">
        <v>5</v>
      </c>
      <c r="J3" s="352"/>
      <c r="K3" s="352"/>
      <c r="L3" s="325" t="s">
        <v>6</v>
      </c>
      <c r="M3" s="61" t="s">
        <v>282</v>
      </c>
      <c r="N3" s="326" t="s">
        <v>8</v>
      </c>
    </row>
    <row r="4" spans="2:20" ht="43.8" x14ac:dyDescent="0.35">
      <c r="B4" s="95" t="s">
        <v>9</v>
      </c>
      <c r="C4" s="93">
        <f>SUM(H23:H32,H40)/1000</f>
        <v>0</v>
      </c>
      <c r="D4" s="8"/>
      <c r="F4" s="43" t="s">
        <v>6</v>
      </c>
      <c r="G4" s="44" t="s">
        <v>10</v>
      </c>
      <c r="H4" s="45" t="s">
        <v>8</v>
      </c>
      <c r="I4" s="60" t="s">
        <v>11</v>
      </c>
      <c r="J4" s="61" t="s">
        <v>10</v>
      </c>
      <c r="K4" s="159" t="s">
        <v>8</v>
      </c>
      <c r="L4" s="328" t="s">
        <v>312</v>
      </c>
      <c r="M4" s="51">
        <v>1.115</v>
      </c>
      <c r="N4" s="166" t="s">
        <v>12</v>
      </c>
      <c r="R4" s="83" t="s">
        <v>369</v>
      </c>
      <c r="S4">
        <v>4</v>
      </c>
      <c r="T4" t="s">
        <v>370</v>
      </c>
    </row>
    <row r="5" spans="2:20" ht="18" x14ac:dyDescent="0.35">
      <c r="B5" s="88" t="s">
        <v>13</v>
      </c>
      <c r="C5" s="87">
        <f>H23/1000</f>
        <v>0</v>
      </c>
      <c r="D5" s="8"/>
      <c r="F5" s="327" t="s">
        <v>85</v>
      </c>
      <c r="G5" s="51">
        <v>0.2</v>
      </c>
      <c r="H5" s="48" t="s">
        <v>12</v>
      </c>
      <c r="I5" s="25" t="s">
        <v>15</v>
      </c>
      <c r="J5" s="50">
        <v>5</v>
      </c>
      <c r="K5" s="160" t="s">
        <v>16</v>
      </c>
      <c r="L5" s="86" t="s">
        <v>17</v>
      </c>
      <c r="M5" s="51">
        <v>0.8</v>
      </c>
      <c r="N5" s="166" t="s">
        <v>12</v>
      </c>
      <c r="P5" t="s">
        <v>15</v>
      </c>
      <c r="Q5">
        <v>20</v>
      </c>
      <c r="R5" s="64" t="s">
        <v>16</v>
      </c>
      <c r="S5" s="176">
        <f t="shared" ref="S5:S14" si="0">J5*$S$4</f>
        <v>20</v>
      </c>
      <c r="T5" s="176">
        <f>S5-Q5</f>
        <v>0</v>
      </c>
    </row>
    <row r="6" spans="2:20" ht="18" x14ac:dyDescent="0.35">
      <c r="B6" s="88" t="s">
        <v>18</v>
      </c>
      <c r="C6" s="87">
        <f>H26/1000</f>
        <v>0</v>
      </c>
      <c r="D6" s="8"/>
      <c r="E6">
        <v>0.3</v>
      </c>
      <c r="F6" s="25" t="s">
        <v>307</v>
      </c>
      <c r="G6" s="51">
        <v>0.3</v>
      </c>
      <c r="H6" s="48" t="s">
        <v>14</v>
      </c>
      <c r="I6" s="25" t="s">
        <v>19</v>
      </c>
      <c r="J6" s="50">
        <v>5</v>
      </c>
      <c r="K6" s="160" t="s">
        <v>16</v>
      </c>
      <c r="L6" s="86" t="s">
        <v>336</v>
      </c>
      <c r="M6" s="51">
        <v>0.2</v>
      </c>
      <c r="N6" s="166" t="s">
        <v>12</v>
      </c>
      <c r="P6" t="s">
        <v>19</v>
      </c>
      <c r="Q6">
        <v>20</v>
      </c>
      <c r="R6" s="64" t="s">
        <v>16</v>
      </c>
      <c r="S6" s="176">
        <f t="shared" si="0"/>
        <v>20</v>
      </c>
      <c r="T6" s="176">
        <f t="shared" ref="T6:T14" si="1">S6-Q6</f>
        <v>0</v>
      </c>
    </row>
    <row r="7" spans="2:20" ht="18" x14ac:dyDescent="0.35">
      <c r="B7" s="88" t="s">
        <v>20</v>
      </c>
      <c r="C7" s="87">
        <f>H27/1000</f>
        <v>0</v>
      </c>
      <c r="D7" s="8"/>
      <c r="E7">
        <v>0.3</v>
      </c>
      <c r="F7" s="25" t="s">
        <v>308</v>
      </c>
      <c r="G7" s="51">
        <v>0.3</v>
      </c>
      <c r="H7" s="48" t="s">
        <v>12</v>
      </c>
      <c r="I7" s="25" t="s">
        <v>22</v>
      </c>
      <c r="J7" s="50">
        <v>10</v>
      </c>
      <c r="K7" s="160" t="s">
        <v>16</v>
      </c>
      <c r="L7" s="86" t="s">
        <v>23</v>
      </c>
      <c r="M7" s="51">
        <v>0.1</v>
      </c>
      <c r="N7" s="166" t="s">
        <v>12</v>
      </c>
      <c r="P7" t="s">
        <v>120</v>
      </c>
      <c r="Q7">
        <v>100</v>
      </c>
      <c r="R7" s="64" t="s">
        <v>16</v>
      </c>
      <c r="S7" s="176">
        <f t="shared" si="0"/>
        <v>40</v>
      </c>
      <c r="T7" s="176">
        <f t="shared" si="1"/>
        <v>-60</v>
      </c>
    </row>
    <row r="8" spans="2:20" ht="18" x14ac:dyDescent="0.35">
      <c r="B8" s="88" t="s">
        <v>24</v>
      </c>
      <c r="C8" s="87">
        <f>H31/1000</f>
        <v>0</v>
      </c>
      <c r="D8" s="8"/>
      <c r="E8">
        <v>1</v>
      </c>
      <c r="F8" s="25" t="s">
        <v>21</v>
      </c>
      <c r="G8" s="51">
        <v>1</v>
      </c>
      <c r="H8" s="48" t="s">
        <v>12</v>
      </c>
      <c r="I8" s="25" t="s">
        <v>26</v>
      </c>
      <c r="J8" s="50">
        <v>10</v>
      </c>
      <c r="K8" s="160" t="s">
        <v>16</v>
      </c>
      <c r="L8" s="86" t="s">
        <v>27</v>
      </c>
      <c r="M8" s="51">
        <v>0.1</v>
      </c>
      <c r="N8" s="166" t="s">
        <v>12</v>
      </c>
      <c r="P8" t="s">
        <v>121</v>
      </c>
      <c r="Q8">
        <v>50</v>
      </c>
      <c r="R8" s="64" t="s">
        <v>16</v>
      </c>
      <c r="S8" s="176">
        <f t="shared" si="0"/>
        <v>40</v>
      </c>
      <c r="T8" s="176">
        <f t="shared" si="1"/>
        <v>-10</v>
      </c>
    </row>
    <row r="9" spans="2:20" ht="18" x14ac:dyDescent="0.35">
      <c r="B9" s="88" t="s">
        <v>28</v>
      </c>
      <c r="C9" s="87">
        <f>C10-SUM(C5:C8)</f>
        <v>2.3895996239535462</v>
      </c>
      <c r="D9" s="8"/>
      <c r="E9">
        <v>0.16</v>
      </c>
      <c r="F9" s="25" t="s">
        <v>25</v>
      </c>
      <c r="G9" s="51">
        <v>0.16</v>
      </c>
      <c r="H9" s="48" t="s">
        <v>12</v>
      </c>
      <c r="I9" s="25" t="s">
        <v>30</v>
      </c>
      <c r="J9" s="50">
        <v>10</v>
      </c>
      <c r="K9" s="160" t="s">
        <v>16</v>
      </c>
      <c r="L9" s="86" t="s">
        <v>31</v>
      </c>
      <c r="M9" s="51">
        <v>0.01</v>
      </c>
      <c r="N9" s="166" t="s">
        <v>12</v>
      </c>
      <c r="P9" t="s">
        <v>30</v>
      </c>
      <c r="Q9">
        <v>50</v>
      </c>
      <c r="R9" s="64" t="s">
        <v>16</v>
      </c>
      <c r="S9" s="176">
        <f t="shared" si="0"/>
        <v>40</v>
      </c>
      <c r="T9" s="176">
        <f t="shared" si="1"/>
        <v>-10</v>
      </c>
    </row>
    <row r="10" spans="2:20" ht="18.600000000000001" thickBot="1" x14ac:dyDescent="0.4">
      <c r="B10" s="89" t="s">
        <v>32</v>
      </c>
      <c r="C10" s="90">
        <f>SUM('Mod Wolfe v1 calcs'!B54:B66,'Mod Wolfe v1 calcs'!B69:B81)/1000</f>
        <v>2.3895996239535462</v>
      </c>
      <c r="D10" s="8"/>
      <c r="E10">
        <v>8.9999999999999993E-3</v>
      </c>
      <c r="F10" s="25" t="s">
        <v>29</v>
      </c>
      <c r="G10" s="51">
        <v>8.9999999999999993E-3</v>
      </c>
      <c r="H10" s="48" t="s">
        <v>12</v>
      </c>
      <c r="I10" s="25" t="s">
        <v>34</v>
      </c>
      <c r="J10" s="50">
        <v>10</v>
      </c>
      <c r="K10" s="160" t="s">
        <v>16</v>
      </c>
      <c r="L10" s="86" t="s">
        <v>35</v>
      </c>
      <c r="M10" s="51">
        <v>0.1</v>
      </c>
      <c r="N10" s="166" t="s">
        <v>12</v>
      </c>
      <c r="P10" t="s">
        <v>34</v>
      </c>
      <c r="Q10">
        <v>50</v>
      </c>
      <c r="R10" s="64" t="s">
        <v>16</v>
      </c>
      <c r="S10" s="176">
        <f t="shared" si="0"/>
        <v>40</v>
      </c>
      <c r="T10" s="176">
        <f t="shared" si="1"/>
        <v>-10</v>
      </c>
    </row>
    <row r="11" spans="2:20" ht="18.600000000000001" thickBot="1" x14ac:dyDescent="0.4">
      <c r="E11">
        <v>0.6</v>
      </c>
      <c r="F11" s="25" t="s">
        <v>33</v>
      </c>
      <c r="G11" s="51">
        <v>0.6</v>
      </c>
      <c r="H11" s="48" t="s">
        <v>12</v>
      </c>
      <c r="I11" s="25" t="s">
        <v>38</v>
      </c>
      <c r="J11" s="50">
        <v>10</v>
      </c>
      <c r="K11" s="160" t="s">
        <v>16</v>
      </c>
      <c r="L11" s="86" t="s">
        <v>39</v>
      </c>
      <c r="M11" s="51">
        <v>0.01</v>
      </c>
      <c r="N11" s="166" t="s">
        <v>12</v>
      </c>
      <c r="P11" t="s">
        <v>122</v>
      </c>
      <c r="Q11">
        <v>50</v>
      </c>
      <c r="R11" s="64" t="s">
        <v>16</v>
      </c>
      <c r="S11" s="176">
        <f t="shared" si="0"/>
        <v>40</v>
      </c>
      <c r="T11" s="176">
        <f t="shared" si="1"/>
        <v>-10</v>
      </c>
    </row>
    <row r="12" spans="2:20" ht="18.600000000000001" thickBot="1" x14ac:dyDescent="0.4">
      <c r="B12" s="96" t="s">
        <v>40</v>
      </c>
      <c r="C12" s="92"/>
      <c r="E12">
        <v>4</v>
      </c>
      <c r="F12" s="190" t="s">
        <v>385</v>
      </c>
      <c r="G12" s="51">
        <v>1.6</v>
      </c>
      <c r="H12" s="48" t="s">
        <v>37</v>
      </c>
      <c r="I12" s="25" t="s">
        <v>42</v>
      </c>
      <c r="J12" s="50">
        <v>5</v>
      </c>
      <c r="K12" s="160" t="s">
        <v>16</v>
      </c>
      <c r="L12" s="86" t="s">
        <v>43</v>
      </c>
      <c r="M12" s="51">
        <v>0.1</v>
      </c>
      <c r="N12" s="166" t="s">
        <v>12</v>
      </c>
      <c r="P12" t="s">
        <v>42</v>
      </c>
      <c r="Q12">
        <v>1</v>
      </c>
      <c r="R12" s="64" t="s">
        <v>16</v>
      </c>
      <c r="S12" s="176">
        <f t="shared" si="0"/>
        <v>20</v>
      </c>
      <c r="T12" s="176">
        <f t="shared" si="1"/>
        <v>19</v>
      </c>
    </row>
    <row r="13" spans="2:20" ht="18" x14ac:dyDescent="0.35">
      <c r="B13" s="98" t="s">
        <v>44</v>
      </c>
      <c r="C13" s="91">
        <f>H48</f>
        <v>0</v>
      </c>
      <c r="D13" s="8"/>
      <c r="E13">
        <v>15</v>
      </c>
      <c r="F13" s="94" t="s">
        <v>331</v>
      </c>
      <c r="G13" s="51">
        <v>15</v>
      </c>
      <c r="H13" s="48" t="s">
        <v>37</v>
      </c>
      <c r="I13" s="25" t="s">
        <v>45</v>
      </c>
      <c r="J13" s="50">
        <v>10</v>
      </c>
      <c r="K13" s="160" t="s">
        <v>16</v>
      </c>
      <c r="L13" s="86" t="s">
        <v>46</v>
      </c>
      <c r="M13" s="51">
        <v>0.1</v>
      </c>
      <c r="N13" s="166" t="s">
        <v>12</v>
      </c>
      <c r="P13" t="s">
        <v>45</v>
      </c>
      <c r="Q13">
        <v>50</v>
      </c>
      <c r="R13" s="64" t="s">
        <v>16</v>
      </c>
      <c r="S13" s="176">
        <f t="shared" si="0"/>
        <v>40</v>
      </c>
      <c r="T13" s="176">
        <f t="shared" si="1"/>
        <v>-10</v>
      </c>
    </row>
    <row r="14" spans="2:20" ht="18" x14ac:dyDescent="0.35">
      <c r="B14" s="88" t="s">
        <v>47</v>
      </c>
      <c r="C14" s="87">
        <f>H51</f>
        <v>0</v>
      </c>
      <c r="D14" s="8"/>
      <c r="E14">
        <v>10</v>
      </c>
      <c r="F14" s="94" t="s">
        <v>2</v>
      </c>
      <c r="G14" s="51">
        <v>10</v>
      </c>
      <c r="H14" s="48" t="s">
        <v>37</v>
      </c>
      <c r="I14" s="25" t="s">
        <v>288</v>
      </c>
      <c r="J14" s="77">
        <v>5</v>
      </c>
      <c r="K14" s="161" t="s">
        <v>16</v>
      </c>
      <c r="L14" s="86" t="s">
        <v>50</v>
      </c>
      <c r="M14" s="51">
        <v>0.1</v>
      </c>
      <c r="N14" s="166" t="s">
        <v>12</v>
      </c>
      <c r="P14" t="s">
        <v>288</v>
      </c>
      <c r="Q14">
        <v>50</v>
      </c>
      <c r="R14" s="78" t="s">
        <v>16</v>
      </c>
      <c r="S14" s="176">
        <f t="shared" si="0"/>
        <v>20</v>
      </c>
      <c r="T14" s="176">
        <f t="shared" si="1"/>
        <v>-30</v>
      </c>
    </row>
    <row r="15" spans="2:20" ht="18.600000000000001" thickBot="1" x14ac:dyDescent="0.4">
      <c r="B15" s="89" t="s">
        <v>51</v>
      </c>
      <c r="C15" s="90"/>
      <c r="D15" s="8"/>
      <c r="E15">
        <v>1</v>
      </c>
      <c r="F15" s="70" t="s">
        <v>48</v>
      </c>
      <c r="G15" s="51">
        <v>0</v>
      </c>
      <c r="H15" s="48" t="s">
        <v>37</v>
      </c>
      <c r="I15" s="76" t="s">
        <v>53</v>
      </c>
      <c r="J15" s="77">
        <v>1000</v>
      </c>
      <c r="K15" s="161" t="s">
        <v>37</v>
      </c>
      <c r="L15" s="86" t="s">
        <v>54</v>
      </c>
      <c r="M15" s="51">
        <v>1000</v>
      </c>
      <c r="N15" s="166" t="s">
        <v>37</v>
      </c>
      <c r="P15" t="s">
        <v>53</v>
      </c>
      <c r="Q15">
        <v>1000</v>
      </c>
      <c r="R15" s="78" t="s">
        <v>37</v>
      </c>
    </row>
    <row r="16" spans="2:20" ht="18.600000000000001" thickBot="1" x14ac:dyDescent="0.4">
      <c r="E16">
        <v>5</v>
      </c>
      <c r="F16" s="69" t="s">
        <v>52</v>
      </c>
      <c r="G16" s="51">
        <v>0</v>
      </c>
      <c r="H16" s="48" t="s">
        <v>12</v>
      </c>
      <c r="I16" s="65" t="s">
        <v>56</v>
      </c>
      <c r="J16" s="80">
        <f>SUMIFS(J5:J15,K5:K15,"mL")</f>
        <v>1000</v>
      </c>
      <c r="K16" s="162" t="s">
        <v>37</v>
      </c>
      <c r="L16" s="73" t="s">
        <v>56</v>
      </c>
      <c r="M16" s="81">
        <f>SUMIFS(M4:M15,N4:N15,"mL")</f>
        <v>1000</v>
      </c>
      <c r="N16" s="171" t="s">
        <v>57</v>
      </c>
    </row>
    <row r="17" spans="2:16" ht="18.600000000000001" thickBot="1" x14ac:dyDescent="0.4">
      <c r="E17">
        <v>10</v>
      </c>
      <c r="F17" s="71" t="s">
        <v>55</v>
      </c>
      <c r="G17" s="51">
        <v>10</v>
      </c>
      <c r="H17" s="48" t="s">
        <v>37</v>
      </c>
      <c r="L17" s="322"/>
      <c r="M17" s="323"/>
      <c r="N17" s="324"/>
    </row>
    <row r="18" spans="2:16" ht="18.600000000000001" thickBot="1" x14ac:dyDescent="0.4">
      <c r="B18" t="s">
        <v>399</v>
      </c>
      <c r="C18" t="s">
        <v>85</v>
      </c>
      <c r="D18" t="s">
        <v>400</v>
      </c>
      <c r="E18">
        <v>1000</v>
      </c>
      <c r="F18" s="46" t="s">
        <v>53</v>
      </c>
      <c r="G18" s="51">
        <f>G19-(G17+G14+G13+G12)</f>
        <v>963.4</v>
      </c>
      <c r="H18" s="48" t="s">
        <v>37</v>
      </c>
      <c r="I18" s="354" t="s">
        <v>36</v>
      </c>
      <c r="J18" s="355"/>
      <c r="K18" s="356"/>
      <c r="L18" s="3"/>
      <c r="M18" s="3"/>
    </row>
    <row r="19" spans="2:16" ht="18.600000000000001" thickBot="1" x14ac:dyDescent="0.4">
      <c r="C19" t="s">
        <v>52</v>
      </c>
      <c r="D19" t="s">
        <v>401</v>
      </c>
      <c r="F19" s="73" t="s">
        <v>56</v>
      </c>
      <c r="G19" s="81">
        <v>1000</v>
      </c>
      <c r="H19" s="49"/>
      <c r="I19" s="43" t="s">
        <v>6</v>
      </c>
      <c r="J19" s="44" t="s">
        <v>282</v>
      </c>
      <c r="K19" s="45" t="s">
        <v>8</v>
      </c>
      <c r="L19" s="3"/>
      <c r="M19" s="3"/>
      <c r="N19">
        <f>J20*(100/1000)</f>
        <v>5</v>
      </c>
    </row>
    <row r="20" spans="2:16" ht="18" x14ac:dyDescent="0.35">
      <c r="C20" t="s">
        <v>361</v>
      </c>
      <c r="D20" t="s">
        <v>401</v>
      </c>
      <c r="I20" s="86" t="s">
        <v>298</v>
      </c>
      <c r="J20" s="51">
        <v>50</v>
      </c>
      <c r="K20" s="166" t="s">
        <v>12</v>
      </c>
      <c r="L20" s="3"/>
      <c r="M20" s="3"/>
    </row>
    <row r="21" spans="2:16" ht="18" x14ac:dyDescent="0.35">
      <c r="C21" t="s">
        <v>39</v>
      </c>
      <c r="D21" t="s">
        <v>401</v>
      </c>
      <c r="F21" s="7"/>
      <c r="G21" s="97"/>
      <c r="I21" s="86" t="s">
        <v>330</v>
      </c>
      <c r="J21" s="51">
        <v>1000</v>
      </c>
      <c r="K21" s="166" t="s">
        <v>37</v>
      </c>
      <c r="L21" s="3"/>
      <c r="M21" s="3"/>
    </row>
    <row r="22" spans="2:16" ht="18.600000000000001" thickBot="1" x14ac:dyDescent="0.4">
      <c r="C22" t="s">
        <v>179</v>
      </c>
      <c r="D22" t="s">
        <v>400</v>
      </c>
      <c r="F22" s="7"/>
      <c r="G22" s="7"/>
      <c r="H22" s="7"/>
      <c r="I22" s="73" t="s">
        <v>56</v>
      </c>
      <c r="J22" s="81">
        <f>SUMIFS(J20:J21,K20:K21,"mL")</f>
        <v>1000</v>
      </c>
      <c r="K22" s="171" t="s">
        <v>57</v>
      </c>
      <c r="L22" s="3"/>
      <c r="M22" s="3"/>
    </row>
    <row r="23" spans="2:16" ht="18.600000000000001" thickBot="1" x14ac:dyDescent="0.4">
      <c r="C23" t="s">
        <v>298</v>
      </c>
      <c r="D23" t="s">
        <v>402</v>
      </c>
      <c r="G23" s="1"/>
      <c r="H23" s="8"/>
      <c r="I23" s="319"/>
      <c r="J23" s="320"/>
      <c r="K23" s="321"/>
    </row>
    <row r="24" spans="2:16" ht="15" thickBot="1" x14ac:dyDescent="0.35">
      <c r="G24" s="1"/>
      <c r="H24" s="8"/>
      <c r="I24" s="354" t="s">
        <v>331</v>
      </c>
      <c r="J24" s="355"/>
      <c r="K24" s="356"/>
    </row>
    <row r="25" spans="2:16" ht="18" x14ac:dyDescent="0.35">
      <c r="G25" s="1"/>
      <c r="H25" s="8"/>
      <c r="I25" s="43" t="s">
        <v>6</v>
      </c>
      <c r="J25" s="44" t="s">
        <v>7</v>
      </c>
      <c r="K25" s="45" t="s">
        <v>8</v>
      </c>
      <c r="O25" s="7"/>
      <c r="P25" s="7"/>
    </row>
    <row r="26" spans="2:16" ht="18" x14ac:dyDescent="0.35">
      <c r="G26" s="1"/>
      <c r="H26" s="8"/>
      <c r="I26" s="86" t="s">
        <v>195</v>
      </c>
      <c r="J26" s="51">
        <v>35.130000000000003</v>
      </c>
      <c r="K26" s="166" t="s">
        <v>12</v>
      </c>
      <c r="O26" s="7"/>
      <c r="P26" s="7"/>
    </row>
    <row r="27" spans="2:16" ht="18" x14ac:dyDescent="0.35">
      <c r="G27" s="1"/>
      <c r="H27" s="8"/>
      <c r="I27" s="86" t="s">
        <v>330</v>
      </c>
      <c r="J27" s="51">
        <v>1000</v>
      </c>
      <c r="K27" s="166" t="s">
        <v>37</v>
      </c>
      <c r="L27" s="42"/>
      <c r="M27" s="42"/>
      <c r="N27" s="7"/>
    </row>
    <row r="28" spans="2:16" ht="18.600000000000001" thickBot="1" x14ac:dyDescent="0.4">
      <c r="G28" s="1"/>
      <c r="H28" s="8"/>
      <c r="I28" s="73" t="s">
        <v>56</v>
      </c>
      <c r="J28" s="81">
        <f>SUMIFS(J26:J27,K26:K27,"mL")</f>
        <v>1000</v>
      </c>
      <c r="K28" s="171" t="s">
        <v>57</v>
      </c>
      <c r="L28" s="7"/>
      <c r="M28" s="7"/>
      <c r="N28" s="7"/>
    </row>
    <row r="29" spans="2:16" ht="18.600000000000001" thickBot="1" x14ac:dyDescent="0.4">
      <c r="G29" s="1"/>
      <c r="H29" s="8"/>
      <c r="I29" s="319"/>
      <c r="J29" s="320"/>
      <c r="K29" s="321"/>
    </row>
    <row r="30" spans="2:16" x14ac:dyDescent="0.3">
      <c r="G30" s="1"/>
      <c r="H30" s="8"/>
      <c r="I30" s="8"/>
      <c r="J30" s="83"/>
    </row>
    <row r="31" spans="2:16" x14ac:dyDescent="0.3">
      <c r="G31" s="1"/>
      <c r="H31" s="8"/>
      <c r="I31" s="8"/>
    </row>
    <row r="32" spans="2:16" x14ac:dyDescent="0.3">
      <c r="G32" s="1"/>
      <c r="H32" s="8"/>
      <c r="I32" s="8"/>
    </row>
    <row r="33" spans="3:9" x14ac:dyDescent="0.3">
      <c r="G33" s="1"/>
      <c r="H33" s="8"/>
      <c r="I33" s="8"/>
    </row>
    <row r="34" spans="3:9" x14ac:dyDescent="0.3">
      <c r="G34" s="1"/>
      <c r="H34" s="8"/>
      <c r="I34" s="8"/>
    </row>
    <row r="35" spans="3:9" x14ac:dyDescent="0.3">
      <c r="G35" s="1"/>
      <c r="H35" s="8"/>
      <c r="I35" s="8"/>
    </row>
    <row r="36" spans="3:9" x14ac:dyDescent="0.3">
      <c r="G36" s="1"/>
      <c r="H36" s="8"/>
      <c r="I36" s="8"/>
    </row>
    <row r="37" spans="3:9" x14ac:dyDescent="0.3">
      <c r="G37" s="1"/>
      <c r="H37" s="8"/>
      <c r="I37" s="8"/>
    </row>
    <row r="38" spans="3:9" x14ac:dyDescent="0.3">
      <c r="G38" s="1"/>
      <c r="H38" s="8"/>
      <c r="I38" s="8"/>
    </row>
    <row r="39" spans="3:9" x14ac:dyDescent="0.3">
      <c r="G39" s="1"/>
      <c r="H39" s="8"/>
      <c r="I39" s="8"/>
    </row>
    <row r="40" spans="3:9" x14ac:dyDescent="0.3">
      <c r="G40" s="1"/>
      <c r="H40" s="8"/>
      <c r="I40" s="8"/>
    </row>
    <row r="41" spans="3:9" x14ac:dyDescent="0.3">
      <c r="G41" s="1"/>
      <c r="H41" s="8"/>
      <c r="I41" s="8"/>
    </row>
    <row r="42" spans="3:9" x14ac:dyDescent="0.3">
      <c r="G42" s="1"/>
      <c r="H42" s="8"/>
      <c r="I42" s="8"/>
    </row>
    <row r="43" spans="3:9" x14ac:dyDescent="0.3">
      <c r="C43" t="s">
        <v>83</v>
      </c>
      <c r="G43" s="1"/>
      <c r="H43" s="8"/>
      <c r="I43" s="8"/>
    </row>
    <row r="44" spans="3:9" x14ac:dyDescent="0.3">
      <c r="G44" s="1"/>
      <c r="H44" s="8"/>
      <c r="I44" s="8"/>
    </row>
    <row r="45" spans="3:9" x14ac:dyDescent="0.3">
      <c r="G45" s="1"/>
      <c r="H45" s="8"/>
      <c r="I45" s="8"/>
    </row>
    <row r="46" spans="3:9" x14ac:dyDescent="0.3">
      <c r="G46" s="1"/>
      <c r="H46" s="8"/>
      <c r="I46" s="8"/>
    </row>
    <row r="47" spans="3:9" x14ac:dyDescent="0.3">
      <c r="G47" s="1"/>
      <c r="H47" s="8"/>
      <c r="I47" s="8"/>
    </row>
    <row r="48" spans="3:9" x14ac:dyDescent="0.3">
      <c r="G48" s="1"/>
      <c r="H48" s="8"/>
      <c r="I48" s="8"/>
    </row>
    <row r="49" spans="1:9" x14ac:dyDescent="0.3">
      <c r="G49" s="1"/>
      <c r="H49" s="8"/>
      <c r="I49" s="8"/>
    </row>
    <row r="50" spans="1:9" x14ac:dyDescent="0.3">
      <c r="G50" s="1"/>
      <c r="H50" s="8"/>
      <c r="I50" s="8"/>
    </row>
    <row r="51" spans="1:9" x14ac:dyDescent="0.3">
      <c r="G51" s="1"/>
      <c r="H51" s="8"/>
      <c r="I51" s="8"/>
    </row>
    <row r="52" spans="1:9" x14ac:dyDescent="0.3">
      <c r="I52" s="8"/>
    </row>
    <row r="53" spans="1:9" x14ac:dyDescent="0.3">
      <c r="I53" s="8"/>
    </row>
    <row r="54" spans="1:9" x14ac:dyDescent="0.3">
      <c r="I54" s="8"/>
    </row>
    <row r="55" spans="1:9" x14ac:dyDescent="0.3">
      <c r="G55" s="83"/>
      <c r="H55" s="83"/>
      <c r="I55" s="8"/>
    </row>
    <row r="59" spans="1:9" x14ac:dyDescent="0.3">
      <c r="A59">
        <v>61</v>
      </c>
      <c r="B59">
        <v>-0.13</v>
      </c>
      <c r="C59">
        <v>-0.13</v>
      </c>
      <c r="E59">
        <f>SUM(B59:C59)/A59*30</f>
        <v>-0.12786885245901641</v>
      </c>
    </row>
    <row r="60" spans="1:9" x14ac:dyDescent="0.3">
      <c r="A60">
        <v>33</v>
      </c>
      <c r="B60">
        <v>-6.95</v>
      </c>
      <c r="C60">
        <v>0.2</v>
      </c>
    </row>
    <row r="61" spans="1:9" x14ac:dyDescent="0.3">
      <c r="A61">
        <v>23</v>
      </c>
      <c r="B61">
        <v>-7.67</v>
      </c>
      <c r="C61">
        <v>0.57999999999999996</v>
      </c>
    </row>
    <row r="62" spans="1:9" x14ac:dyDescent="0.3">
      <c r="A62">
        <v>18</v>
      </c>
      <c r="B62">
        <v>-18.02</v>
      </c>
      <c r="C62">
        <v>-0.51</v>
      </c>
    </row>
    <row r="63" spans="1:9" x14ac:dyDescent="0.3">
      <c r="A63">
        <v>25</v>
      </c>
      <c r="B63">
        <v>-49.15</v>
      </c>
      <c r="C63">
        <v>-1.18</v>
      </c>
    </row>
  </sheetData>
  <mergeCells count="5">
    <mergeCell ref="F3:H3"/>
    <mergeCell ref="I3:K3"/>
    <mergeCell ref="I18:K18"/>
    <mergeCell ref="I24:K24"/>
    <mergeCell ref="L2:N2"/>
  </mergeCells>
  <conditionalFormatting sqref="J30:K30 O30:P30 L32:N32">
    <cfRule type="cellIs" dxfId="126" priority="15" operator="greaterThan">
      <formula>$H$26</formula>
    </cfRule>
  </conditionalFormatting>
  <conditionalFormatting sqref="J37:K37 O37:P37 L39:N39">
    <cfRule type="cellIs" dxfId="125" priority="14" operator="greaterThan">
      <formula>$H$33</formula>
    </cfRule>
  </conditionalFormatting>
  <conditionalFormatting sqref="J38:K38 O38:P38 L40:N40">
    <cfRule type="cellIs" dxfId="124" priority="13" operator="greaterThan">
      <formula>$H$34</formula>
    </cfRule>
  </conditionalFormatting>
  <conditionalFormatting sqref="J39:K39 O39:P39 L41:N41">
    <cfRule type="cellIs" dxfId="123" priority="12" operator="greaterThan">
      <formula>$H$35</formula>
    </cfRule>
  </conditionalFormatting>
  <conditionalFormatting sqref="J40:K40 O40:P40 L42:N42">
    <cfRule type="cellIs" dxfId="122" priority="11" operator="greaterThan">
      <formula>$H$36</formula>
    </cfRule>
  </conditionalFormatting>
  <conditionalFormatting sqref="J45:K45 O45:P45 L47:N47">
    <cfRule type="cellIs" dxfId="121" priority="10" operator="greaterThan">
      <formula>$H$41</formula>
    </cfRule>
  </conditionalFormatting>
  <conditionalFormatting sqref="J46:K46 O46:P46 L48:N48">
    <cfRule type="cellIs" dxfId="120" priority="9" operator="greaterThan">
      <formula>$H$42</formula>
    </cfRule>
  </conditionalFormatting>
  <conditionalFormatting sqref="J48:K48 O48:P48 L50:N50">
    <cfRule type="cellIs" dxfId="119" priority="8" operator="greaterThan">
      <formula>$H$44</formula>
    </cfRule>
  </conditionalFormatting>
  <conditionalFormatting sqref="J49:K49 O49:P49 L51:N51">
    <cfRule type="cellIs" dxfId="118" priority="7" operator="greaterThan">
      <formula>$H$45</formula>
    </cfRule>
  </conditionalFormatting>
  <conditionalFormatting sqref="J50:K50 O50:P50 L52:N52">
    <cfRule type="cellIs" dxfId="117" priority="6" operator="greaterThan">
      <formula>$H$46</formula>
    </cfRule>
  </conditionalFormatting>
  <conditionalFormatting sqref="J51:K51 O51:P51 L53:N53">
    <cfRule type="cellIs" dxfId="116" priority="5" operator="greaterThan">
      <formula>$H$47</formula>
    </cfRule>
  </conditionalFormatting>
  <conditionalFormatting sqref="J52:K52 O52:P52 L54:N54">
    <cfRule type="cellIs" dxfId="115" priority="4" operator="greaterThan">
      <formula>$H$48</formula>
    </cfRule>
  </conditionalFormatting>
  <conditionalFormatting sqref="J53:K53 O53:P53 L55:N55">
    <cfRule type="cellIs" dxfId="114" priority="3" operator="greaterThan">
      <formula>$H$49</formula>
    </cfRule>
  </conditionalFormatting>
  <conditionalFormatting sqref="J54:K54 O54:P54 L56:N56">
    <cfRule type="cellIs" dxfId="113" priority="2" operator="greaterThan">
      <formula>$H$50</formula>
    </cfRule>
  </conditionalFormatting>
  <conditionalFormatting sqref="J55:K55 O55:P55 L57:N57">
    <cfRule type="cellIs" dxfId="112" priority="1" operator="greaterThan">
      <formula>$H$51</formula>
    </cfRule>
  </conditionalFormatting>
  <conditionalFormatting sqref="O27:P27 L29:N29">
    <cfRule type="cellIs" dxfId="111" priority="18" operator="greaterThan">
      <formula>$H$23</formula>
    </cfRule>
  </conditionalFormatting>
  <conditionalFormatting sqref="O28:P28 L30:N30">
    <cfRule type="cellIs" dxfId="110" priority="17" operator="greaterThan">
      <formula>$H$24</formula>
    </cfRule>
  </conditionalFormatting>
  <conditionalFormatting sqref="O29:P29 L31:N31">
    <cfRule type="cellIs" dxfId="109" priority="16" operator="greaterThan">
      <formula>$H$25</formula>
    </cfRule>
  </conditionalFormatting>
  <pageMargins left="0.7" right="0.7" top="0.75" bottom="0.75" header="0.3" footer="0.3"/>
  <pageSetup scale="3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DF54B-6174-4B1B-A04F-6DA01280A096}">
  <sheetPr>
    <tabColor theme="9" tint="0.39997558519241921"/>
    <pageSetUpPr fitToPage="1"/>
  </sheetPr>
  <dimension ref="A1:X63"/>
  <sheetViews>
    <sheetView topLeftCell="F1" workbookViewId="0">
      <selection activeCell="G20" sqref="G20"/>
    </sheetView>
  </sheetViews>
  <sheetFormatPr defaultRowHeight="14.4" x14ac:dyDescent="0.3"/>
  <cols>
    <col min="2" max="2" width="18.44140625" customWidth="1"/>
    <col min="3" max="4" width="16.44140625" customWidth="1"/>
    <col min="6" max="6" width="33.88671875" customWidth="1"/>
    <col min="7" max="7" width="18.77734375" customWidth="1"/>
    <col min="8" max="8" width="7.21875" customWidth="1"/>
    <col min="9" max="9" width="14.109375" customWidth="1"/>
    <col min="10" max="10" width="29.88671875" customWidth="1"/>
    <col min="11" max="11" width="22.88671875" customWidth="1"/>
    <col min="12" max="12" width="11.88671875" bestFit="1" customWidth="1"/>
    <col min="13" max="13" width="26.6640625" customWidth="1"/>
    <col min="14" max="14" width="11.109375" customWidth="1"/>
    <col min="15" max="17" width="12.109375" customWidth="1"/>
    <col min="18" max="18" width="13.33203125" customWidth="1"/>
    <col min="19" max="19" width="19.33203125" customWidth="1"/>
    <col min="20" max="21" width="0" hidden="1" customWidth="1"/>
    <col min="22" max="22" width="10.33203125" hidden="1" customWidth="1"/>
    <col min="23" max="23" width="10" customWidth="1"/>
  </cols>
  <sheetData>
    <row r="1" spans="2:24" ht="15" thickBot="1" x14ac:dyDescent="0.35">
      <c r="F1" t="s">
        <v>364</v>
      </c>
      <c r="J1" s="1"/>
      <c r="K1" s="1"/>
      <c r="L1" s="2"/>
      <c r="S1">
        <f>SUM(R2:S2)</f>
        <v>391.98800000000006</v>
      </c>
    </row>
    <row r="2" spans="2:24" ht="15" thickBot="1" x14ac:dyDescent="0.35">
      <c r="F2" s="7" t="s">
        <v>316</v>
      </c>
      <c r="J2" s="42" t="s">
        <v>373</v>
      </c>
      <c r="K2" s="1"/>
      <c r="L2" s="2"/>
      <c r="M2" s="357" t="s">
        <v>2</v>
      </c>
      <c r="N2" s="358"/>
      <c r="O2" s="359"/>
      <c r="R2">
        <f>(2+15.999)*6</f>
        <v>107.99400000000001</v>
      </c>
      <c r="S2">
        <f>55.84+2*32.07+2*14.007+8*16+4*2</f>
        <v>283.99400000000003</v>
      </c>
    </row>
    <row r="3" spans="2:24" ht="18.600000000000001" thickBot="1" x14ac:dyDescent="0.4">
      <c r="B3" s="56" t="s">
        <v>3</v>
      </c>
      <c r="C3" s="53"/>
      <c r="D3" t="s">
        <v>4</v>
      </c>
      <c r="E3" t="s">
        <v>396</v>
      </c>
      <c r="F3" s="360" t="s">
        <v>395</v>
      </c>
      <c r="G3" s="361"/>
      <c r="H3" s="361"/>
      <c r="I3" s="362"/>
      <c r="J3" s="352" t="s">
        <v>5</v>
      </c>
      <c r="K3" s="352"/>
      <c r="L3" s="352"/>
      <c r="M3" s="325" t="s">
        <v>6</v>
      </c>
      <c r="N3" s="61" t="s">
        <v>7</v>
      </c>
      <c r="O3" s="326" t="s">
        <v>8</v>
      </c>
      <c r="P3" s="126"/>
      <c r="Q3" s="126"/>
      <c r="S3">
        <f>0.8*S1/S2</f>
        <v>1.1042148777791081</v>
      </c>
    </row>
    <row r="4" spans="2:24" ht="15.6" customHeight="1" x14ac:dyDescent="0.35">
      <c r="B4" s="95" t="s">
        <v>9</v>
      </c>
      <c r="C4" s="93">
        <f>SUM(H25:H34,H42)/1000</f>
        <v>0</v>
      </c>
      <c r="D4" s="8"/>
      <c r="F4" s="314" t="s">
        <v>6</v>
      </c>
      <c r="G4" s="311" t="s">
        <v>282</v>
      </c>
      <c r="H4" s="310" t="s">
        <v>8</v>
      </c>
      <c r="I4" s="315" t="s">
        <v>396</v>
      </c>
      <c r="J4" s="252" t="s">
        <v>11</v>
      </c>
      <c r="K4" s="61" t="s">
        <v>10</v>
      </c>
      <c r="L4" s="159" t="s">
        <v>8</v>
      </c>
      <c r="M4" s="86" t="s">
        <v>124</v>
      </c>
      <c r="N4" s="51">
        <v>50</v>
      </c>
      <c r="O4" s="166" t="s">
        <v>37</v>
      </c>
      <c r="P4" t="s">
        <v>300</v>
      </c>
      <c r="Q4">
        <v>1.5</v>
      </c>
      <c r="R4" s="294">
        <v>0.25</v>
      </c>
      <c r="S4" s="71" t="s">
        <v>377</v>
      </c>
      <c r="T4" s="70"/>
      <c r="U4" s="286" t="s">
        <v>369</v>
      </c>
      <c r="V4" s="70">
        <v>10</v>
      </c>
      <c r="W4" s="286" t="s">
        <v>374</v>
      </c>
      <c r="X4" s="286"/>
    </row>
    <row r="5" spans="2:24" ht="18" x14ac:dyDescent="0.35">
      <c r="B5" s="88" t="s">
        <v>13</v>
      </c>
      <c r="C5" s="87">
        <f>H25/1000</f>
        <v>0</v>
      </c>
      <c r="D5" s="8"/>
      <c r="E5">
        <v>1</v>
      </c>
      <c r="F5" s="88" t="s">
        <v>85</v>
      </c>
      <c r="G5" s="313">
        <v>0.2</v>
      </c>
      <c r="H5" s="312" t="s">
        <v>12</v>
      </c>
      <c r="I5" s="316">
        <v>1</v>
      </c>
      <c r="J5" s="38" t="s">
        <v>15</v>
      </c>
      <c r="K5" s="50">
        <v>50</v>
      </c>
      <c r="L5" s="160" t="s">
        <v>16</v>
      </c>
      <c r="M5" s="86" t="s">
        <v>17</v>
      </c>
      <c r="N5" s="51">
        <v>0.8</v>
      </c>
      <c r="O5" s="166" t="s">
        <v>12</v>
      </c>
      <c r="P5" t="s">
        <v>17</v>
      </c>
      <c r="Q5">
        <v>0.8</v>
      </c>
      <c r="S5" s="70" t="s">
        <v>15</v>
      </c>
      <c r="T5" s="70">
        <v>20</v>
      </c>
      <c r="U5" s="302" t="s">
        <v>16</v>
      </c>
      <c r="V5" s="303">
        <f>'Mod Wolfe v1'!J5*$V$4</f>
        <v>50</v>
      </c>
      <c r="W5" s="303">
        <f>V5-T5</f>
        <v>30</v>
      </c>
      <c r="X5" s="303" t="s">
        <v>160</v>
      </c>
    </row>
    <row r="6" spans="2:24" ht="18" x14ac:dyDescent="0.35">
      <c r="B6" s="88" t="s">
        <v>18</v>
      </c>
      <c r="C6" s="87">
        <f>H28/1000</f>
        <v>0</v>
      </c>
      <c r="D6" s="8"/>
      <c r="E6">
        <v>2</v>
      </c>
      <c r="F6" s="88" t="s">
        <v>307</v>
      </c>
      <c r="G6" s="313">
        <v>0.2</v>
      </c>
      <c r="H6" s="312" t="s">
        <v>14</v>
      </c>
      <c r="I6" s="316">
        <v>2</v>
      </c>
      <c r="J6" s="38" t="s">
        <v>19</v>
      </c>
      <c r="K6" s="50">
        <v>50</v>
      </c>
      <c r="L6" s="160" t="s">
        <v>16</v>
      </c>
      <c r="M6" s="86" t="s">
        <v>164</v>
      </c>
      <c r="N6" s="51">
        <v>0</v>
      </c>
      <c r="O6" s="166" t="s">
        <v>12</v>
      </c>
      <c r="S6" s="70" t="s">
        <v>19</v>
      </c>
      <c r="T6" s="70">
        <v>20</v>
      </c>
      <c r="U6" s="302" t="s">
        <v>16</v>
      </c>
      <c r="V6" s="303">
        <f>'Mod Wolfe v1'!J6*$V$4</f>
        <v>50</v>
      </c>
      <c r="W6" s="303">
        <f t="shared" ref="W6:W14" si="0">V6-T6</f>
        <v>30</v>
      </c>
      <c r="X6" s="303" t="s">
        <v>160</v>
      </c>
    </row>
    <row r="7" spans="2:24" ht="18" x14ac:dyDescent="0.35">
      <c r="B7" s="88" t="s">
        <v>20</v>
      </c>
      <c r="C7" s="87">
        <f>H29/1000</f>
        <v>0</v>
      </c>
      <c r="D7" s="8"/>
      <c r="E7">
        <v>2</v>
      </c>
      <c r="F7" s="88" t="s">
        <v>308</v>
      </c>
      <c r="G7" s="313">
        <v>0.45</v>
      </c>
      <c r="H7" s="312" t="s">
        <v>12</v>
      </c>
      <c r="I7" s="316">
        <v>2</v>
      </c>
      <c r="J7" s="38" t="s">
        <v>120</v>
      </c>
      <c r="K7" s="50">
        <v>121.55101075777277</v>
      </c>
      <c r="L7" s="160" t="s">
        <v>16</v>
      </c>
      <c r="M7" s="86" t="s">
        <v>336</v>
      </c>
      <c r="N7" s="51">
        <v>0.2</v>
      </c>
      <c r="O7" s="166" t="s">
        <v>12</v>
      </c>
      <c r="P7" t="s">
        <v>336</v>
      </c>
      <c r="Q7">
        <v>0.2</v>
      </c>
      <c r="R7" t="s">
        <v>371</v>
      </c>
      <c r="S7" s="70" t="s">
        <v>120</v>
      </c>
      <c r="T7" s="70">
        <v>100</v>
      </c>
      <c r="U7" s="302" t="s">
        <v>16</v>
      </c>
      <c r="V7" s="303">
        <f>'Mod Wolfe v1'!J7*$V$4*(205.64/169.18)</f>
        <v>121.55101075777277</v>
      </c>
      <c r="W7" s="303">
        <f t="shared" si="0"/>
        <v>21.551010757772772</v>
      </c>
      <c r="X7" s="303" t="s">
        <v>160</v>
      </c>
    </row>
    <row r="8" spans="2:24" ht="18" x14ac:dyDescent="0.35">
      <c r="B8" s="88" t="s">
        <v>24</v>
      </c>
      <c r="C8" s="87">
        <f>H33/1000</f>
        <v>0</v>
      </c>
      <c r="D8" s="8"/>
      <c r="E8">
        <v>2</v>
      </c>
      <c r="F8" s="88" t="s">
        <v>21</v>
      </c>
      <c r="G8" s="313">
        <v>1</v>
      </c>
      <c r="H8" s="312" t="s">
        <v>12</v>
      </c>
      <c r="I8" s="316">
        <v>2</v>
      </c>
      <c r="J8" s="38" t="s">
        <v>121</v>
      </c>
      <c r="K8" s="50">
        <v>127.10105330594862</v>
      </c>
      <c r="L8" s="160" t="s">
        <v>16</v>
      </c>
      <c r="M8" s="86" t="s">
        <v>23</v>
      </c>
      <c r="N8" s="51">
        <v>0.1</v>
      </c>
      <c r="O8" s="166" t="s">
        <v>12</v>
      </c>
      <c r="P8" t="s">
        <v>23</v>
      </c>
      <c r="Q8">
        <v>0.1</v>
      </c>
      <c r="R8" t="s">
        <v>372</v>
      </c>
      <c r="S8" s="70" t="s">
        <v>121</v>
      </c>
      <c r="T8" s="70">
        <v>50</v>
      </c>
      <c r="U8" s="302" t="s">
        <v>16</v>
      </c>
      <c r="V8" s="303">
        <f>'Mod Wolfe v1'!J8*$V$4*(337.269/265.355)</f>
        <v>127.10105330594862</v>
      </c>
      <c r="W8" s="303">
        <f t="shared" si="0"/>
        <v>77.101053305948625</v>
      </c>
      <c r="X8" s="303" t="s">
        <v>160</v>
      </c>
    </row>
    <row r="9" spans="2:24" ht="18" x14ac:dyDescent="0.35">
      <c r="B9" s="88" t="s">
        <v>28</v>
      </c>
      <c r="C9" s="87">
        <f>C10-SUM(C5:C8)</f>
        <v>2.3895996239535462</v>
      </c>
      <c r="D9" s="8"/>
      <c r="E9">
        <v>2</v>
      </c>
      <c r="F9" s="88" t="s">
        <v>25</v>
      </c>
      <c r="G9" s="313">
        <v>0.16</v>
      </c>
      <c r="H9" s="312" t="s">
        <v>12</v>
      </c>
      <c r="I9" s="316">
        <v>2</v>
      </c>
      <c r="J9" s="38" t="s">
        <v>30</v>
      </c>
      <c r="K9" s="50">
        <v>100</v>
      </c>
      <c r="L9" s="160" t="s">
        <v>16</v>
      </c>
      <c r="M9" s="86" t="s">
        <v>27</v>
      </c>
      <c r="N9" s="51">
        <v>0.1</v>
      </c>
      <c r="O9" s="166" t="s">
        <v>12</v>
      </c>
      <c r="P9" t="s">
        <v>27</v>
      </c>
      <c r="Q9">
        <v>0.1</v>
      </c>
      <c r="S9" s="70" t="s">
        <v>30</v>
      </c>
      <c r="T9" s="70">
        <v>50</v>
      </c>
      <c r="U9" s="302" t="s">
        <v>16</v>
      </c>
      <c r="V9" s="303">
        <f>'Mod Wolfe v1'!J9*$V$4</f>
        <v>100</v>
      </c>
      <c r="W9" s="303">
        <f t="shared" si="0"/>
        <v>50</v>
      </c>
      <c r="X9" s="303" t="s">
        <v>160</v>
      </c>
    </row>
    <row r="10" spans="2:24" ht="18.600000000000001" thickBot="1" x14ac:dyDescent="0.4">
      <c r="B10" s="89" t="s">
        <v>32</v>
      </c>
      <c r="C10" s="90">
        <f>SUM('Mod Wolfe v1 calcs'!B54:B66,'Mod Wolfe v1 calcs'!B69:B81)/1000</f>
        <v>2.3895996239535462</v>
      </c>
      <c r="D10" s="8"/>
      <c r="E10">
        <v>2</v>
      </c>
      <c r="F10" s="88" t="s">
        <v>29</v>
      </c>
      <c r="G10" s="313">
        <v>0.15</v>
      </c>
      <c r="H10" s="312" t="s">
        <v>12</v>
      </c>
      <c r="I10" s="316">
        <v>2</v>
      </c>
      <c r="J10" s="38" t="s">
        <v>34</v>
      </c>
      <c r="K10" s="50">
        <v>100</v>
      </c>
      <c r="L10" s="160" t="s">
        <v>16</v>
      </c>
      <c r="M10" s="86" t="s">
        <v>31</v>
      </c>
      <c r="N10" s="51">
        <v>0.01</v>
      </c>
      <c r="O10" s="166" t="s">
        <v>12</v>
      </c>
      <c r="P10" t="s">
        <v>31</v>
      </c>
      <c r="Q10">
        <v>0.01</v>
      </c>
      <c r="S10" s="70" t="s">
        <v>34</v>
      </c>
      <c r="T10" s="70">
        <v>50</v>
      </c>
      <c r="U10" s="302" t="s">
        <v>16</v>
      </c>
      <c r="V10" s="303">
        <f>'Mod Wolfe v1'!J10*$V$4</f>
        <v>100</v>
      </c>
      <c r="W10" s="303">
        <f t="shared" si="0"/>
        <v>50</v>
      </c>
      <c r="X10" s="303" t="s">
        <v>160</v>
      </c>
    </row>
    <row r="11" spans="2:24" ht="18.600000000000001" thickBot="1" x14ac:dyDescent="0.4">
      <c r="E11">
        <v>2</v>
      </c>
      <c r="F11" s="88" t="s">
        <v>33</v>
      </c>
      <c r="G11" s="313">
        <v>0.6</v>
      </c>
      <c r="H11" s="312" t="s">
        <v>12</v>
      </c>
      <c r="I11" s="316">
        <v>2</v>
      </c>
      <c r="J11" s="38" t="s">
        <v>122</v>
      </c>
      <c r="K11" s="50">
        <v>100</v>
      </c>
      <c r="L11" s="160" t="s">
        <v>16</v>
      </c>
      <c r="M11" s="86" t="s">
        <v>35</v>
      </c>
      <c r="N11" s="51">
        <v>0.1</v>
      </c>
      <c r="O11" s="166" t="s">
        <v>12</v>
      </c>
      <c r="P11" t="s">
        <v>35</v>
      </c>
      <c r="Q11">
        <v>0.1</v>
      </c>
      <c r="S11" s="70" t="s">
        <v>122</v>
      </c>
      <c r="T11" s="70">
        <v>50</v>
      </c>
      <c r="U11" s="302" t="s">
        <v>16</v>
      </c>
      <c r="V11" s="303">
        <f>'Mod Wolfe v1'!J11*$V$4</f>
        <v>100</v>
      </c>
      <c r="W11" s="303">
        <f t="shared" si="0"/>
        <v>50</v>
      </c>
      <c r="X11" s="303" t="s">
        <v>160</v>
      </c>
    </row>
    <row r="12" spans="2:24" ht="18.600000000000001" thickBot="1" x14ac:dyDescent="0.4">
      <c r="B12" s="96" t="s">
        <v>40</v>
      </c>
      <c r="C12" s="92"/>
      <c r="F12" s="88" t="s">
        <v>52</v>
      </c>
      <c r="G12" s="313">
        <v>0</v>
      </c>
      <c r="H12" s="312" t="s">
        <v>12</v>
      </c>
      <c r="I12" s="316">
        <v>2</v>
      </c>
      <c r="J12" s="38" t="s">
        <v>42</v>
      </c>
      <c r="K12" s="50">
        <v>50</v>
      </c>
      <c r="L12" s="160" t="s">
        <v>16</v>
      </c>
      <c r="M12" s="86" t="s">
        <v>39</v>
      </c>
      <c r="N12" s="51">
        <v>0.01</v>
      </c>
      <c r="O12" s="166" t="s">
        <v>12</v>
      </c>
      <c r="P12" t="s">
        <v>39</v>
      </c>
      <c r="Q12">
        <v>0.01</v>
      </c>
      <c r="S12" s="70" t="s">
        <v>42</v>
      </c>
      <c r="T12" s="70">
        <v>1</v>
      </c>
      <c r="U12" s="302" t="s">
        <v>16</v>
      </c>
      <c r="V12" s="303">
        <f>'Mod Wolfe v1'!J12*$V$4</f>
        <v>50</v>
      </c>
      <c r="W12" s="303">
        <f t="shared" si="0"/>
        <v>49</v>
      </c>
      <c r="X12" s="303" t="s">
        <v>160</v>
      </c>
    </row>
    <row r="13" spans="2:24" ht="18" x14ac:dyDescent="0.35">
      <c r="B13" s="98" t="s">
        <v>44</v>
      </c>
      <c r="C13" s="91">
        <f>H50</f>
        <v>0</v>
      </c>
      <c r="D13" s="8"/>
      <c r="F13" s="88" t="s">
        <v>125</v>
      </c>
      <c r="G13" s="313">
        <v>0.12</v>
      </c>
      <c r="H13" s="312" t="s">
        <v>12</v>
      </c>
      <c r="I13" s="316">
        <v>3</v>
      </c>
      <c r="J13" s="38" t="s">
        <v>45</v>
      </c>
      <c r="K13" s="50">
        <v>100</v>
      </c>
      <c r="L13" s="160" t="s">
        <v>16</v>
      </c>
      <c r="M13" s="86" t="s">
        <v>43</v>
      </c>
      <c r="N13" s="51">
        <v>0.1</v>
      </c>
      <c r="O13" s="166" t="s">
        <v>12</v>
      </c>
      <c r="P13" t="s">
        <v>43</v>
      </c>
      <c r="Q13">
        <v>0.1</v>
      </c>
      <c r="S13" s="70" t="s">
        <v>45</v>
      </c>
      <c r="T13" s="70">
        <v>50</v>
      </c>
      <c r="U13" s="302" t="s">
        <v>16</v>
      </c>
      <c r="V13" s="303">
        <f>'Mod Wolfe v1'!J13*$V$4</f>
        <v>100</v>
      </c>
      <c r="W13" s="303">
        <f t="shared" si="0"/>
        <v>50</v>
      </c>
      <c r="X13" s="303" t="s">
        <v>160</v>
      </c>
    </row>
    <row r="14" spans="2:24" ht="18" x14ac:dyDescent="0.35">
      <c r="B14" s="88" t="s">
        <v>47</v>
      </c>
      <c r="C14" s="87">
        <f>H53</f>
        <v>0</v>
      </c>
      <c r="D14" s="8"/>
      <c r="F14" s="190" t="s">
        <v>385</v>
      </c>
      <c r="G14" s="313">
        <v>1.6</v>
      </c>
      <c r="H14" s="312" t="s">
        <v>37</v>
      </c>
      <c r="I14" s="316">
        <v>3</v>
      </c>
      <c r="J14" s="38" t="s">
        <v>49</v>
      </c>
      <c r="K14" s="77">
        <v>50</v>
      </c>
      <c r="L14" s="161" t="s">
        <v>16</v>
      </c>
      <c r="M14" s="86" t="s">
        <v>46</v>
      </c>
      <c r="N14" s="51">
        <v>0.1</v>
      </c>
      <c r="O14" s="166" t="s">
        <v>12</v>
      </c>
      <c r="P14" t="s">
        <v>46</v>
      </c>
      <c r="Q14">
        <v>0.1</v>
      </c>
      <c r="S14" s="70" t="s">
        <v>288</v>
      </c>
      <c r="T14" s="70">
        <v>50</v>
      </c>
      <c r="U14" s="302" t="s">
        <v>16</v>
      </c>
      <c r="V14" s="303">
        <f>'Mod Wolfe v1'!J14*$V$4</f>
        <v>50</v>
      </c>
      <c r="W14" s="303">
        <f t="shared" si="0"/>
        <v>0</v>
      </c>
      <c r="X14" s="303" t="s">
        <v>160</v>
      </c>
    </row>
    <row r="15" spans="2:24" ht="18.600000000000001" thickBot="1" x14ac:dyDescent="0.4">
      <c r="B15" s="89" t="s">
        <v>51</v>
      </c>
      <c r="C15" s="90"/>
      <c r="D15" s="8"/>
      <c r="F15" s="190" t="s">
        <v>331</v>
      </c>
      <c r="G15" s="313">
        <v>15</v>
      </c>
      <c r="H15" s="312" t="s">
        <v>37</v>
      </c>
      <c r="I15" s="316">
        <v>3</v>
      </c>
      <c r="J15" s="304" t="s">
        <v>53</v>
      </c>
      <c r="K15" s="77">
        <v>1000</v>
      </c>
      <c r="L15" s="161" t="s">
        <v>37</v>
      </c>
      <c r="M15" s="86" t="s">
        <v>50</v>
      </c>
      <c r="N15" s="51">
        <v>0.1</v>
      </c>
      <c r="O15" s="166" t="s">
        <v>12</v>
      </c>
      <c r="P15" t="s">
        <v>50</v>
      </c>
      <c r="Q15">
        <v>0.1</v>
      </c>
      <c r="S15" s="70" t="s">
        <v>53</v>
      </c>
      <c r="T15" s="70">
        <v>1000</v>
      </c>
      <c r="U15" s="302" t="s">
        <v>37</v>
      </c>
      <c r="V15" s="70"/>
      <c r="W15" s="70"/>
      <c r="X15" s="70"/>
    </row>
    <row r="16" spans="2:24" ht="18.600000000000001" thickBot="1" x14ac:dyDescent="0.4">
      <c r="F16" s="190" t="s">
        <v>327</v>
      </c>
      <c r="G16" s="313">
        <v>10</v>
      </c>
      <c r="H16" s="312" t="s">
        <v>37</v>
      </c>
      <c r="I16" s="316">
        <v>3</v>
      </c>
      <c r="J16" s="305" t="s">
        <v>56</v>
      </c>
      <c r="K16" s="80">
        <f>SUMIFS(K5:K15,L5:L15,"mL")</f>
        <v>1000</v>
      </c>
      <c r="L16" s="162" t="s">
        <v>37</v>
      </c>
      <c r="M16" s="86" t="s">
        <v>54</v>
      </c>
      <c r="N16" s="51">
        <f>1000-SUMIF(O4:O15,"mL",N4:N15)</f>
        <v>950</v>
      </c>
      <c r="O16" s="166" t="s">
        <v>37</v>
      </c>
      <c r="S16" s="7" t="s">
        <v>376</v>
      </c>
      <c r="W16" t="s">
        <v>375</v>
      </c>
    </row>
    <row r="17" spans="3:23" ht="18.600000000000001" thickBot="1" x14ac:dyDescent="0.4">
      <c r="F17" s="88" t="s">
        <v>48</v>
      </c>
      <c r="G17" s="313">
        <v>0</v>
      </c>
      <c r="H17" s="312" t="s">
        <v>37</v>
      </c>
      <c r="I17" s="316">
        <v>3</v>
      </c>
      <c r="M17" s="73" t="s">
        <v>56</v>
      </c>
      <c r="N17" s="81">
        <f>SUMIFS(N4:N16,O4:O16,"mL")</f>
        <v>1000</v>
      </c>
      <c r="O17" s="171" t="s">
        <v>57</v>
      </c>
      <c r="S17" t="s">
        <v>124</v>
      </c>
      <c r="T17">
        <v>10</v>
      </c>
      <c r="U17" t="s">
        <v>37</v>
      </c>
      <c r="W17">
        <f t="shared" ref="W17:W24" si="1">VLOOKUP(S17,$M$4:$N$15,2,FALSE)</f>
        <v>50</v>
      </c>
    </row>
    <row r="18" spans="3:23" ht="18.600000000000001" thickBot="1" x14ac:dyDescent="0.4">
      <c r="F18" s="190" t="s">
        <v>55</v>
      </c>
      <c r="G18" s="313">
        <v>1</v>
      </c>
      <c r="H18" s="312" t="s">
        <v>37</v>
      </c>
      <c r="I18" s="316">
        <v>3</v>
      </c>
      <c r="J18" s="7" t="s">
        <v>385</v>
      </c>
      <c r="M18" s="319" t="s">
        <v>382</v>
      </c>
      <c r="N18" s="320">
        <f>1*(N4/N17)</f>
        <v>0.05</v>
      </c>
      <c r="O18" s="321" t="s">
        <v>383</v>
      </c>
      <c r="P18" s="1"/>
      <c r="Q18" s="1"/>
      <c r="S18" t="s">
        <v>164</v>
      </c>
      <c r="T18">
        <v>1.5</v>
      </c>
      <c r="U18" t="s">
        <v>12</v>
      </c>
      <c r="W18">
        <f t="shared" si="1"/>
        <v>0</v>
      </c>
    </row>
    <row r="19" spans="3:23" ht="18.600000000000001" thickBot="1" x14ac:dyDescent="0.4">
      <c r="F19" s="190" t="s">
        <v>398</v>
      </c>
      <c r="G19" s="313">
        <v>2.5</v>
      </c>
      <c r="H19" s="312" t="s">
        <v>37</v>
      </c>
      <c r="I19" s="316">
        <v>4</v>
      </c>
      <c r="J19" s="309" t="s">
        <v>6</v>
      </c>
      <c r="K19" s="44" t="s">
        <v>7</v>
      </c>
      <c r="L19" s="45" t="s">
        <v>8</v>
      </c>
      <c r="M19" s="7" t="s">
        <v>386</v>
      </c>
      <c r="S19" t="s">
        <v>168</v>
      </c>
      <c r="T19">
        <v>70</v>
      </c>
      <c r="U19" t="s">
        <v>160</v>
      </c>
      <c r="W19" t="e">
        <f t="shared" si="1"/>
        <v>#N/A</v>
      </c>
    </row>
    <row r="20" spans="3:23" ht="18" x14ac:dyDescent="0.35">
      <c r="F20" s="46" t="s">
        <v>53</v>
      </c>
      <c r="G20" s="51">
        <f>G21-(G19+G16+G15+G14)</f>
        <v>970.9</v>
      </c>
      <c r="H20" s="312" t="s">
        <v>37</v>
      </c>
      <c r="I20" s="316">
        <v>1</v>
      </c>
      <c r="J20" s="86" t="s">
        <v>298</v>
      </c>
      <c r="K20" s="51">
        <v>50</v>
      </c>
      <c r="L20" s="166" t="s">
        <v>12</v>
      </c>
      <c r="M20" s="60" t="s">
        <v>6</v>
      </c>
      <c r="N20" s="61" t="s">
        <v>7</v>
      </c>
      <c r="O20" s="62" t="s">
        <v>8</v>
      </c>
      <c r="P20" s="126"/>
      <c r="Q20" s="126"/>
      <c r="S20" t="s">
        <v>163</v>
      </c>
      <c r="T20">
        <v>100</v>
      </c>
      <c r="U20" t="s">
        <v>160</v>
      </c>
      <c r="W20" t="e">
        <f t="shared" si="1"/>
        <v>#N/A</v>
      </c>
    </row>
    <row r="21" spans="3:23" ht="18.600000000000001" thickBot="1" x14ac:dyDescent="0.4">
      <c r="F21" s="73" t="s">
        <v>56</v>
      </c>
      <c r="G21" s="51">
        <v>1000</v>
      </c>
      <c r="H21" s="317" t="s">
        <v>37</v>
      </c>
      <c r="I21" s="318"/>
      <c r="J21" s="86" t="s">
        <v>330</v>
      </c>
      <c r="K21" s="51">
        <v>1000</v>
      </c>
      <c r="L21" s="166" t="s">
        <v>37</v>
      </c>
      <c r="M21" s="25" t="s">
        <v>124</v>
      </c>
      <c r="N21" s="51">
        <v>36.46</v>
      </c>
      <c r="O21" s="72" t="s">
        <v>12</v>
      </c>
      <c r="S21" t="s">
        <v>31</v>
      </c>
      <c r="T21">
        <v>6</v>
      </c>
      <c r="U21" t="s">
        <v>160</v>
      </c>
      <c r="W21">
        <f t="shared" si="1"/>
        <v>0.01</v>
      </c>
    </row>
    <row r="22" spans="3:23" ht="18" x14ac:dyDescent="0.35">
      <c r="F22" t="s">
        <v>384</v>
      </c>
      <c r="G22">
        <f>N18*G16/G21*1000</f>
        <v>0.5</v>
      </c>
      <c r="H22" s="300" t="s">
        <v>357</v>
      </c>
      <c r="I22" s="1"/>
      <c r="J22" s="212" t="s">
        <v>56</v>
      </c>
      <c r="K22" s="82">
        <f>SUMIFS(K20:K21,L20:L21,"mL")</f>
        <v>1000</v>
      </c>
      <c r="L22" s="166" t="s">
        <v>57</v>
      </c>
      <c r="M22" s="25" t="s">
        <v>54</v>
      </c>
      <c r="N22" s="51">
        <v>1000</v>
      </c>
      <c r="O22" s="72" t="s">
        <v>37</v>
      </c>
      <c r="S22" t="s">
        <v>35</v>
      </c>
      <c r="T22">
        <v>190</v>
      </c>
      <c r="U22" t="s">
        <v>160</v>
      </c>
      <c r="W22">
        <f t="shared" si="1"/>
        <v>0.1</v>
      </c>
    </row>
    <row r="23" spans="3:23" ht="18.600000000000001" thickBot="1" x14ac:dyDescent="0.4">
      <c r="D23">
        <f>K26*G15/G21</f>
        <v>0.52695000000000003</v>
      </c>
      <c r="F23" s="7"/>
      <c r="G23" s="97"/>
      <c r="J23" s="213"/>
      <c r="K23" s="133"/>
      <c r="L23" s="49"/>
      <c r="M23" s="74" t="s">
        <v>56</v>
      </c>
      <c r="N23" s="82">
        <f>SUMIFS(N21:N22,O21:O22,"mL")</f>
        <v>1000</v>
      </c>
      <c r="O23" s="72" t="s">
        <v>57</v>
      </c>
      <c r="S23" t="s">
        <v>179</v>
      </c>
      <c r="T23">
        <v>2</v>
      </c>
      <c r="U23" t="s">
        <v>160</v>
      </c>
      <c r="W23" t="e">
        <f t="shared" si="1"/>
        <v>#N/A</v>
      </c>
    </row>
    <row r="24" spans="3:23" ht="15" thickBot="1" x14ac:dyDescent="0.35">
      <c r="C24" t="s">
        <v>298</v>
      </c>
      <c r="D24">
        <f>K20*G14/G21</f>
        <v>0.08</v>
      </c>
      <c r="E24" t="s">
        <v>97</v>
      </c>
      <c r="F24" s="7"/>
      <c r="G24" s="7">
        <f>36.46*40/1000</f>
        <v>1.4584000000000001</v>
      </c>
      <c r="H24" s="7"/>
      <c r="I24" s="7"/>
      <c r="J24" s="7" t="s">
        <v>41</v>
      </c>
      <c r="M24" s="7" t="s">
        <v>397</v>
      </c>
      <c r="P24" s="1"/>
      <c r="Q24" s="1"/>
      <c r="S24" t="s">
        <v>43</v>
      </c>
      <c r="T24">
        <v>24</v>
      </c>
      <c r="U24" t="s">
        <v>160</v>
      </c>
      <c r="W24">
        <f t="shared" si="1"/>
        <v>0.1</v>
      </c>
    </row>
    <row r="25" spans="3:23" ht="18" x14ac:dyDescent="0.35">
      <c r="D25">
        <f>D24/50*1040</f>
        <v>1.6640000000000001</v>
      </c>
      <c r="E25" t="s">
        <v>37</v>
      </c>
      <c r="G25" s="1"/>
      <c r="H25" s="8"/>
      <c r="I25" s="8"/>
      <c r="J25" s="43" t="s">
        <v>6</v>
      </c>
      <c r="K25" s="44" t="s">
        <v>7</v>
      </c>
      <c r="L25" s="45" t="s">
        <v>8</v>
      </c>
      <c r="M25" s="60" t="s">
        <v>6</v>
      </c>
      <c r="N25" s="61" t="s">
        <v>7</v>
      </c>
      <c r="O25" s="62" t="s">
        <v>8</v>
      </c>
      <c r="R25" s="7"/>
      <c r="S25" t="s">
        <v>50</v>
      </c>
      <c r="T25">
        <v>36</v>
      </c>
      <c r="U25" t="s">
        <v>160</v>
      </c>
    </row>
    <row r="26" spans="3:23" ht="18" x14ac:dyDescent="0.35">
      <c r="F26" s="301">
        <f>10^(-G26)</f>
        <v>7.9432823472428065E-6</v>
      </c>
      <c r="G26">
        <v>5.0999999999999996</v>
      </c>
      <c r="H26" s="8"/>
      <c r="I26" s="8"/>
      <c r="J26" s="86" t="s">
        <v>195</v>
      </c>
      <c r="K26" s="51">
        <v>35.130000000000003</v>
      </c>
      <c r="L26" s="166" t="s">
        <v>12</v>
      </c>
      <c r="M26" s="25" t="s">
        <v>125</v>
      </c>
      <c r="N26" s="51">
        <v>40</v>
      </c>
      <c r="O26" s="72" t="s">
        <v>12</v>
      </c>
      <c r="R26" s="7"/>
      <c r="S26" s="63"/>
      <c r="T26" s="51"/>
      <c r="U26" s="64"/>
    </row>
    <row r="27" spans="3:23" ht="18" x14ac:dyDescent="0.35">
      <c r="F27" s="301">
        <f t="shared" ref="F27:F30" si="2">10^(-G27)</f>
        <v>3.9810717055349657E-6</v>
      </c>
      <c r="G27">
        <v>5.4</v>
      </c>
      <c r="H27" s="8"/>
      <c r="I27" s="8"/>
      <c r="J27" s="86" t="s">
        <v>330</v>
      </c>
      <c r="K27" s="51">
        <v>1000</v>
      </c>
      <c r="L27" s="166" t="s">
        <v>37</v>
      </c>
      <c r="M27" s="25" t="s">
        <v>54</v>
      </c>
      <c r="N27" s="51">
        <v>1000</v>
      </c>
      <c r="O27" s="72" t="s">
        <v>37</v>
      </c>
      <c r="S27" s="76" t="s">
        <v>284</v>
      </c>
      <c r="T27" s="101"/>
      <c r="U27" s="78"/>
      <c r="W27" t="s">
        <v>388</v>
      </c>
    </row>
    <row r="28" spans="3:23" ht="18" x14ac:dyDescent="0.35">
      <c r="F28" s="301">
        <f t="shared" si="2"/>
        <v>5.0118723362727212E-3</v>
      </c>
      <c r="G28">
        <v>2.2999999999999998</v>
      </c>
      <c r="H28" s="8"/>
      <c r="I28" s="8"/>
      <c r="J28" s="212" t="s">
        <v>56</v>
      </c>
      <c r="K28" s="82">
        <f>SUMIFS(K26:K27,L26:L27,"mL")</f>
        <v>1000</v>
      </c>
      <c r="L28" s="166" t="s">
        <v>57</v>
      </c>
      <c r="M28" s="74" t="s">
        <v>56</v>
      </c>
      <c r="N28" s="82">
        <f>SUMIFS(N26:N27,O26:O27,"mL")</f>
        <v>1000</v>
      </c>
      <c r="O28" s="72" t="s">
        <v>57</v>
      </c>
      <c r="P28" s="7"/>
      <c r="Q28" s="7"/>
      <c r="R28">
        <v>1.08</v>
      </c>
      <c r="S28" s="76">
        <v>1.08</v>
      </c>
      <c r="T28" s="101"/>
      <c r="U28" s="78"/>
      <c r="W28">
        <v>9.7250000000000003E-2</v>
      </c>
    </row>
    <row r="29" spans="3:23" ht="18.600000000000001" thickBot="1" x14ac:dyDescent="0.4">
      <c r="F29" s="301">
        <f t="shared" si="2"/>
        <v>3.1622776601683764E-3</v>
      </c>
      <c r="G29">
        <v>2.5</v>
      </c>
      <c r="H29" s="8"/>
      <c r="I29" s="8"/>
      <c r="J29" s="213"/>
      <c r="K29" s="133"/>
      <c r="L29" s="49"/>
      <c r="P29" s="7"/>
      <c r="Q29" s="7"/>
      <c r="R29" t="s">
        <v>387</v>
      </c>
      <c r="S29">
        <v>8.1430000000000007</v>
      </c>
      <c r="W29">
        <v>2.903E-2</v>
      </c>
    </row>
    <row r="30" spans="3:23" x14ac:dyDescent="0.3">
      <c r="F30" s="301">
        <f t="shared" si="2"/>
        <v>8.0909589917838198E-2</v>
      </c>
      <c r="G30" s="1">
        <v>1.0920000000000001</v>
      </c>
      <c r="H30" s="8"/>
      <c r="I30" s="8"/>
      <c r="J30" s="8"/>
      <c r="K30" s="83"/>
    </row>
    <row r="31" spans="3:23" x14ac:dyDescent="0.3">
      <c r="G31" s="1"/>
      <c r="H31" s="8"/>
      <c r="I31" s="8"/>
      <c r="J31" s="8"/>
    </row>
    <row r="32" spans="3:23" x14ac:dyDescent="0.3">
      <c r="F32" s="176">
        <f>(F28-F27)/(F26-F27)</f>
        <v>1263.9134355584445</v>
      </c>
      <c r="G32" s="1" t="s">
        <v>390</v>
      </c>
      <c r="H32" s="8"/>
      <c r="I32" s="8"/>
      <c r="J32" s="8"/>
    </row>
    <row r="33" spans="3:15" x14ac:dyDescent="0.3">
      <c r="F33" s="176">
        <f>(F29-F27)/(F26-F27)</f>
        <v>797.10466556657207</v>
      </c>
      <c r="G33" s="1" t="s">
        <v>391</v>
      </c>
      <c r="H33" s="8"/>
      <c r="I33" s="8"/>
      <c r="J33" s="8"/>
    </row>
    <row r="34" spans="3:15" x14ac:dyDescent="0.3">
      <c r="G34" s="1"/>
      <c r="H34" s="8"/>
      <c r="I34" s="8"/>
      <c r="J34" s="8"/>
      <c r="N34">
        <f>25/3.09</f>
        <v>8.0906148867313927</v>
      </c>
    </row>
    <row r="35" spans="3:15" x14ac:dyDescent="0.3">
      <c r="G35" s="1"/>
      <c r="H35" s="8"/>
      <c r="I35" s="8"/>
      <c r="J35" s="8"/>
      <c r="N35">
        <f>N21/N34</f>
        <v>4.5064559999999991</v>
      </c>
    </row>
    <row r="36" spans="3:15" x14ac:dyDescent="0.3">
      <c r="G36" s="1"/>
      <c r="H36" s="8"/>
      <c r="I36" s="8"/>
      <c r="J36" s="8"/>
      <c r="M36" s="42"/>
      <c r="N36" s="42"/>
      <c r="O36" s="7"/>
    </row>
    <row r="37" spans="3:15" x14ac:dyDescent="0.3">
      <c r="G37" s="1"/>
      <c r="H37" s="8"/>
      <c r="I37" s="8"/>
      <c r="J37" s="8"/>
      <c r="M37" s="7"/>
      <c r="N37" s="7">
        <f>1*81/1000</f>
        <v>8.1000000000000003E-2</v>
      </c>
      <c r="O37" s="7" t="s">
        <v>383</v>
      </c>
    </row>
    <row r="38" spans="3:15" x14ac:dyDescent="0.3">
      <c r="G38" s="1"/>
      <c r="H38" s="8"/>
      <c r="I38" s="8"/>
      <c r="J38" s="8"/>
      <c r="M38">
        <v>1.5</v>
      </c>
      <c r="N38" t="s">
        <v>97</v>
      </c>
      <c r="O38">
        <v>257.08</v>
      </c>
    </row>
    <row r="39" spans="3:15" x14ac:dyDescent="0.3">
      <c r="G39" s="1"/>
      <c r="H39" s="8"/>
      <c r="I39" s="8"/>
      <c r="J39" s="8"/>
      <c r="M39">
        <f>M38/O38</f>
        <v>5.8347596079041551E-3</v>
      </c>
      <c r="N39" t="s">
        <v>300</v>
      </c>
    </row>
    <row r="40" spans="3:15" x14ac:dyDescent="0.3">
      <c r="G40" s="1"/>
      <c r="H40" s="8"/>
      <c r="I40" s="8"/>
      <c r="J40" s="8"/>
    </row>
    <row r="41" spans="3:15" x14ac:dyDescent="0.3">
      <c r="G41" s="1"/>
      <c r="H41" s="8"/>
      <c r="I41" s="8"/>
      <c r="J41" s="8"/>
    </row>
    <row r="42" spans="3:15" x14ac:dyDescent="0.3">
      <c r="G42" s="1"/>
      <c r="H42" s="8"/>
      <c r="I42" s="8"/>
      <c r="J42" s="8"/>
    </row>
    <row r="43" spans="3:15" x14ac:dyDescent="0.3">
      <c r="C43" t="s">
        <v>83</v>
      </c>
      <c r="G43" s="1"/>
      <c r="H43" s="8"/>
      <c r="I43" s="8"/>
      <c r="J43" s="8"/>
    </row>
    <row r="44" spans="3:15" x14ac:dyDescent="0.3">
      <c r="G44" s="1"/>
      <c r="H44" s="8"/>
      <c r="I44" s="8"/>
      <c r="J44" s="8"/>
    </row>
    <row r="45" spans="3:15" x14ac:dyDescent="0.3">
      <c r="G45" s="1"/>
      <c r="H45" s="8"/>
      <c r="I45" s="8"/>
      <c r="J45" s="8"/>
    </row>
    <row r="46" spans="3:15" x14ac:dyDescent="0.3">
      <c r="G46" s="1"/>
      <c r="H46" s="8"/>
      <c r="I46" s="8"/>
      <c r="J46" s="8"/>
    </row>
    <row r="47" spans="3:15" x14ac:dyDescent="0.3">
      <c r="G47" s="1"/>
      <c r="H47" s="8"/>
      <c r="I47" s="8"/>
      <c r="J47" s="8"/>
    </row>
    <row r="48" spans="3:15" x14ac:dyDescent="0.3">
      <c r="G48" s="1"/>
      <c r="H48" s="8"/>
      <c r="I48" s="8"/>
      <c r="J48" s="8"/>
    </row>
    <row r="49" spans="1:10" x14ac:dyDescent="0.3">
      <c r="G49" s="1"/>
      <c r="H49" s="8"/>
      <c r="I49" s="8"/>
      <c r="J49" s="8"/>
    </row>
    <row r="50" spans="1:10" x14ac:dyDescent="0.3">
      <c r="G50" s="1"/>
      <c r="H50" s="8"/>
      <c r="I50" s="8"/>
      <c r="J50" s="8"/>
    </row>
    <row r="51" spans="1:10" x14ac:dyDescent="0.3">
      <c r="G51" s="1"/>
      <c r="H51" s="8"/>
      <c r="I51" s="8"/>
      <c r="J51" s="8"/>
    </row>
    <row r="52" spans="1:10" x14ac:dyDescent="0.3">
      <c r="G52" s="1"/>
      <c r="H52" s="8"/>
      <c r="I52" s="8"/>
      <c r="J52" s="8"/>
    </row>
    <row r="53" spans="1:10" x14ac:dyDescent="0.3">
      <c r="G53" s="1"/>
      <c r="H53" s="8"/>
      <c r="I53" s="8"/>
      <c r="J53" s="8"/>
    </row>
    <row r="54" spans="1:10" x14ac:dyDescent="0.3">
      <c r="J54" s="8"/>
    </row>
    <row r="55" spans="1:10" x14ac:dyDescent="0.3">
      <c r="J55" s="8"/>
    </row>
    <row r="57" spans="1:10" x14ac:dyDescent="0.3">
      <c r="G57" s="83"/>
      <c r="H57" s="83"/>
      <c r="I57" s="83"/>
    </row>
    <row r="59" spans="1:10" x14ac:dyDescent="0.3">
      <c r="A59">
        <v>61</v>
      </c>
      <c r="B59">
        <v>-0.13</v>
      </c>
      <c r="C59">
        <v>-0.13</v>
      </c>
      <c r="E59">
        <f>SUM(B59:C59)/A59*30</f>
        <v>-0.12786885245901641</v>
      </c>
    </row>
    <row r="60" spans="1:10" x14ac:dyDescent="0.3">
      <c r="A60">
        <v>33</v>
      </c>
      <c r="B60">
        <v>-6.95</v>
      </c>
      <c r="C60">
        <v>0.2</v>
      </c>
    </row>
    <row r="61" spans="1:10" x14ac:dyDescent="0.3">
      <c r="A61">
        <v>23</v>
      </c>
      <c r="B61">
        <v>-7.67</v>
      </c>
      <c r="C61">
        <v>0.57999999999999996</v>
      </c>
    </row>
    <row r="62" spans="1:10" x14ac:dyDescent="0.3">
      <c r="A62">
        <v>18</v>
      </c>
      <c r="B62">
        <v>-18.02</v>
      </c>
      <c r="C62">
        <v>-0.51</v>
      </c>
    </row>
    <row r="63" spans="1:10" x14ac:dyDescent="0.3">
      <c r="A63">
        <v>25</v>
      </c>
      <c r="B63">
        <v>-49.15</v>
      </c>
      <c r="C63">
        <v>-1.18</v>
      </c>
    </row>
  </sheetData>
  <mergeCells count="3">
    <mergeCell ref="J3:L3"/>
    <mergeCell ref="F3:I3"/>
    <mergeCell ref="M2:O2"/>
  </mergeCells>
  <conditionalFormatting sqref="K30:L30 R30:S30 M33:Q33">
    <cfRule type="cellIs" dxfId="108" priority="18" operator="greaterThan">
      <formula>$H$28</formula>
    </cfRule>
  </conditionalFormatting>
  <conditionalFormatting sqref="K37:L37 R37:S37 M40:Q40">
    <cfRule type="cellIs" dxfId="107" priority="17" operator="greaterThan">
      <formula>$H$35</formula>
    </cfRule>
  </conditionalFormatting>
  <conditionalFormatting sqref="K38:L38 R38:S38 M41:Q41">
    <cfRule type="cellIs" dxfId="106" priority="16" operator="greaterThan">
      <formula>$H$36</formula>
    </cfRule>
  </conditionalFormatting>
  <conditionalFormatting sqref="K39:L39 R39:S39 M42:Q42">
    <cfRule type="cellIs" dxfId="105" priority="15" operator="greaterThan">
      <formula>$H$37</formula>
    </cfRule>
  </conditionalFormatting>
  <conditionalFormatting sqref="K40:L40 R40:S40 M43:Q43">
    <cfRule type="cellIs" dxfId="104" priority="14" operator="greaterThan">
      <formula>$H$38</formula>
    </cfRule>
  </conditionalFormatting>
  <conditionalFormatting sqref="K45:L45 R45:S45 M48:Q48">
    <cfRule type="cellIs" dxfId="103" priority="13" operator="greaterThan">
      <formula>$H$43</formula>
    </cfRule>
  </conditionalFormatting>
  <conditionalFormatting sqref="K46:L46 R46:S46 M49:Q49">
    <cfRule type="cellIs" dxfId="102" priority="12" operator="greaterThan">
      <formula>$H$44</formula>
    </cfRule>
  </conditionalFormatting>
  <conditionalFormatting sqref="K48:L48 R48:S48 M51:Q51">
    <cfRule type="cellIs" dxfId="101" priority="11" operator="greaterThan">
      <formula>$H$46</formula>
    </cfRule>
  </conditionalFormatting>
  <conditionalFormatting sqref="K49:L49 R49:S49 M52:Q52">
    <cfRule type="cellIs" dxfId="100" priority="10" operator="greaterThan">
      <formula>$H$47</formula>
    </cfRule>
  </conditionalFormatting>
  <conditionalFormatting sqref="K50:L50 R50:S50 M53:Q53">
    <cfRule type="cellIs" dxfId="99" priority="9" operator="greaterThan">
      <formula>$H$48</formula>
    </cfRule>
  </conditionalFormatting>
  <conditionalFormatting sqref="K51:L51 R51:S51 M54:Q54">
    <cfRule type="cellIs" dxfId="98" priority="8" operator="greaterThan">
      <formula>$H$49</formula>
    </cfRule>
  </conditionalFormatting>
  <conditionalFormatting sqref="K52:L52 R52:S52 M55:Q55">
    <cfRule type="cellIs" dxfId="97" priority="7" operator="greaterThan">
      <formula>$H$50</formula>
    </cfRule>
  </conditionalFormatting>
  <conditionalFormatting sqref="K53:L53 R53:S53 M56:Q56">
    <cfRule type="cellIs" dxfId="96" priority="6" operator="greaterThan">
      <formula>$H$51</formula>
    </cfRule>
  </conditionalFormatting>
  <conditionalFormatting sqref="K54:L54 R54:S54 M57:Q57">
    <cfRule type="cellIs" dxfId="95" priority="5" operator="greaterThan">
      <formula>$H$52</formula>
    </cfRule>
  </conditionalFormatting>
  <conditionalFormatting sqref="K55:L55 R55:S55 M58:Q58">
    <cfRule type="cellIs" dxfId="94" priority="4" operator="greaterThan">
      <formula>$H$53</formula>
    </cfRule>
  </conditionalFormatting>
  <conditionalFormatting sqref="R27:S27 P30:Q30 M38:O38">
    <cfRule type="cellIs" dxfId="93" priority="21" operator="greaterThan">
      <formula>$H$25</formula>
    </cfRule>
  </conditionalFormatting>
  <conditionalFormatting sqref="R28:S28 P31:Q31 M39:O39">
    <cfRule type="cellIs" dxfId="92" priority="20" operator="greaterThan">
      <formula>$H$26</formula>
    </cfRule>
  </conditionalFormatting>
  <conditionalFormatting sqref="R29:S29 P32:Q32 M40:O40">
    <cfRule type="cellIs" dxfId="91" priority="19" operator="greaterThan">
      <formula>$H$27</formula>
    </cfRule>
  </conditionalFormatting>
  <conditionalFormatting sqref="S17">
    <cfRule type="cellIs" dxfId="90" priority="3" operator="greaterThan">
      <formula>$H$28</formula>
    </cfRule>
  </conditionalFormatting>
  <conditionalFormatting sqref="S24">
    <cfRule type="cellIs" dxfId="89" priority="2" operator="greaterThan">
      <formula>$H$35</formula>
    </cfRule>
  </conditionalFormatting>
  <conditionalFormatting sqref="S25">
    <cfRule type="cellIs" dxfId="88" priority="1" operator="greaterThan">
      <formula>$H$36</formula>
    </cfRule>
  </conditionalFormatting>
  <pageMargins left="0.7" right="0.7" top="0.75" bottom="0.75" header="0.3" footer="0.3"/>
  <pageSetup scale="3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8DDC9360AADA42ADCF56D1C08BA83A" ma:contentTypeVersion="19" ma:contentTypeDescription="Create a new document." ma:contentTypeScope="" ma:versionID="7f80a0e15e7264840b875354c9f6f0e0">
  <xsd:schema xmlns:xsd="http://www.w3.org/2001/XMLSchema" xmlns:xs="http://www.w3.org/2001/XMLSchema" xmlns:p="http://schemas.microsoft.com/office/2006/metadata/properties" xmlns:ns2="ea0878a2-f03b-4598-b6b2-9e409d94144d" xmlns:ns3="5043b417-2d5c-4ff3-930b-0fb795b7d2ac" xmlns:ns4="efce84db-8738-4c7b-9bdc-65b9500871f6" targetNamespace="http://schemas.microsoft.com/office/2006/metadata/properties" ma:root="true" ma:fieldsID="207b01e0414ded193e63b1a3397f6a6d" ns2:_="" ns3:_="" ns4:_="">
    <xsd:import namespace="ea0878a2-f03b-4598-b6b2-9e409d94144d"/>
    <xsd:import namespace="5043b417-2d5c-4ff3-930b-0fb795b7d2ac"/>
    <xsd:import namespace="efce84db-8738-4c7b-9bdc-65b9500871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  <xsd:element ref="ns2:MBfRBiogas_38_01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0878a2-f03b-4598-b6b2-9e409d9414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2d55d72-5afa-45f9-90b6-e0708aeee9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BfRBiogas_38_01" ma:index="26" nillable="true" ma:displayName="MBfR Biogas_38_01" ma:format="Dropdown" ma:internalName="MBfRBiogas_38_01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43b417-2d5c-4ff3-930b-0fb795b7d2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e84db-8738-4c7b-9bdc-65b9500871f6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c66cffa-f6c1-412f-b297-7c621db83b59}" ma:internalName="TaxCatchAll" ma:showField="CatchAllData" ma:web="5043b417-2d5c-4ff3-930b-0fb795b7d2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a0878a2-f03b-4598-b6b2-9e409d94144d">
      <Terms xmlns="http://schemas.microsoft.com/office/infopath/2007/PartnerControls"/>
    </lcf76f155ced4ddcb4097134ff3c332f>
    <TaxCatchAll xmlns="efce84db-8738-4c7b-9bdc-65b9500871f6" xsi:nil="true"/>
    <MBfRBiogas_38_01 xmlns="ea0878a2-f03b-4598-b6b2-9e409d94144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2E5DCA-9D04-47BD-83AA-F24227FB7F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0878a2-f03b-4598-b6b2-9e409d94144d"/>
    <ds:schemaRef ds:uri="5043b417-2d5c-4ff3-930b-0fb795b7d2ac"/>
    <ds:schemaRef ds:uri="efce84db-8738-4c7b-9bdc-65b9500871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CE532F-8105-4181-8698-61129639E355}">
  <ds:schemaRefs>
    <ds:schemaRef ds:uri="http://schemas.microsoft.com/office/2006/metadata/properties"/>
    <ds:schemaRef ds:uri="http://schemas.microsoft.com/office/infopath/2007/PartnerControls"/>
    <ds:schemaRef ds:uri="ea0878a2-f03b-4598-b6b2-9e409d94144d"/>
    <ds:schemaRef ds:uri="efce84db-8738-4c7b-9bdc-65b9500871f6"/>
  </ds:schemaRefs>
</ds:datastoreItem>
</file>

<file path=customXml/itemProps3.xml><?xml version="1.0" encoding="utf-8"?>
<ds:datastoreItem xmlns:ds="http://schemas.openxmlformats.org/officeDocument/2006/customXml" ds:itemID="{BFBAB8FB-9BC8-4B34-BECB-DEA4F45B4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Sheet1</vt:lpstr>
      <vt:lpstr>DSMZ 120 v1</vt:lpstr>
      <vt:lpstr>DSMZ 120 v1.5</vt:lpstr>
      <vt:lpstr>DSMZ 120 v2</vt:lpstr>
      <vt:lpstr>DSMZ 120 v3</vt:lpstr>
      <vt:lpstr>DSMZ 120 v4</vt:lpstr>
      <vt:lpstr>Speece 1996</vt:lpstr>
      <vt:lpstr>Mod Wolfe v1</vt:lpstr>
      <vt:lpstr>Mod Wolfe v2 (HCl)</vt:lpstr>
      <vt:lpstr>Mod Wolfe v3</vt:lpstr>
      <vt:lpstr>Mod Wolfe v4</vt:lpstr>
      <vt:lpstr>Soln Comparisons</vt:lpstr>
      <vt:lpstr>Library</vt:lpstr>
      <vt:lpstr>DSMZ 120 v1 calcs</vt:lpstr>
      <vt:lpstr>DSMZ 120 v1.5 calcs</vt:lpstr>
      <vt:lpstr>DSMZ 120 v2 calcs</vt:lpstr>
      <vt:lpstr>DSMZ 120 v3 calcs</vt:lpstr>
      <vt:lpstr>DSMZ 120 v4 calcs</vt:lpstr>
      <vt:lpstr>RM 10.6 Speece 1996</vt:lpstr>
      <vt:lpstr>Mod Wolfe v1 calcs</vt:lpstr>
      <vt:lpstr>Mod Wolfe v2 calcs</vt:lpstr>
      <vt:lpstr>Mod Wolfe v3 calcs</vt:lpstr>
      <vt:lpstr>Mod Wolfe v4 calcs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Heather Dawn Nielsen</dc:creator>
  <cp:keywords/>
  <dc:description/>
  <cp:lastModifiedBy>Heather Nielsen</cp:lastModifiedBy>
  <cp:revision/>
  <cp:lastPrinted>2024-10-11T13:48:54Z</cp:lastPrinted>
  <dcterms:created xsi:type="dcterms:W3CDTF">2023-10-31T19:41:49Z</dcterms:created>
  <dcterms:modified xsi:type="dcterms:W3CDTF">2025-10-07T20:44:31Z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0x010100288DDC9360AADA42ADCF56D1C08BA83A</vt:lpwstr>
  </property>
  <property fmtid="{D5CDD505-2E9C-101B-9397-08002B2CF9AE}" pid="3" name="MediaServiceImageTags">
    <vt:lpwstr/>
  </property>
</Properties>
</file>