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esktop/farmscripts/MetData/Wind/"/>
    </mc:Choice>
  </mc:AlternateContent>
  <bookViews>
    <workbookView xWindow="0" yWindow="0" windowWidth="28800" windowHeight="18000" activeTab="1"/>
  </bookViews>
  <sheets>
    <sheet name="Euro" sheetId="1" r:id="rId1"/>
    <sheet name="July" sheetId="5" r:id="rId2"/>
    <sheet name="Sheet2" sheetId="3" r:id="rId3"/>
    <sheet name="Sheet1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5" l="1"/>
  <c r="G5" i="3"/>
  <c r="N25" i="1"/>
  <c r="O25" i="1"/>
  <c r="U15" i="5"/>
  <c r="U16" i="5"/>
  <c r="U17" i="5"/>
  <c r="R18" i="5"/>
  <c r="U18" i="5"/>
  <c r="U19" i="5"/>
  <c r="U20" i="5"/>
  <c r="U22" i="5"/>
  <c r="T15" i="5"/>
  <c r="T16" i="5"/>
  <c r="T17" i="5"/>
  <c r="T18" i="5"/>
  <c r="T19" i="5"/>
  <c r="T20" i="5"/>
  <c r="T22" i="5"/>
  <c r="B29" i="5"/>
  <c r="G28" i="5"/>
  <c r="J20" i="5"/>
  <c r="J24" i="5"/>
  <c r="J25" i="5"/>
  <c r="N25" i="5"/>
  <c r="O25" i="5"/>
  <c r="B15" i="5"/>
  <c r="B16" i="5"/>
  <c r="C25" i="5"/>
  <c r="E14" i="5"/>
  <c r="E15" i="5"/>
  <c r="E16" i="5"/>
  <c r="E17" i="5"/>
  <c r="E18" i="5"/>
  <c r="E19" i="5"/>
  <c r="F25" i="5"/>
  <c r="G25" i="5"/>
  <c r="D25" i="5"/>
  <c r="N22" i="5"/>
  <c r="A2" i="5"/>
  <c r="B10" i="5"/>
  <c r="L14" i="5"/>
  <c r="D14" i="5"/>
  <c r="X9" i="5"/>
  <c r="X11" i="5"/>
  <c r="Y11" i="5"/>
  <c r="P10" i="5"/>
  <c r="J10" i="5"/>
  <c r="M9" i="5"/>
  <c r="L9" i="5"/>
  <c r="J9" i="5"/>
  <c r="J6" i="5"/>
  <c r="O4" i="5"/>
  <c r="O6" i="5"/>
  <c r="O8" i="5"/>
  <c r="J8" i="5"/>
  <c r="Q7" i="5"/>
  <c r="J7" i="5"/>
  <c r="F6" i="5"/>
  <c r="F7" i="5"/>
  <c r="P6" i="5"/>
  <c r="K5" i="5"/>
  <c r="L2" i="5"/>
  <c r="J20" i="1"/>
  <c r="G11" i="3"/>
  <c r="G10" i="3"/>
  <c r="E9" i="3"/>
  <c r="D9" i="3"/>
  <c r="E5" i="3"/>
  <c r="D5" i="3"/>
  <c r="E7" i="3"/>
  <c r="D7" i="3"/>
  <c r="B5" i="3"/>
  <c r="E6" i="3"/>
  <c r="E4" i="3"/>
  <c r="E3" i="3"/>
  <c r="E2" i="3"/>
  <c r="D4" i="3"/>
  <c r="D3" i="3"/>
  <c r="D2" i="3"/>
  <c r="D6" i="3"/>
  <c r="X9" i="1"/>
  <c r="V19" i="1"/>
  <c r="V18" i="1"/>
  <c r="X11" i="1"/>
  <c r="X6" i="1"/>
  <c r="J24" i="1"/>
  <c r="J25" i="1"/>
  <c r="Y11" i="1"/>
  <c r="N22" i="1"/>
  <c r="E14" i="1"/>
  <c r="B15" i="1"/>
  <c r="A2" i="1"/>
  <c r="B10" i="1"/>
  <c r="J10" i="1"/>
  <c r="J6" i="1"/>
  <c r="O4" i="1"/>
  <c r="O6" i="1"/>
  <c r="O8" i="1"/>
  <c r="P10" i="1"/>
  <c r="P6" i="1"/>
  <c r="Q7" i="1"/>
  <c r="E16" i="1"/>
  <c r="E17" i="1"/>
  <c r="E18" i="1"/>
  <c r="E19" i="1"/>
  <c r="E15" i="1"/>
  <c r="B29" i="1"/>
  <c r="B16" i="1"/>
  <c r="G28" i="1"/>
  <c r="D25" i="1"/>
  <c r="M9" i="1"/>
  <c r="L9" i="1"/>
  <c r="J9" i="1"/>
  <c r="J7" i="1"/>
  <c r="F6" i="1"/>
  <c r="F7" i="1"/>
  <c r="L2" i="1"/>
  <c r="C25" i="1"/>
  <c r="D14" i="1"/>
  <c r="K5" i="1"/>
  <c r="J8" i="1"/>
  <c r="L14" i="1"/>
  <c r="F25" i="1"/>
  <c r="G25" i="1"/>
</calcChain>
</file>

<file path=xl/sharedStrings.xml><?xml version="1.0" encoding="utf-8"?>
<sst xmlns="http://schemas.openxmlformats.org/spreadsheetml/2006/main" count="177" uniqueCount="62">
  <si>
    <t>Euros</t>
  </si>
  <si>
    <t>Euro</t>
  </si>
  <si>
    <t>Sterling</t>
  </si>
  <si>
    <t>£</t>
  </si>
  <si>
    <t>Balances</t>
  </si>
  <si>
    <t>Limits</t>
  </si>
  <si>
    <t>Savings</t>
  </si>
  <si>
    <t>euros</t>
  </si>
  <si>
    <t>Remaining</t>
  </si>
  <si>
    <t>To Save</t>
  </si>
  <si>
    <t>Current</t>
  </si>
  <si>
    <t>Amount Overdrawn</t>
  </si>
  <si>
    <t>Credit Card</t>
  </si>
  <si>
    <t>Distance to Credit Limit</t>
  </si>
  <si>
    <t>Rent</t>
  </si>
  <si>
    <t>Water Date</t>
  </si>
  <si>
    <t>Today</t>
  </si>
  <si>
    <t>End Date</t>
  </si>
  <si>
    <t>Scottish Power</t>
  </si>
  <si>
    <t>Days Left</t>
  </si>
  <si>
    <t>Council Tax</t>
  </si>
  <si>
    <t>In</t>
  </si>
  <si>
    <t>Out</t>
  </si>
  <si>
    <t>Item</t>
  </si>
  <si>
    <t>Amount</t>
  </si>
  <si>
    <t>Total</t>
  </si>
  <si>
    <t>Difference</t>
  </si>
  <si>
    <t>Date</t>
  </si>
  <si>
    <t>AIB Current</t>
  </si>
  <si>
    <t>Barclays</t>
  </si>
  <si>
    <t>Cash</t>
  </si>
  <si>
    <t>Electricity</t>
  </si>
  <si>
    <t>To be returned</t>
  </si>
  <si>
    <t>Phone</t>
  </si>
  <si>
    <t>Water</t>
  </si>
  <si>
    <t>Saved</t>
  </si>
  <si>
    <t/>
  </si>
  <si>
    <t>;;;;;</t>
  </si>
  <si>
    <t>llllll</t>
  </si>
  <si>
    <t xml:space="preserve">Have you submitted an abstract for hinrichs workshop? </t>
  </si>
  <si>
    <t>AIB</t>
  </si>
  <si>
    <t>Rent 1 month</t>
  </si>
  <si>
    <t>Deposit</t>
  </si>
  <si>
    <t>Wages 1 month</t>
  </si>
  <si>
    <t xml:space="preserve">Aerosoc Joing </t>
  </si>
  <si>
    <t>Battle</t>
  </si>
  <si>
    <t>Save</t>
  </si>
  <si>
    <t>Holiday</t>
  </si>
  <si>
    <t>Bristol</t>
  </si>
  <si>
    <t>rent 1</t>
  </si>
  <si>
    <t>rent 2</t>
  </si>
  <si>
    <t>Fan and chill pad</t>
  </si>
  <si>
    <t>Petrol + restaurant</t>
  </si>
  <si>
    <t>Bills June</t>
  </si>
  <si>
    <t>Bills July</t>
  </si>
  <si>
    <t>Holly</t>
  </si>
  <si>
    <t>Me</t>
  </si>
  <si>
    <t>Food</t>
  </si>
  <si>
    <t>rent return</t>
  </si>
  <si>
    <t>§</t>
  </si>
  <si>
    <t>Insurance</t>
  </si>
  <si>
    <t>rent + 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</si>
</sst>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667D7F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2" borderId="0" xfId="0" applyFill="1"/>
    <xf numFmtId="0" fontId="0" fillId="0" borderId="8" xfId="0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/>
    <xf numFmtId="0" fontId="6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/>
    <xf numFmtId="0" fontId="8" fillId="0" borderId="0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4" fontId="0" fillId="0" borderId="0" xfId="0" applyNumberFormat="1"/>
    <xf numFmtId="0" fontId="0" fillId="0" borderId="12" xfId="0" applyBorder="1" applyAlignment="1">
      <alignment horizontal="center" vertical="center"/>
    </xf>
    <xf numFmtId="14" fontId="0" fillId="0" borderId="0" xfId="0" applyNumberFormat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10" fillId="0" borderId="0" xfId="0" applyNumberFormat="1" applyFont="1"/>
    <xf numFmtId="10" fontId="10" fillId="0" borderId="0" xfId="0" applyNumberFormat="1" applyFont="1"/>
    <xf numFmtId="0" fontId="11" fillId="0" borderId="0" xfId="0" applyFont="1"/>
    <xf numFmtId="0" fontId="12" fillId="0" borderId="0" xfId="1"/>
    <xf numFmtId="3" fontId="11" fillId="0" borderId="0" xfId="0" applyNumberFormat="1" applyFont="1"/>
    <xf numFmtId="10" fontId="11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opLeftCell="E1" zoomScale="88" workbookViewId="0">
      <selection activeCell="J14" sqref="J14:J21"/>
    </sheetView>
  </sheetViews>
  <sheetFormatPr baseColWidth="10" defaultColWidth="8.83203125" defaultRowHeight="15" x14ac:dyDescent="0.2"/>
  <cols>
    <col min="1" max="1" width="11.1640625" customWidth="1"/>
    <col min="2" max="2" width="10.6640625" customWidth="1"/>
    <col min="3" max="3" width="11.83203125" customWidth="1"/>
    <col min="4" max="4" width="15" customWidth="1"/>
    <col min="5" max="5" width="21.5" customWidth="1"/>
    <col min="7" max="7" width="10.6640625" customWidth="1"/>
    <col min="8" max="8" width="5.33203125" style="16" customWidth="1"/>
    <col min="9" max="9" width="17" customWidth="1"/>
    <col min="10" max="10" width="15" customWidth="1"/>
    <col min="11" max="11" width="8.6640625" customWidth="1"/>
    <col min="12" max="12" width="13.6640625" customWidth="1"/>
    <col min="13" max="13" width="11" customWidth="1"/>
    <col min="14" max="14" width="12.6640625" customWidth="1"/>
    <col min="15" max="15" width="12.5" customWidth="1"/>
    <col min="16" max="16" width="15.1640625" customWidth="1"/>
    <col min="17" max="17" width="12.5" bestFit="1" customWidth="1"/>
    <col min="22" max="22" width="9.1640625" bestFit="1" customWidth="1"/>
    <col min="23" max="23" width="15.1640625" customWidth="1"/>
    <col min="25" max="25" width="9.1640625" bestFit="1" customWidth="1"/>
    <col min="27" max="27" width="9.1640625" bestFit="1" customWidth="1"/>
  </cols>
  <sheetData>
    <row r="1" spans="1:26" x14ac:dyDescent="0.2">
      <c r="A1" s="4">
        <v>42736</v>
      </c>
      <c r="I1" s="49"/>
      <c r="J1" s="49"/>
      <c r="K1" s="49"/>
      <c r="L1" s="49">
        <v>9500</v>
      </c>
      <c r="M1" s="49"/>
      <c r="N1" s="49"/>
    </row>
    <row r="2" spans="1:26" x14ac:dyDescent="0.2">
      <c r="A2" s="42">
        <f>EOMONTH(A1,C1)</f>
        <v>42766</v>
      </c>
      <c r="B2" s="60" t="s">
        <v>0</v>
      </c>
      <c r="C2" s="60"/>
      <c r="D2" s="60"/>
      <c r="E2" s="60"/>
      <c r="F2" s="60"/>
      <c r="G2" s="61"/>
      <c r="I2" s="4" t="s">
        <v>1</v>
      </c>
      <c r="J2" s="5" t="s">
        <v>2</v>
      </c>
      <c r="K2" s="49" t="s">
        <v>3</v>
      </c>
      <c r="L2" s="49">
        <f>L1/I3</f>
        <v>8333.3333333333339</v>
      </c>
      <c r="M2" s="49"/>
      <c r="N2" s="49"/>
      <c r="P2" s="44">
        <v>42369</v>
      </c>
    </row>
    <row r="3" spans="1:26" x14ac:dyDescent="0.2">
      <c r="A3" s="43">
        <v>2</v>
      </c>
      <c r="B3" s="62"/>
      <c r="C3" s="62"/>
      <c r="D3" s="62"/>
      <c r="E3" s="62"/>
      <c r="F3" s="62"/>
      <c r="G3" s="63"/>
      <c r="I3" s="13">
        <v>1.1399999999999999</v>
      </c>
      <c r="J3" s="5">
        <v>1</v>
      </c>
      <c r="K3" s="49"/>
      <c r="L3" s="49"/>
      <c r="M3" s="49"/>
      <c r="N3" s="49"/>
      <c r="O3">
        <v>8600</v>
      </c>
      <c r="P3" s="44">
        <v>42339</v>
      </c>
    </row>
    <row r="4" spans="1:26" x14ac:dyDescent="0.2">
      <c r="A4" s="67" t="s">
        <v>4</v>
      </c>
      <c r="B4" s="67"/>
      <c r="C4" s="49" t="s">
        <v>5</v>
      </c>
      <c r="I4" s="49" t="s">
        <v>6</v>
      </c>
      <c r="J4" s="49" t="s">
        <v>7</v>
      </c>
      <c r="K4" s="49"/>
      <c r="L4" s="49"/>
      <c r="M4" s="49"/>
      <c r="N4" s="49"/>
      <c r="O4">
        <f>J6</f>
        <v>797.99999999999989</v>
      </c>
    </row>
    <row r="5" spans="1:26" x14ac:dyDescent="0.2">
      <c r="A5" s="49" t="s">
        <v>6</v>
      </c>
      <c r="B5" s="49">
        <v>0</v>
      </c>
      <c r="C5" s="49"/>
      <c r="I5" s="49"/>
      <c r="K5" s="49">
        <f>(J6-O9)*S7</f>
        <v>0</v>
      </c>
      <c r="L5" s="49" t="s">
        <v>8</v>
      </c>
      <c r="M5" s="49" t="s">
        <v>9</v>
      </c>
      <c r="N5" s="49"/>
    </row>
    <row r="6" spans="1:26" x14ac:dyDescent="0.2">
      <c r="A6" s="49" t="s">
        <v>10</v>
      </c>
      <c r="B6" s="49"/>
      <c r="C6" s="3">
        <v>600</v>
      </c>
      <c r="E6" s="49" t="s">
        <v>11</v>
      </c>
      <c r="F6">
        <f>B7</f>
        <v>-340</v>
      </c>
      <c r="I6" s="49">
        <v>700</v>
      </c>
      <c r="J6" s="49">
        <f>I6*I3</f>
        <v>797.99999999999989</v>
      </c>
      <c r="K6" s="49"/>
      <c r="L6" s="49"/>
      <c r="M6" s="49"/>
      <c r="N6" s="49"/>
      <c r="O6" s="36">
        <f>SUM(O3:O5)</f>
        <v>9398</v>
      </c>
      <c r="P6">
        <f>500*1.36</f>
        <v>680</v>
      </c>
      <c r="Q6" s="42"/>
      <c r="W6" s="57" t="s">
        <v>40</v>
      </c>
      <c r="X6" s="57">
        <f>(877+6134)/I3</f>
        <v>6150.0000000000009</v>
      </c>
    </row>
    <row r="7" spans="1:26" x14ac:dyDescent="0.2">
      <c r="A7" s="49" t="s">
        <v>12</v>
      </c>
      <c r="B7" s="49">
        <v>-340</v>
      </c>
      <c r="C7" s="3">
        <v>1200</v>
      </c>
      <c r="E7" s="49" t="s">
        <v>13</v>
      </c>
      <c r="F7">
        <f>C6+C7+F6</f>
        <v>1460</v>
      </c>
      <c r="I7" s="49" t="s">
        <v>14</v>
      </c>
      <c r="J7" s="4">
        <f>DATE(YEAR(A1),MONTH(A1),DAY(A1)+12)</f>
        <v>42748</v>
      </c>
      <c r="K7" s="49"/>
      <c r="L7" s="49"/>
      <c r="M7" s="49"/>
      <c r="N7" s="49"/>
      <c r="O7" s="36"/>
      <c r="Q7" s="49">
        <f>500*1.4</f>
        <v>700</v>
      </c>
      <c r="R7" s="49"/>
      <c r="W7" s="57" t="s">
        <v>41</v>
      </c>
      <c r="X7" s="57"/>
    </row>
    <row r="8" spans="1:26" x14ac:dyDescent="0.2">
      <c r="A8" s="49"/>
      <c r="B8" s="49"/>
      <c r="C8" s="3"/>
      <c r="E8" s="49"/>
      <c r="I8" s="49" t="s">
        <v>15</v>
      </c>
      <c r="J8" s="4">
        <f>A1</f>
        <v>42736</v>
      </c>
      <c r="K8" s="49"/>
      <c r="L8" s="49" t="s">
        <v>16</v>
      </c>
      <c r="N8" s="49"/>
      <c r="O8" s="36">
        <f>O6-280</f>
        <v>9118</v>
      </c>
      <c r="P8" s="4"/>
      <c r="Q8" s="49"/>
      <c r="R8" s="49"/>
      <c r="U8" s="49"/>
      <c r="V8" s="49"/>
      <c r="W8" s="57" t="s">
        <v>43</v>
      </c>
      <c r="X8" s="57"/>
    </row>
    <row r="9" spans="1:26" x14ac:dyDescent="0.2">
      <c r="A9" s="49" t="s">
        <v>17</v>
      </c>
      <c r="B9" s="42">
        <v>42794</v>
      </c>
      <c r="C9" s="3"/>
      <c r="E9" s="49"/>
      <c r="I9" s="49" t="s">
        <v>18</v>
      </c>
      <c r="J9" s="4">
        <f>A1</f>
        <v>42736</v>
      </c>
      <c r="K9" s="49"/>
      <c r="L9" s="49">
        <f>2163-1960</f>
        <v>203</v>
      </c>
      <c r="M9" s="4">
        <f ca="1">TODAY()</f>
        <v>42917</v>
      </c>
      <c r="N9" s="49"/>
      <c r="P9" s="49"/>
      <c r="Q9" s="49"/>
      <c r="R9" s="49"/>
      <c r="U9" s="49"/>
      <c r="V9" s="49"/>
      <c r="W9" s="57" t="s">
        <v>42</v>
      </c>
      <c r="X9" s="57">
        <f>1800</f>
        <v>1800</v>
      </c>
    </row>
    <row r="10" spans="1:26" x14ac:dyDescent="0.2">
      <c r="A10" s="49" t="s">
        <v>19</v>
      </c>
      <c r="B10" s="13">
        <f>A2-B9-1</f>
        <v>-29</v>
      </c>
      <c r="I10" s="49" t="s">
        <v>20</v>
      </c>
      <c r="J10" s="4">
        <f>DATE(YEAR(A1),MONTH(A1),DAY(A1)+9)</f>
        <v>42745</v>
      </c>
      <c r="K10" s="49"/>
      <c r="L10" s="13"/>
      <c r="M10" s="49"/>
      <c r="N10" s="49"/>
      <c r="P10" s="49">
        <f>400*1.41</f>
        <v>564</v>
      </c>
      <c r="Q10" s="49"/>
      <c r="R10" s="49"/>
      <c r="W10" s="49"/>
    </row>
    <row r="11" spans="1:26" x14ac:dyDescent="0.2">
      <c r="K11" s="49"/>
      <c r="L11" s="49"/>
      <c r="P11" s="49"/>
      <c r="Q11" s="49"/>
      <c r="X11">
        <f>SUM(X6:X9)</f>
        <v>7950.0000000000009</v>
      </c>
      <c r="Y11" s="36">
        <f>X11+O25</f>
        <v>6978.6664250000013</v>
      </c>
    </row>
    <row r="12" spans="1:26" x14ac:dyDescent="0.2">
      <c r="A12" s="64" t="s">
        <v>21</v>
      </c>
      <c r="B12" s="65"/>
      <c r="C12" s="65"/>
      <c r="D12" s="64" t="s">
        <v>22</v>
      </c>
      <c r="E12" s="65"/>
      <c r="F12" s="66"/>
      <c r="I12" s="64" t="s">
        <v>21</v>
      </c>
      <c r="J12" s="65"/>
      <c r="K12" s="66"/>
      <c r="L12" s="64" t="s">
        <v>22</v>
      </c>
      <c r="M12" s="65"/>
      <c r="N12" s="66"/>
      <c r="O12" s="10"/>
      <c r="V12" s="49"/>
      <c r="W12" s="57"/>
      <c r="X12" s="49"/>
      <c r="Y12" s="49"/>
      <c r="Z12" s="49"/>
    </row>
    <row r="13" spans="1:26" x14ac:dyDescent="0.2">
      <c r="A13" s="28" t="s">
        <v>23</v>
      </c>
      <c r="B13" s="28" t="s">
        <v>24</v>
      </c>
      <c r="C13" s="28" t="s">
        <v>25</v>
      </c>
      <c r="D13" s="28" t="s">
        <v>23</v>
      </c>
      <c r="E13" s="28" t="s">
        <v>24</v>
      </c>
      <c r="F13" s="28" t="s">
        <v>25</v>
      </c>
      <c r="G13" s="29" t="s">
        <v>26</v>
      </c>
      <c r="H13" s="30"/>
      <c r="I13" s="28" t="s">
        <v>23</v>
      </c>
      <c r="J13" s="28" t="s">
        <v>27</v>
      </c>
      <c r="K13" s="28" t="s">
        <v>25</v>
      </c>
      <c r="L13" s="28" t="s">
        <v>23</v>
      </c>
      <c r="M13" s="28" t="s">
        <v>24</v>
      </c>
      <c r="N13" s="28" t="s">
        <v>25</v>
      </c>
      <c r="O13" s="29" t="s">
        <v>26</v>
      </c>
      <c r="Q13" s="49"/>
      <c r="R13" s="49"/>
      <c r="S13" s="49"/>
      <c r="U13" s="49"/>
      <c r="V13" s="13"/>
      <c r="W13" s="49"/>
      <c r="X13" s="49"/>
      <c r="Y13" s="49"/>
      <c r="Z13" s="49"/>
    </row>
    <row r="14" spans="1:26" x14ac:dyDescent="0.2">
      <c r="A14" s="25" t="s">
        <v>10</v>
      </c>
      <c r="B14" s="26">
        <v>0</v>
      </c>
      <c r="C14" s="24"/>
      <c r="D14" s="20" t="str">
        <f>"Food ("&amp;B10&amp;" days)"</f>
        <v>Food (-29 days)</v>
      </c>
      <c r="E14" s="38">
        <f>400</f>
        <v>400</v>
      </c>
      <c r="F14" s="18"/>
      <c r="G14" s="10"/>
      <c r="I14" s="1" t="s">
        <v>28</v>
      </c>
      <c r="J14" s="6">
        <v>90</v>
      </c>
      <c r="K14" s="2"/>
      <c r="L14" s="20" t="str">
        <f>"Food ("&amp;B10&amp;" days)"</f>
        <v>Food (-29 days)</v>
      </c>
      <c r="M14" s="22">
        <v>20</v>
      </c>
      <c r="N14" s="2"/>
      <c r="O14" s="14"/>
      <c r="Q14" s="49"/>
      <c r="R14" s="49"/>
      <c r="S14" s="49"/>
      <c r="U14" s="49"/>
      <c r="V14" s="49"/>
      <c r="W14" s="49"/>
      <c r="X14" s="49"/>
      <c r="Y14" s="49"/>
      <c r="Z14" s="49"/>
    </row>
    <row r="15" spans="1:26" x14ac:dyDescent="0.2">
      <c r="A15" s="49" t="s">
        <v>29</v>
      </c>
      <c r="B15" s="49">
        <f>141</f>
        <v>141</v>
      </c>
      <c r="C15" s="14"/>
      <c r="D15" s="31" t="s">
        <v>20</v>
      </c>
      <c r="E15" s="38">
        <f>M15*$I$3</f>
        <v>0</v>
      </c>
      <c r="F15" s="18"/>
      <c r="G15" s="10"/>
      <c r="I15" s="1" t="s">
        <v>29</v>
      </c>
      <c r="J15" s="6">
        <v>-1160</v>
      </c>
      <c r="K15" s="2"/>
      <c r="L15" s="31" t="s">
        <v>20</v>
      </c>
      <c r="M15" s="32"/>
      <c r="N15" s="2"/>
      <c r="O15" s="14"/>
      <c r="Q15" s="49"/>
      <c r="R15" s="49"/>
      <c r="S15" s="49"/>
      <c r="U15" s="49"/>
      <c r="V15" s="49"/>
      <c r="W15" s="49"/>
      <c r="X15" s="49"/>
      <c r="Y15" s="49"/>
      <c r="Z15" s="49"/>
    </row>
    <row r="16" spans="1:26" x14ac:dyDescent="0.2">
      <c r="A16" s="49" t="s">
        <v>30</v>
      </c>
      <c r="B16" s="49">
        <f>J16/J3</f>
        <v>0</v>
      </c>
      <c r="C16" s="2"/>
      <c r="D16" s="33" t="s">
        <v>31</v>
      </c>
      <c r="E16" s="38">
        <f t="shared" ref="E16:E19" si="0">M16*$I$3</f>
        <v>0</v>
      </c>
      <c r="F16" s="18"/>
      <c r="G16" s="10"/>
      <c r="H16" s="16" t="s">
        <v>39</v>
      </c>
      <c r="I16" s="45" t="s">
        <v>32</v>
      </c>
      <c r="J16" s="46"/>
      <c r="K16" s="2"/>
      <c r="L16" s="33" t="s">
        <v>31</v>
      </c>
      <c r="M16" s="33"/>
      <c r="N16" s="2"/>
      <c r="O16" s="14"/>
      <c r="Q16" s="49"/>
      <c r="R16" s="49"/>
      <c r="S16" s="49"/>
      <c r="T16" s="49"/>
      <c r="U16" s="49"/>
      <c r="V16" s="49"/>
      <c r="W16" s="49"/>
      <c r="X16" s="49"/>
    </row>
    <row r="17" spans="1:24" x14ac:dyDescent="0.2">
      <c r="A17" s="1"/>
      <c r="B17" s="6"/>
      <c r="C17" s="2"/>
      <c r="D17" s="31" t="s">
        <v>33</v>
      </c>
      <c r="E17" s="38">
        <f t="shared" si="0"/>
        <v>0</v>
      </c>
      <c r="F17" s="18"/>
      <c r="G17" s="10"/>
      <c r="I17" s="1" t="s">
        <v>51</v>
      </c>
      <c r="J17" s="6">
        <v>80</v>
      </c>
      <c r="K17" s="2"/>
      <c r="L17" s="31" t="s">
        <v>33</v>
      </c>
      <c r="M17" s="32"/>
      <c r="N17" s="2"/>
      <c r="O17" s="14"/>
      <c r="Q17" s="49"/>
      <c r="R17" s="49"/>
      <c r="S17" s="49"/>
      <c r="T17" s="49"/>
      <c r="U17" s="49"/>
      <c r="V17" s="49"/>
      <c r="W17" s="49"/>
      <c r="X17" s="49"/>
    </row>
    <row r="18" spans="1:24" x14ac:dyDescent="0.2">
      <c r="A18" s="1"/>
      <c r="B18" s="6"/>
      <c r="C18" s="2"/>
      <c r="D18" s="31" t="s">
        <v>14</v>
      </c>
      <c r="E18" s="38">
        <f t="shared" si="0"/>
        <v>0</v>
      </c>
      <c r="F18" s="18"/>
      <c r="G18" s="10"/>
      <c r="I18" s="1" t="s">
        <v>52</v>
      </c>
      <c r="J18" s="6">
        <v>50</v>
      </c>
      <c r="K18" s="2"/>
      <c r="L18" s="31" t="s">
        <v>47</v>
      </c>
      <c r="M18" s="32"/>
      <c r="N18" s="2"/>
      <c r="O18" s="14"/>
      <c r="Q18" s="49"/>
      <c r="R18" s="49"/>
      <c r="S18" s="49"/>
      <c r="T18" s="49"/>
      <c r="V18" s="58">
        <f>790*0.66</f>
        <v>521.4</v>
      </c>
      <c r="X18" s="49"/>
    </row>
    <row r="19" spans="1:24" x14ac:dyDescent="0.2">
      <c r="A19" s="1"/>
      <c r="B19" s="6"/>
      <c r="C19" s="2"/>
      <c r="D19" s="37" t="s">
        <v>34</v>
      </c>
      <c r="E19" s="38">
        <f t="shared" si="0"/>
        <v>0</v>
      </c>
      <c r="F19" s="18"/>
      <c r="G19" s="10"/>
      <c r="I19" s="1" t="s">
        <v>48</v>
      </c>
      <c r="J19" s="6">
        <v>200</v>
      </c>
      <c r="K19" s="2"/>
      <c r="L19" s="31" t="s">
        <v>46</v>
      </c>
      <c r="M19" s="37"/>
      <c r="N19" s="2"/>
      <c r="O19" s="14"/>
      <c r="T19" s="49"/>
      <c r="V19" s="58">
        <f>V18*2/3</f>
        <v>347.59999999999997</v>
      </c>
      <c r="W19" s="36"/>
      <c r="X19" s="49"/>
    </row>
    <row r="20" spans="1:24" x14ac:dyDescent="0.2">
      <c r="A20" s="1"/>
      <c r="B20" s="6"/>
      <c r="C20" s="2"/>
      <c r="D20" s="21"/>
      <c r="E20" s="38"/>
      <c r="F20" s="18"/>
      <c r="G20" s="10"/>
      <c r="I20" s="1" t="s">
        <v>58</v>
      </c>
      <c r="J20" s="6">
        <f>725*0.333333</f>
        <v>241.666425</v>
      </c>
      <c r="K20" s="2"/>
      <c r="L20" s="40"/>
      <c r="M20" s="35"/>
      <c r="N20" s="2"/>
      <c r="O20" s="14"/>
      <c r="P20" s="49"/>
      <c r="T20" s="49"/>
      <c r="U20" s="49"/>
      <c r="V20" s="49"/>
      <c r="W20" s="49"/>
      <c r="X20" s="49"/>
    </row>
    <row r="21" spans="1:24" x14ac:dyDescent="0.2">
      <c r="A21" s="1"/>
      <c r="B21" s="6"/>
      <c r="C21" s="2"/>
      <c r="D21" s="34"/>
      <c r="E21" s="39"/>
      <c r="F21" s="18"/>
      <c r="G21" s="10"/>
      <c r="I21" s="1" t="s">
        <v>44</v>
      </c>
      <c r="J21" s="6">
        <v>30</v>
      </c>
      <c r="K21" s="2"/>
      <c r="L21" s="21" t="s">
        <v>49</v>
      </c>
      <c r="M21" s="35">
        <v>483</v>
      </c>
      <c r="N21" s="2"/>
      <c r="O21" s="14"/>
      <c r="P21" s="49"/>
      <c r="T21" s="49"/>
      <c r="U21" s="49"/>
      <c r="V21" s="49"/>
      <c r="W21" s="49"/>
      <c r="X21" s="49"/>
    </row>
    <row r="22" spans="1:24" x14ac:dyDescent="0.2">
      <c r="A22" s="1"/>
      <c r="B22" s="6"/>
      <c r="C22" s="6"/>
      <c r="D22" s="21"/>
      <c r="E22" s="35"/>
      <c r="F22" s="14"/>
      <c r="G22" s="10"/>
      <c r="I22" s="1"/>
      <c r="J22" s="6"/>
      <c r="K22" s="6"/>
      <c r="L22" s="40" t="s">
        <v>50</v>
      </c>
      <c r="M22" s="35"/>
      <c r="N22" s="2">
        <f>L29</f>
        <v>0</v>
      </c>
      <c r="O22" s="14"/>
      <c r="P22" s="49"/>
      <c r="T22" s="49"/>
      <c r="U22" s="49"/>
      <c r="V22" s="49"/>
      <c r="W22" s="49"/>
      <c r="X22" s="49"/>
    </row>
    <row r="23" spans="1:24" x14ac:dyDescent="0.2">
      <c r="A23" s="1"/>
      <c r="B23" s="6"/>
      <c r="C23" s="2"/>
      <c r="D23">
        <v>0.8</v>
      </c>
      <c r="F23" s="18"/>
      <c r="G23" s="10"/>
      <c r="I23" s="1"/>
      <c r="J23" s="6"/>
      <c r="K23" s="2"/>
      <c r="M23" s="56"/>
      <c r="N23" s="2"/>
      <c r="O23" s="14"/>
      <c r="T23" s="49"/>
      <c r="U23" s="49"/>
      <c r="V23" s="49"/>
      <c r="W23" s="49"/>
      <c r="X23" s="49"/>
    </row>
    <row r="24" spans="1:24" x14ac:dyDescent="0.2">
      <c r="A24" s="11"/>
      <c r="B24" s="7"/>
      <c r="C24" s="12"/>
      <c r="D24">
        <v>0.02</v>
      </c>
      <c r="F24" s="19"/>
      <c r="G24" s="10"/>
      <c r="I24" s="27"/>
      <c r="J24" s="7">
        <f>SUM(J14:J22)</f>
        <v>-468.333575</v>
      </c>
      <c r="K24" s="15"/>
      <c r="N24" s="15"/>
      <c r="O24" s="2"/>
      <c r="T24" s="49"/>
      <c r="U24" s="49"/>
      <c r="V24" s="49"/>
      <c r="W24" s="49"/>
      <c r="X24" s="49"/>
    </row>
    <row r="25" spans="1:24" x14ac:dyDescent="0.2">
      <c r="A25" s="23"/>
      <c r="B25" s="49" t="s">
        <v>0</v>
      </c>
      <c r="C25" s="9">
        <f>SUM(B14:B19)</f>
        <v>141</v>
      </c>
      <c r="D25">
        <f>D23/D24</f>
        <v>40</v>
      </c>
      <c r="F25" s="36">
        <f>SUM(E14:E19)</f>
        <v>400</v>
      </c>
      <c r="G25" s="17">
        <f>C25-F25</f>
        <v>-259</v>
      </c>
      <c r="I25" s="10"/>
      <c r="J25" s="6">
        <f>J24</f>
        <v>-468.333575</v>
      </c>
      <c r="K25" s="6"/>
      <c r="N25" s="22">
        <f>SUM(M14:M23)</f>
        <v>503</v>
      </c>
      <c r="O25" s="41">
        <f>J25-N25</f>
        <v>-971.333575</v>
      </c>
      <c r="P25" s="36"/>
      <c r="Q25" s="49"/>
      <c r="R25" s="49"/>
      <c r="S25" s="49"/>
      <c r="T25" s="49"/>
      <c r="U25" s="49"/>
      <c r="V25" s="49"/>
      <c r="W25" s="49"/>
      <c r="X25" s="49"/>
    </row>
    <row r="26" spans="1:24" x14ac:dyDescent="0.2">
      <c r="O26" s="49"/>
      <c r="Q26" s="49"/>
      <c r="R26" s="49"/>
      <c r="S26" s="49"/>
      <c r="T26" s="49"/>
      <c r="U26" s="49"/>
      <c r="V26" s="49"/>
      <c r="W26" s="49"/>
      <c r="X26" s="49"/>
    </row>
    <row r="27" spans="1:24" x14ac:dyDescent="0.2">
      <c r="O27" s="49"/>
      <c r="Q27" s="49"/>
      <c r="R27" s="49"/>
      <c r="S27" s="49"/>
      <c r="T27" s="49"/>
      <c r="U27" s="49"/>
      <c r="V27" s="49"/>
      <c r="W27" s="49"/>
    </row>
    <row r="28" spans="1:24" x14ac:dyDescent="0.2">
      <c r="C28" s="8"/>
      <c r="F28" s="8"/>
      <c r="G28" s="17">
        <f>O28/J3</f>
        <v>0</v>
      </c>
      <c r="N28" s="49"/>
      <c r="O28" s="49"/>
      <c r="Q28" s="49"/>
      <c r="R28" s="49"/>
      <c r="S28" s="49"/>
      <c r="T28" s="49"/>
      <c r="U28" s="49"/>
      <c r="V28" s="49"/>
      <c r="W28" s="49"/>
      <c r="X28" s="49"/>
    </row>
    <row r="29" spans="1:24" x14ac:dyDescent="0.2">
      <c r="A29" t="s">
        <v>35</v>
      </c>
      <c r="B29">
        <f>J29/0.85</f>
        <v>0</v>
      </c>
      <c r="I29" s="49"/>
      <c r="J29" s="49"/>
      <c r="O29" s="49"/>
    </row>
    <row r="30" spans="1:24" x14ac:dyDescent="0.2">
      <c r="O30" s="49"/>
      <c r="Q30" s="48"/>
      <c r="R30" s="48"/>
    </row>
    <row r="31" spans="1:24" x14ac:dyDescent="0.2">
      <c r="B31" t="s">
        <v>36</v>
      </c>
      <c r="K31" s="47"/>
      <c r="Q31" s="48"/>
      <c r="R31" s="48"/>
    </row>
    <row r="32" spans="1:24" x14ac:dyDescent="0.2">
      <c r="Q32" s="48"/>
      <c r="R32" s="48"/>
    </row>
    <row r="33" spans="3:18" x14ac:dyDescent="0.2">
      <c r="I33" t="s">
        <v>59</v>
      </c>
      <c r="Q33" s="48"/>
      <c r="R33" s="48"/>
    </row>
    <row r="34" spans="3:18" x14ac:dyDescent="0.2">
      <c r="D34">
        <v>124</v>
      </c>
      <c r="Q34" s="48"/>
      <c r="R34" s="48"/>
    </row>
    <row r="35" spans="3:18" x14ac:dyDescent="0.2">
      <c r="C35" t="s">
        <v>45</v>
      </c>
      <c r="D35">
        <v>18</v>
      </c>
      <c r="J35" s="49"/>
      <c r="K35" s="49"/>
      <c r="L35" s="49"/>
    </row>
    <row r="36" spans="3:18" x14ac:dyDescent="0.2">
      <c r="D36">
        <v>16</v>
      </c>
      <c r="K36" s="49"/>
      <c r="L36" s="49"/>
      <c r="M36" s="49"/>
    </row>
    <row r="37" spans="3:18" x14ac:dyDescent="0.2">
      <c r="K37" s="49"/>
      <c r="L37" s="49"/>
      <c r="M37" s="49"/>
    </row>
    <row r="46" spans="3:18" ht="17" x14ac:dyDescent="0.2">
      <c r="J46" s="50"/>
      <c r="K46" s="51"/>
      <c r="L46" s="50"/>
      <c r="M46" s="51"/>
    </row>
    <row r="47" spans="3:18" ht="17" x14ac:dyDescent="0.2">
      <c r="J47" s="52"/>
      <c r="K47" s="53"/>
      <c r="L47" s="53"/>
      <c r="M47" s="52"/>
      <c r="N47" s="50"/>
      <c r="O47" s="51"/>
      <c r="P47" s="54"/>
      <c r="Q47" s="55"/>
    </row>
    <row r="48" spans="3:18" ht="17" x14ac:dyDescent="0.2">
      <c r="J48" s="52"/>
      <c r="K48" s="53"/>
      <c r="L48" s="53"/>
      <c r="M48" s="52"/>
      <c r="N48" s="54"/>
      <c r="O48" s="55"/>
      <c r="P48" s="52"/>
    </row>
    <row r="49" spans="10:15" ht="17" x14ac:dyDescent="0.2">
      <c r="J49" s="52"/>
      <c r="K49" s="53"/>
      <c r="L49" s="53"/>
      <c r="M49" s="52"/>
      <c r="N49" s="54"/>
      <c r="O49" s="55"/>
    </row>
    <row r="50" spans="10:15" ht="17" x14ac:dyDescent="0.2">
      <c r="J50" s="52"/>
      <c r="K50" s="53"/>
      <c r="L50" s="53"/>
      <c r="M50" s="52"/>
      <c r="N50" s="54"/>
      <c r="O50" s="55"/>
    </row>
    <row r="51" spans="10:15" ht="17" x14ac:dyDescent="0.2">
      <c r="J51" s="52"/>
      <c r="K51" s="53"/>
      <c r="L51" s="53"/>
      <c r="M51" s="52"/>
      <c r="N51" s="54"/>
      <c r="O51" s="55"/>
    </row>
    <row r="52" spans="10:15" ht="17" x14ac:dyDescent="0.2">
      <c r="J52" s="52"/>
      <c r="K52" s="53"/>
      <c r="L52" s="53"/>
      <c r="M52" s="52"/>
      <c r="N52" s="54"/>
      <c r="O52" s="55"/>
    </row>
    <row r="53" spans="10:15" ht="17" x14ac:dyDescent="0.2">
      <c r="J53" s="52"/>
      <c r="K53" s="53"/>
      <c r="L53" s="53"/>
      <c r="M53" s="52"/>
      <c r="N53" s="54"/>
      <c r="O53" s="55"/>
    </row>
    <row r="54" spans="10:15" ht="17" x14ac:dyDescent="0.2">
      <c r="J54" s="52"/>
      <c r="K54" s="53"/>
      <c r="L54" s="53"/>
      <c r="M54" s="52"/>
      <c r="N54" s="54"/>
      <c r="O54" s="55"/>
    </row>
    <row r="55" spans="10:15" ht="17" x14ac:dyDescent="0.2">
      <c r="J55" s="52"/>
      <c r="K55" s="53"/>
      <c r="L55" s="53"/>
      <c r="M55" s="52"/>
      <c r="N55" s="54"/>
      <c r="O55" s="55"/>
    </row>
    <row r="56" spans="10:15" ht="17" x14ac:dyDescent="0.2">
      <c r="J56" s="52"/>
      <c r="K56" s="53"/>
      <c r="L56" s="53"/>
      <c r="M56" s="52"/>
      <c r="N56" s="54"/>
      <c r="O56" s="55"/>
    </row>
    <row r="57" spans="10:15" ht="17" x14ac:dyDescent="0.2">
      <c r="J57" s="52"/>
      <c r="K57" s="53"/>
      <c r="L57" s="53"/>
      <c r="M57" s="52"/>
      <c r="N57" s="54"/>
      <c r="O57" s="55"/>
    </row>
    <row r="58" spans="10:15" ht="17" x14ac:dyDescent="0.2">
      <c r="J58" s="52"/>
      <c r="K58" s="53"/>
      <c r="L58" s="53"/>
      <c r="M58" s="52"/>
      <c r="N58" s="54"/>
      <c r="O58" s="55"/>
    </row>
    <row r="59" spans="10:15" ht="17" x14ac:dyDescent="0.2">
      <c r="J59" s="52"/>
      <c r="K59" s="53"/>
      <c r="L59" s="53"/>
      <c r="M59" s="52"/>
      <c r="N59" s="54"/>
      <c r="O59" s="55"/>
    </row>
    <row r="60" spans="10:15" ht="17" x14ac:dyDescent="0.2">
      <c r="J60" s="52"/>
      <c r="K60" s="53"/>
      <c r="L60" s="53"/>
      <c r="M60" s="52"/>
      <c r="N60" s="54"/>
      <c r="O60" s="55"/>
    </row>
    <row r="61" spans="10:15" ht="17" x14ac:dyDescent="0.2">
      <c r="J61" s="52"/>
      <c r="K61" s="53"/>
      <c r="L61" s="53"/>
      <c r="M61" s="52"/>
      <c r="N61" s="54"/>
    </row>
    <row r="93" spans="11:11" x14ac:dyDescent="0.2">
      <c r="K93" t="s">
        <v>37</v>
      </c>
    </row>
    <row r="99" spans="11:11" x14ac:dyDescent="0.2">
      <c r="K99" t="s">
        <v>38</v>
      </c>
    </row>
  </sheetData>
  <mergeCells count="6">
    <mergeCell ref="B2:G3"/>
    <mergeCell ref="L12:N12"/>
    <mergeCell ref="A4:B4"/>
    <mergeCell ref="D12:F12"/>
    <mergeCell ref="A12:C12"/>
    <mergeCell ref="I12:K12"/>
  </mergeCells>
  <conditionalFormatting sqref="A35:C1048576 G32 E6:G9 J14 A5 C5:D5 I17:K23 F14:H24 A32:C32 F29:F30 A31:B31 L12 I12 A12:F12 D13:N13 A13:B14 D34:F1048576 A28:C28 F28:G28 D28:E29 A17:C26 H26:K28 F25:K25 A10:H11 C16 M14 M4 D25:E26 H30:K30 H29 K29 A30:C30 C29 L18 L20:L22 D18:D19 D21:E22 N25:O25 Q25:XFD25 M5:XFD5 A6:C8 A9 C9 P2 A4:I4 J6 R12:XFD12 N10:P10 K4:K10 H31:J31 M30:XFD30 H32:K34 L31:P34 Q33:Q34 R31:XFD34 G37:XFD45 G36:I36 L36:XFD36 G35:XFD35 Q13:R16 O13:P24 Q18:S18 T20:XFD24 T18:T19 X18:XFD19 N6:W9 S16:XFD17 Z13:XFD14 W15:XFD15 S13:T15 W13:X14 U14:V15 G62:XFD1048576 G46:I61 R46:XFD61 K11:AC11 R10:AC10 X8:AC9 AE8:XFD11 X6:XFD7 L26:X26 Z26:XFD26 L27:XFD29">
    <cfRule type="cellIs" dxfId="25" priority="18" operator="lessThan">
      <formula>0</formula>
    </cfRule>
  </conditionalFormatting>
  <conditionalFormatting sqref="G5 N4:XFD4">
    <cfRule type="cellIs" dxfId="24" priority="15" operator="lessThan">
      <formula>0</formula>
    </cfRule>
  </conditionalFormatting>
  <conditionalFormatting sqref="N14:N16 K14:K16">
    <cfRule type="cellIs" dxfId="23" priority="13" operator="lessThan">
      <formula>0</formula>
    </cfRule>
  </conditionalFormatting>
  <conditionalFormatting sqref="D14">
    <cfRule type="cellIs" dxfId="22" priority="11" operator="lessThan">
      <formula>0</formula>
    </cfRule>
  </conditionalFormatting>
  <conditionalFormatting sqref="L15 N17">
    <cfRule type="cellIs" dxfId="21" priority="9" operator="lessThan">
      <formula>0</formula>
    </cfRule>
  </conditionalFormatting>
  <conditionalFormatting sqref="L17 N18:N23">
    <cfRule type="cellIs" dxfId="20" priority="8" operator="lessThan">
      <formula>0</formula>
    </cfRule>
  </conditionalFormatting>
  <conditionalFormatting sqref="L14">
    <cfRule type="cellIs" dxfId="19" priority="7" operator="lessThan">
      <formula>0</formula>
    </cfRule>
  </conditionalFormatting>
  <conditionalFormatting sqref="D20">
    <cfRule type="cellIs" dxfId="18" priority="6" operator="lessThan">
      <formula>0</formula>
    </cfRule>
  </conditionalFormatting>
  <conditionalFormatting sqref="D15">
    <cfRule type="cellIs" dxfId="17" priority="5" operator="lessThan">
      <formula>0</formula>
    </cfRule>
  </conditionalFormatting>
  <conditionalFormatting sqref="D17">
    <cfRule type="cellIs" dxfId="16" priority="4" operator="lessThan">
      <formula>0</formula>
    </cfRule>
  </conditionalFormatting>
  <conditionalFormatting sqref="J8">
    <cfRule type="cellIs" dxfId="15" priority="3" operator="lessThan">
      <formula>0</formula>
    </cfRule>
  </conditionalFormatting>
  <conditionalFormatting sqref="J9">
    <cfRule type="cellIs" dxfId="14" priority="2" operator="lessThan">
      <formula>0</formula>
    </cfRule>
  </conditionalFormatting>
  <conditionalFormatting sqref="J10">
    <cfRule type="cellIs" dxfId="13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abSelected="1" topLeftCell="E1" zoomScale="88" workbookViewId="0">
      <selection activeCell="J15" sqref="J15"/>
    </sheetView>
  </sheetViews>
  <sheetFormatPr baseColWidth="10" defaultColWidth="8.83203125" defaultRowHeight="15" x14ac:dyDescent="0.2"/>
  <cols>
    <col min="1" max="1" width="11.1640625" customWidth="1"/>
    <col min="2" max="2" width="10.6640625" customWidth="1"/>
    <col min="3" max="3" width="11.83203125" customWidth="1"/>
    <col min="4" max="4" width="15" customWidth="1"/>
    <col min="5" max="5" width="21.5" customWidth="1"/>
    <col min="7" max="7" width="10.6640625" customWidth="1"/>
    <col min="8" max="8" width="5.33203125" style="16" customWidth="1"/>
    <col min="9" max="9" width="17" customWidth="1"/>
    <col min="10" max="10" width="15" customWidth="1"/>
    <col min="11" max="11" width="8.6640625" customWidth="1"/>
    <col min="12" max="12" width="19.6640625" customWidth="1"/>
    <col min="13" max="13" width="11" customWidth="1"/>
    <col min="14" max="14" width="12.6640625" customWidth="1"/>
    <col min="15" max="15" width="12.5" customWidth="1"/>
    <col min="16" max="16" width="15.1640625" customWidth="1"/>
    <col min="17" max="17" width="12.5" bestFit="1" customWidth="1"/>
    <col min="22" max="22" width="9.1640625" bestFit="1" customWidth="1"/>
    <col min="23" max="23" width="15.1640625" customWidth="1"/>
    <col min="25" max="25" width="9.1640625" bestFit="1" customWidth="1"/>
    <col min="27" max="27" width="9.1640625" bestFit="1" customWidth="1"/>
  </cols>
  <sheetData>
    <row r="1" spans="1:26" ht="16" thickBot="1" x14ac:dyDescent="0.25">
      <c r="A1" s="4">
        <v>42736</v>
      </c>
      <c r="I1" s="59"/>
      <c r="J1" s="59"/>
      <c r="K1" s="59"/>
      <c r="L1" s="59">
        <v>9500</v>
      </c>
      <c r="M1" s="59"/>
      <c r="N1" s="59"/>
    </row>
    <row r="2" spans="1:26" x14ac:dyDescent="0.2">
      <c r="A2" s="42">
        <f>EOMONTH(A1,C1)</f>
        <v>42766</v>
      </c>
      <c r="B2" s="60" t="s">
        <v>0</v>
      </c>
      <c r="C2" s="60"/>
      <c r="D2" s="60"/>
      <c r="E2" s="60"/>
      <c r="F2" s="60"/>
      <c r="G2" s="61"/>
      <c r="I2" s="4" t="s">
        <v>1</v>
      </c>
      <c r="J2" s="5" t="s">
        <v>2</v>
      </c>
      <c r="K2" s="59" t="s">
        <v>3</v>
      </c>
      <c r="L2" s="59">
        <f>L1/I3</f>
        <v>8333.3333333333339</v>
      </c>
      <c r="M2" s="59"/>
      <c r="N2" s="59"/>
      <c r="P2" s="44">
        <v>42369</v>
      </c>
    </row>
    <row r="3" spans="1:26" ht="16" thickBot="1" x14ac:dyDescent="0.25">
      <c r="A3" s="43">
        <v>2</v>
      </c>
      <c r="B3" s="62"/>
      <c r="C3" s="62"/>
      <c r="D3" s="62"/>
      <c r="E3" s="62"/>
      <c r="F3" s="62"/>
      <c r="G3" s="63"/>
      <c r="I3" s="13">
        <v>1.1399999999999999</v>
      </c>
      <c r="J3" s="5">
        <v>1</v>
      </c>
      <c r="K3" s="59"/>
      <c r="L3" s="59"/>
      <c r="M3" s="59"/>
      <c r="N3" s="59"/>
      <c r="O3">
        <v>8600</v>
      </c>
      <c r="P3" s="44">
        <v>42339</v>
      </c>
    </row>
    <row r="4" spans="1:26" x14ac:dyDescent="0.2">
      <c r="A4" s="67" t="s">
        <v>4</v>
      </c>
      <c r="B4" s="67"/>
      <c r="C4" s="59" t="s">
        <v>5</v>
      </c>
      <c r="I4" s="59" t="s">
        <v>6</v>
      </c>
      <c r="J4" s="59" t="s">
        <v>7</v>
      </c>
      <c r="K4" s="59"/>
      <c r="L4" s="59"/>
      <c r="M4" s="59"/>
      <c r="N4" s="59"/>
      <c r="O4">
        <f>J6</f>
        <v>797.99999999999989</v>
      </c>
    </row>
    <row r="5" spans="1:26" x14ac:dyDescent="0.2">
      <c r="A5" s="59" t="s">
        <v>6</v>
      </c>
      <c r="B5" s="59">
        <v>0</v>
      </c>
      <c r="C5" s="59"/>
      <c r="I5" s="59"/>
      <c r="K5" s="59">
        <f>(J6-O9)*S7</f>
        <v>0</v>
      </c>
      <c r="L5" s="59" t="s">
        <v>8</v>
      </c>
      <c r="M5" s="59" t="s">
        <v>9</v>
      </c>
      <c r="N5" s="59"/>
      <c r="X5" s="59" t="s">
        <v>3</v>
      </c>
    </row>
    <row r="6" spans="1:26" x14ac:dyDescent="0.2">
      <c r="A6" s="59" t="s">
        <v>10</v>
      </c>
      <c r="B6" s="59"/>
      <c r="C6" s="3">
        <v>600</v>
      </c>
      <c r="E6" s="59" t="s">
        <v>11</v>
      </c>
      <c r="F6">
        <f>B7</f>
        <v>-340</v>
      </c>
      <c r="I6" s="59">
        <v>700</v>
      </c>
      <c r="J6" s="59">
        <f>I6*I3</f>
        <v>797.99999999999989</v>
      </c>
      <c r="K6" s="59"/>
      <c r="L6" s="59"/>
      <c r="M6" s="59"/>
      <c r="N6" s="59"/>
      <c r="O6" s="36">
        <f>SUM(O3:O5)</f>
        <v>9398</v>
      </c>
      <c r="P6">
        <f>500*1.36</f>
        <v>680</v>
      </c>
      <c r="Q6" s="42"/>
      <c r="W6" s="59" t="s">
        <v>40</v>
      </c>
      <c r="X6" s="59">
        <f>(877+6134)/I3</f>
        <v>6150.0000000000009</v>
      </c>
    </row>
    <row r="7" spans="1:26" x14ac:dyDescent="0.2">
      <c r="A7" s="59" t="s">
        <v>12</v>
      </c>
      <c r="B7" s="59">
        <v>-340</v>
      </c>
      <c r="C7" s="3">
        <v>1200</v>
      </c>
      <c r="E7" s="59" t="s">
        <v>13</v>
      </c>
      <c r="F7">
        <f>C6+C7+F6</f>
        <v>1460</v>
      </c>
      <c r="I7" s="59" t="s">
        <v>14</v>
      </c>
      <c r="J7" s="4">
        <f>DATE(YEAR(A1),MONTH(A1),DAY(A1)+12)</f>
        <v>42748</v>
      </c>
      <c r="K7" s="59"/>
      <c r="L7" s="59"/>
      <c r="M7" s="59"/>
      <c r="N7" s="59"/>
      <c r="O7" s="36"/>
      <c r="Q7" s="59">
        <f>500*1.4</f>
        <v>700</v>
      </c>
      <c r="R7" s="59"/>
      <c r="W7" s="59" t="s">
        <v>41</v>
      </c>
      <c r="X7" s="59"/>
    </row>
    <row r="8" spans="1:26" x14ac:dyDescent="0.2">
      <c r="A8" s="59"/>
      <c r="B8" s="59"/>
      <c r="C8" s="3"/>
      <c r="E8" s="59"/>
      <c r="I8" s="59" t="s">
        <v>15</v>
      </c>
      <c r="J8" s="4">
        <f>A1</f>
        <v>42736</v>
      </c>
      <c r="K8" s="59"/>
      <c r="L8" s="59" t="s">
        <v>16</v>
      </c>
      <c r="N8" s="59"/>
      <c r="O8" s="36">
        <f>O6-280</f>
        <v>9118</v>
      </c>
      <c r="P8" s="4"/>
      <c r="Q8" s="59"/>
      <c r="R8" s="59"/>
      <c r="U8" s="59"/>
      <c r="V8" s="59"/>
      <c r="W8" s="59" t="s">
        <v>43</v>
      </c>
      <c r="X8" s="59"/>
    </row>
    <row r="9" spans="1:26" x14ac:dyDescent="0.2">
      <c r="A9" s="59" t="s">
        <v>17</v>
      </c>
      <c r="B9" s="42">
        <v>42794</v>
      </c>
      <c r="C9" s="3"/>
      <c r="E9" s="59"/>
      <c r="I9" s="59" t="s">
        <v>18</v>
      </c>
      <c r="J9" s="4">
        <f>A1</f>
        <v>42736</v>
      </c>
      <c r="K9" s="59"/>
      <c r="L9" s="59">
        <f>2163-1960</f>
        <v>203</v>
      </c>
      <c r="M9" s="4">
        <f ca="1">TODAY()</f>
        <v>42917</v>
      </c>
      <c r="N9" s="59"/>
      <c r="P9" s="59"/>
      <c r="Q9" s="59"/>
      <c r="R9" s="59"/>
      <c r="U9" s="59"/>
      <c r="V9" s="59"/>
      <c r="W9" s="59" t="s">
        <v>42</v>
      </c>
      <c r="X9" s="59">
        <f>1800</f>
        <v>1800</v>
      </c>
    </row>
    <row r="10" spans="1:26" x14ac:dyDescent="0.2">
      <c r="A10" s="59" t="s">
        <v>19</v>
      </c>
      <c r="B10" s="13">
        <f>A2-B9-1</f>
        <v>-29</v>
      </c>
      <c r="I10" s="59" t="s">
        <v>20</v>
      </c>
      <c r="J10" s="4">
        <f>DATE(YEAR(A1),MONTH(A1),DAY(A1)+9)</f>
        <v>42745</v>
      </c>
      <c r="K10" s="59"/>
      <c r="L10" s="13"/>
      <c r="M10" s="59"/>
      <c r="N10" s="59"/>
      <c r="P10" s="59">
        <f>400*1.41</f>
        <v>564</v>
      </c>
      <c r="Q10" s="59"/>
      <c r="R10" s="59"/>
      <c r="W10" s="59"/>
    </row>
    <row r="11" spans="1:26" ht="16" thickBot="1" x14ac:dyDescent="0.25">
      <c r="K11" s="59"/>
      <c r="L11" s="59"/>
      <c r="P11" s="59"/>
      <c r="Q11" s="59"/>
      <c r="X11">
        <f>SUM(X6:X9)</f>
        <v>7950.0000000000009</v>
      </c>
      <c r="Y11" s="36">
        <f>X11+O25</f>
        <v>8645.6664250000013</v>
      </c>
    </row>
    <row r="12" spans="1:26" x14ac:dyDescent="0.2">
      <c r="A12" s="64" t="s">
        <v>21</v>
      </c>
      <c r="B12" s="65"/>
      <c r="C12" s="65"/>
      <c r="D12" s="64" t="s">
        <v>22</v>
      </c>
      <c r="E12" s="65"/>
      <c r="F12" s="66"/>
      <c r="I12" s="64" t="s">
        <v>21</v>
      </c>
      <c r="J12" s="65"/>
      <c r="K12" s="66"/>
      <c r="L12" s="64" t="s">
        <v>22</v>
      </c>
      <c r="M12" s="65"/>
      <c r="N12" s="66"/>
      <c r="O12" s="10"/>
      <c r="V12" s="59"/>
      <c r="W12" s="59"/>
      <c r="X12" s="59"/>
      <c r="Y12" s="59"/>
      <c r="Z12" s="59"/>
    </row>
    <row r="13" spans="1:26" x14ac:dyDescent="0.2">
      <c r="A13" s="28" t="s">
        <v>23</v>
      </c>
      <c r="B13" s="28" t="s">
        <v>24</v>
      </c>
      <c r="C13" s="28" t="s">
        <v>25</v>
      </c>
      <c r="D13" s="28" t="s">
        <v>23</v>
      </c>
      <c r="E13" s="28" t="s">
        <v>24</v>
      </c>
      <c r="F13" s="28" t="s">
        <v>25</v>
      </c>
      <c r="G13" s="29" t="s">
        <v>26</v>
      </c>
      <c r="H13" s="30"/>
      <c r="I13" s="28" t="s">
        <v>23</v>
      </c>
      <c r="J13" s="28" t="s">
        <v>27</v>
      </c>
      <c r="K13" s="28" t="s">
        <v>25</v>
      </c>
      <c r="L13" s="28" t="s">
        <v>23</v>
      </c>
      <c r="M13" s="28" t="s">
        <v>24</v>
      </c>
      <c r="N13" s="28" t="s">
        <v>25</v>
      </c>
      <c r="O13" s="29" t="s">
        <v>26</v>
      </c>
      <c r="Q13" s="59"/>
      <c r="R13" s="59"/>
      <c r="S13" s="59"/>
      <c r="U13" s="59"/>
      <c r="V13" s="13"/>
      <c r="W13" s="59"/>
      <c r="X13" s="59"/>
      <c r="Y13" s="59"/>
      <c r="Z13" s="59"/>
    </row>
    <row r="14" spans="1:26" x14ac:dyDescent="0.2">
      <c r="A14" s="25" t="s">
        <v>10</v>
      </c>
      <c r="B14" s="26">
        <v>0</v>
      </c>
      <c r="C14" s="24"/>
      <c r="D14" s="20" t="str">
        <f>"Food ("&amp;B10&amp;" days)"</f>
        <v>Food (-29 days)</v>
      </c>
      <c r="E14" s="38">
        <f>400</f>
        <v>400</v>
      </c>
      <c r="F14" s="18"/>
      <c r="G14" s="10"/>
      <c r="I14" s="1" t="s">
        <v>28</v>
      </c>
      <c r="J14" s="6">
        <v>70</v>
      </c>
      <c r="K14" s="2"/>
      <c r="L14" s="20" t="str">
        <f>"Food ("&amp;B10&amp;" days)"</f>
        <v>Food (-29 days)</v>
      </c>
      <c r="M14" s="22">
        <v>200</v>
      </c>
      <c r="N14" s="2"/>
      <c r="O14" s="14"/>
      <c r="Q14" s="59" t="s">
        <v>54</v>
      </c>
      <c r="R14" s="59"/>
      <c r="S14" s="59"/>
      <c r="T14" s="59" t="s">
        <v>55</v>
      </c>
      <c r="U14" s="59" t="s">
        <v>56</v>
      </c>
      <c r="V14" s="59"/>
      <c r="W14" s="59"/>
      <c r="X14" s="59"/>
      <c r="Y14" s="59"/>
      <c r="Z14" s="59"/>
    </row>
    <row r="15" spans="1:26" x14ac:dyDescent="0.2">
      <c r="A15" s="59" t="s">
        <v>29</v>
      </c>
      <c r="B15" s="59">
        <f>141</f>
        <v>141</v>
      </c>
      <c r="C15" s="14"/>
      <c r="D15" s="31" t="s">
        <v>20</v>
      </c>
      <c r="E15" s="38">
        <f>M15*$I$3</f>
        <v>136.79999999999998</v>
      </c>
      <c r="F15" s="18"/>
      <c r="G15" s="10"/>
      <c r="I15" s="1" t="s">
        <v>29</v>
      </c>
      <c r="J15" s="22">
        <v>404</v>
      </c>
      <c r="K15" s="2"/>
      <c r="L15" s="31" t="s">
        <v>20</v>
      </c>
      <c r="M15" s="32">
        <v>120</v>
      </c>
      <c r="N15" s="2"/>
      <c r="O15" s="14"/>
      <c r="Q15" s="59" t="s">
        <v>34</v>
      </c>
      <c r="R15" s="59">
        <v>40</v>
      </c>
      <c r="S15" s="59"/>
      <c r="T15" s="59">
        <f>R15*0.333</f>
        <v>13.32</v>
      </c>
      <c r="U15" s="59">
        <f>R15*0.666</f>
        <v>26.64</v>
      </c>
      <c r="V15" s="59"/>
      <c r="W15" s="59"/>
      <c r="X15" s="59"/>
      <c r="Y15" s="59"/>
      <c r="Z15" s="59"/>
    </row>
    <row r="16" spans="1:26" x14ac:dyDescent="0.2">
      <c r="A16" s="59" t="s">
        <v>30</v>
      </c>
      <c r="B16" s="59">
        <f>J16/J3</f>
        <v>0</v>
      </c>
      <c r="C16" s="2"/>
      <c r="D16" s="33" t="s">
        <v>31</v>
      </c>
      <c r="E16" s="38">
        <f t="shared" ref="E16:E19" si="0">M16*$I$3</f>
        <v>0</v>
      </c>
      <c r="F16" s="18"/>
      <c r="G16" s="10"/>
      <c r="H16" s="16" t="s">
        <v>39</v>
      </c>
      <c r="I16" s="45" t="s">
        <v>32</v>
      </c>
      <c r="J16" s="46"/>
      <c r="K16" s="2"/>
      <c r="L16" s="33" t="s">
        <v>31</v>
      </c>
      <c r="M16" s="33"/>
      <c r="N16" s="2"/>
      <c r="O16" s="14"/>
      <c r="Q16" s="59" t="s">
        <v>31</v>
      </c>
      <c r="R16" s="59">
        <v>60</v>
      </c>
      <c r="S16" s="59"/>
      <c r="T16" s="59">
        <f>R16*0.333</f>
        <v>19.98</v>
      </c>
      <c r="U16" s="59">
        <f>R16*0.666</f>
        <v>39.96</v>
      </c>
      <c r="V16" s="59"/>
      <c r="W16" s="59"/>
      <c r="X16" s="59"/>
    </row>
    <row r="17" spans="1:24" x14ac:dyDescent="0.2">
      <c r="A17" s="1"/>
      <c r="B17" s="6"/>
      <c r="C17" s="2"/>
      <c r="D17" s="31" t="s">
        <v>33</v>
      </c>
      <c r="E17" s="38">
        <f t="shared" si="0"/>
        <v>45.599999999999994</v>
      </c>
      <c r="F17" s="18"/>
      <c r="G17" s="10"/>
      <c r="I17" s="1" t="s">
        <v>51</v>
      </c>
      <c r="J17" s="6">
        <v>80</v>
      </c>
      <c r="K17" s="2"/>
      <c r="L17" s="31" t="s">
        <v>33</v>
      </c>
      <c r="M17" s="32">
        <v>40</v>
      </c>
      <c r="N17" s="2"/>
      <c r="O17" s="14"/>
      <c r="Q17" s="59" t="s">
        <v>20</v>
      </c>
      <c r="R17" s="59">
        <v>120</v>
      </c>
      <c r="S17" s="59"/>
      <c r="T17" s="59">
        <f>R17*0.333</f>
        <v>39.96</v>
      </c>
      <c r="U17" s="59">
        <f>R17*0.666</f>
        <v>79.92</v>
      </c>
      <c r="V17" s="59"/>
      <c r="W17" s="59"/>
      <c r="X17" s="59"/>
    </row>
    <row r="18" spans="1:24" x14ac:dyDescent="0.2">
      <c r="A18" s="1"/>
      <c r="B18" s="6"/>
      <c r="C18" s="2"/>
      <c r="D18" s="31" t="s">
        <v>14</v>
      </c>
      <c r="E18" s="38">
        <f t="shared" si="0"/>
        <v>0</v>
      </c>
      <c r="F18" s="18"/>
      <c r="G18" s="10"/>
      <c r="I18" s="1" t="s">
        <v>52</v>
      </c>
      <c r="J18" s="6">
        <v>50</v>
      </c>
      <c r="K18" s="2"/>
      <c r="L18" s="31" t="s">
        <v>47</v>
      </c>
      <c r="M18" s="32"/>
      <c r="N18" s="2"/>
      <c r="O18" s="14"/>
      <c r="Q18" s="59" t="s">
        <v>57</v>
      </c>
      <c r="R18" s="59">
        <f>85*4</f>
        <v>340</v>
      </c>
      <c r="S18" s="59"/>
      <c r="T18" s="59">
        <f>R18*0.333</f>
        <v>113.22000000000001</v>
      </c>
      <c r="U18" s="59">
        <f>R18*0.6666</f>
        <v>226.64399999999998</v>
      </c>
      <c r="V18" s="59"/>
      <c r="X18" s="59"/>
    </row>
    <row r="19" spans="1:24" x14ac:dyDescent="0.2">
      <c r="A19" s="1"/>
      <c r="B19" s="6"/>
      <c r="C19" s="2"/>
      <c r="D19" s="37" t="s">
        <v>34</v>
      </c>
      <c r="E19" s="38">
        <f t="shared" si="0"/>
        <v>0</v>
      </c>
      <c r="F19" s="18"/>
      <c r="G19" s="10"/>
      <c r="I19" s="1" t="s">
        <v>48</v>
      </c>
      <c r="J19" s="6">
        <v>200</v>
      </c>
      <c r="K19" s="2"/>
      <c r="L19" s="31" t="s">
        <v>34</v>
      </c>
      <c r="M19" s="37"/>
      <c r="N19" s="2"/>
      <c r="O19" s="14"/>
      <c r="Q19" s="59" t="s">
        <v>14</v>
      </c>
      <c r="R19" s="59">
        <v>795</v>
      </c>
      <c r="S19" s="59"/>
      <c r="T19" s="59">
        <f>R19/3</f>
        <v>265</v>
      </c>
      <c r="U19" s="59">
        <f>R19*2/3</f>
        <v>530</v>
      </c>
      <c r="V19" s="59"/>
      <c r="W19" s="36"/>
      <c r="X19" s="59"/>
    </row>
    <row r="20" spans="1:24" x14ac:dyDescent="0.2">
      <c r="A20" s="1"/>
      <c r="B20" s="6"/>
      <c r="C20" s="2"/>
      <c r="D20" s="21"/>
      <c r="E20" s="38"/>
      <c r="F20" s="18"/>
      <c r="G20" s="10"/>
      <c r="I20" s="1" t="s">
        <v>58</v>
      </c>
      <c r="J20" s="6">
        <f>725*0.333333</f>
        <v>241.666425</v>
      </c>
      <c r="K20" s="2"/>
      <c r="L20" s="40" t="s">
        <v>60</v>
      </c>
      <c r="M20" s="35">
        <v>20</v>
      </c>
      <c r="N20" s="2"/>
      <c r="O20" s="14"/>
      <c r="P20" s="59"/>
      <c r="Q20" s="59" t="s">
        <v>33</v>
      </c>
      <c r="R20" s="59">
        <v>40</v>
      </c>
      <c r="T20" s="59">
        <f>R20*1/3</f>
        <v>13.333333333333334</v>
      </c>
      <c r="U20" s="59">
        <f>R20*0.6666</f>
        <v>26.663999999999998</v>
      </c>
      <c r="V20" s="59"/>
      <c r="W20" s="59"/>
      <c r="X20" s="59"/>
    </row>
    <row r="21" spans="1:24" x14ac:dyDescent="0.2">
      <c r="A21" s="1"/>
      <c r="B21" s="6"/>
      <c r="C21" s="2"/>
      <c r="D21" s="34"/>
      <c r="E21" s="39"/>
      <c r="F21" s="18"/>
      <c r="G21" s="10"/>
      <c r="I21" s="1" t="s">
        <v>44</v>
      </c>
      <c r="J21" s="6">
        <v>30</v>
      </c>
      <c r="K21" s="2"/>
      <c r="L21" s="21" t="s">
        <v>49</v>
      </c>
      <c r="M21" s="35"/>
      <c r="N21" s="2"/>
      <c r="O21" s="14"/>
      <c r="P21" s="59"/>
      <c r="R21" s="59"/>
      <c r="V21" s="59"/>
      <c r="W21" s="59"/>
      <c r="X21" s="59"/>
    </row>
    <row r="22" spans="1:24" x14ac:dyDescent="0.2">
      <c r="A22" s="1"/>
      <c r="B22" s="6"/>
      <c r="C22" s="6"/>
      <c r="D22" s="21"/>
      <c r="E22" s="35"/>
      <c r="F22" s="14"/>
      <c r="G22" s="10"/>
      <c r="I22" s="1"/>
      <c r="J22" s="6"/>
      <c r="K22" s="6"/>
      <c r="L22" s="40" t="s">
        <v>61</v>
      </c>
      <c r="M22" s="35"/>
      <c r="N22" s="2">
        <f>L29</f>
        <v>0</v>
      </c>
      <c r="O22" s="14"/>
      <c r="P22" s="59"/>
      <c r="Q22" s="70" t="s">
        <v>25</v>
      </c>
      <c r="R22" s="68"/>
      <c r="S22" s="59"/>
      <c r="T22" s="59">
        <f>SUM(T15:T20)</f>
        <v>464.81333333333333</v>
      </c>
      <c r="U22" s="59">
        <f>SUM(U15:U20)</f>
        <v>929.82799999999997</v>
      </c>
      <c r="V22" s="59"/>
      <c r="W22" s="59"/>
      <c r="X22" s="59"/>
    </row>
    <row r="23" spans="1:24" x14ac:dyDescent="0.2">
      <c r="A23" s="1"/>
      <c r="B23" s="6"/>
      <c r="C23" s="2"/>
      <c r="D23">
        <v>0.8</v>
      </c>
      <c r="F23" s="18"/>
      <c r="G23" s="10"/>
      <c r="I23" s="1"/>
      <c r="J23" s="6"/>
      <c r="K23" s="2"/>
      <c r="M23" s="56"/>
      <c r="N23" s="2"/>
      <c r="O23" s="14"/>
      <c r="Q23" s="69"/>
      <c r="R23" s="69"/>
      <c r="V23" s="59"/>
      <c r="W23" s="59"/>
      <c r="X23" s="59"/>
    </row>
    <row r="24" spans="1:24" ht="16" thickBot="1" x14ac:dyDescent="0.25">
      <c r="A24" s="11"/>
      <c r="B24" s="7"/>
      <c r="C24" s="12"/>
      <c r="D24">
        <v>0.02</v>
      </c>
      <c r="F24" s="19"/>
      <c r="G24" s="10"/>
      <c r="I24" s="27"/>
      <c r="J24" s="7">
        <f>SUM(J14:J22)</f>
        <v>1075.6664249999999</v>
      </c>
      <c r="K24" s="15"/>
      <c r="N24" s="15"/>
      <c r="O24" s="2"/>
      <c r="Q24" s="68" t="s">
        <v>53</v>
      </c>
      <c r="R24" s="68"/>
      <c r="V24" s="59"/>
      <c r="W24" s="59"/>
      <c r="X24" s="59"/>
    </row>
    <row r="25" spans="1:24" ht="16" thickBot="1" x14ac:dyDescent="0.25">
      <c r="A25" s="23"/>
      <c r="B25" s="59" t="s">
        <v>0</v>
      </c>
      <c r="C25" s="9">
        <f>SUM(B14:B19)</f>
        <v>141</v>
      </c>
      <c r="D25">
        <f>D23/D24</f>
        <v>40</v>
      </c>
      <c r="F25" s="36">
        <f>SUM(E14:E19)</f>
        <v>582.4</v>
      </c>
      <c r="G25" s="17">
        <f>C25-F25</f>
        <v>-441.4</v>
      </c>
      <c r="I25" s="10"/>
      <c r="J25" s="6">
        <f>J24</f>
        <v>1075.6664249999999</v>
      </c>
      <c r="K25" s="6"/>
      <c r="N25" s="22">
        <f>SUM(M14:M23)</f>
        <v>380</v>
      </c>
      <c r="O25" s="41">
        <f>J25-N25</f>
        <v>695.66642499999989</v>
      </c>
      <c r="P25" s="36"/>
      <c r="Q25" s="59" t="s">
        <v>33</v>
      </c>
      <c r="R25" s="59">
        <v>40</v>
      </c>
      <c r="V25" s="59"/>
      <c r="W25" s="59"/>
      <c r="X25" s="59"/>
    </row>
    <row r="26" spans="1:24" x14ac:dyDescent="0.2">
      <c r="O26" s="59"/>
      <c r="Q26" s="59" t="s">
        <v>20</v>
      </c>
      <c r="R26" s="59"/>
      <c r="V26" s="59"/>
      <c r="W26" s="59"/>
      <c r="X26" s="59"/>
    </row>
    <row r="27" spans="1:24" ht="16" thickBot="1" x14ac:dyDescent="0.25">
      <c r="O27" s="59"/>
      <c r="Q27" s="59"/>
      <c r="R27" s="59"/>
      <c r="S27" s="59"/>
      <c r="T27" s="59"/>
      <c r="U27" s="59"/>
      <c r="V27" s="59"/>
      <c r="W27" s="59"/>
    </row>
    <row r="28" spans="1:24" ht="16" thickBot="1" x14ac:dyDescent="0.25">
      <c r="C28" s="8"/>
      <c r="F28" s="8"/>
      <c r="G28" s="17">
        <f>O28/J3</f>
        <v>0</v>
      </c>
      <c r="N28" s="59"/>
      <c r="O28" s="59"/>
      <c r="Q28" s="59"/>
      <c r="R28" s="59"/>
      <c r="S28" s="59"/>
      <c r="T28" s="59"/>
      <c r="U28" s="59"/>
      <c r="V28" s="59"/>
      <c r="W28" s="59"/>
      <c r="X28" s="59"/>
    </row>
    <row r="29" spans="1:24" x14ac:dyDescent="0.2">
      <c r="A29" t="s">
        <v>35</v>
      </c>
      <c r="B29">
        <f>J29/0.85</f>
        <v>0</v>
      </c>
      <c r="I29" s="59"/>
      <c r="J29" s="59"/>
      <c r="O29" s="59"/>
    </row>
    <row r="30" spans="1:24" x14ac:dyDescent="0.2">
      <c r="O30" s="59"/>
      <c r="Q30" s="48"/>
      <c r="R30" s="48"/>
    </row>
    <row r="31" spans="1:24" x14ac:dyDescent="0.2">
      <c r="B31" t="s">
        <v>36</v>
      </c>
      <c r="K31" s="47"/>
      <c r="Q31" s="48"/>
      <c r="R31" s="48"/>
    </row>
    <row r="32" spans="1:24" x14ac:dyDescent="0.2">
      <c r="Q32" s="48"/>
      <c r="R32" s="48"/>
    </row>
    <row r="33" spans="3:18" x14ac:dyDescent="0.2">
      <c r="Q33" s="48"/>
      <c r="R33" s="48"/>
    </row>
    <row r="34" spans="3:18" x14ac:dyDescent="0.2">
      <c r="D34">
        <v>124</v>
      </c>
      <c r="Q34" s="48"/>
      <c r="R34" s="48"/>
    </row>
    <row r="35" spans="3:18" x14ac:dyDescent="0.2">
      <c r="C35" t="s">
        <v>45</v>
      </c>
      <c r="D35">
        <v>18</v>
      </c>
      <c r="J35" s="59"/>
      <c r="K35" s="59"/>
      <c r="L35" s="59"/>
    </row>
    <row r="36" spans="3:18" x14ac:dyDescent="0.2">
      <c r="D36">
        <v>16</v>
      </c>
      <c r="K36" s="59"/>
      <c r="L36" s="59"/>
      <c r="M36" s="59"/>
    </row>
    <row r="37" spans="3:18" x14ac:dyDescent="0.2">
      <c r="K37" s="59"/>
      <c r="L37" s="59"/>
      <c r="M37" s="59"/>
    </row>
    <row r="46" spans="3:18" ht="17" x14ac:dyDescent="0.2">
      <c r="J46" s="50"/>
      <c r="K46" s="51"/>
      <c r="L46" s="50"/>
      <c r="M46" s="51"/>
    </row>
    <row r="47" spans="3:18" ht="17" x14ac:dyDescent="0.2">
      <c r="J47" s="52"/>
      <c r="K47" s="53"/>
      <c r="L47" s="53"/>
      <c r="M47" s="52"/>
      <c r="N47" s="50"/>
      <c r="O47" s="51"/>
      <c r="P47" s="54"/>
      <c r="Q47" s="55"/>
    </row>
    <row r="48" spans="3:18" ht="17" x14ac:dyDescent="0.2">
      <c r="J48" s="52"/>
      <c r="K48" s="53"/>
      <c r="L48" s="53"/>
      <c r="M48" s="52"/>
      <c r="N48" s="54"/>
      <c r="O48" s="55"/>
      <c r="P48" s="52"/>
    </row>
    <row r="49" spans="10:15" ht="17" x14ac:dyDescent="0.2">
      <c r="J49" s="52"/>
      <c r="K49" s="53"/>
      <c r="L49" s="53"/>
      <c r="M49" s="52"/>
      <c r="N49" s="54"/>
      <c r="O49" s="55"/>
    </row>
    <row r="50" spans="10:15" ht="17" x14ac:dyDescent="0.2">
      <c r="J50" s="52"/>
      <c r="K50" s="53"/>
      <c r="L50" s="53"/>
      <c r="M50" s="52"/>
      <c r="N50" s="54"/>
      <c r="O50" s="55"/>
    </row>
    <row r="51" spans="10:15" ht="17" x14ac:dyDescent="0.2">
      <c r="J51" s="52"/>
      <c r="K51" s="53"/>
      <c r="L51" s="53"/>
      <c r="M51" s="52"/>
      <c r="N51" s="54"/>
      <c r="O51" s="55"/>
    </row>
    <row r="52" spans="10:15" ht="17" x14ac:dyDescent="0.2">
      <c r="J52" s="52"/>
      <c r="K52" s="53"/>
      <c r="L52" s="53"/>
      <c r="M52" s="52"/>
      <c r="N52" s="54"/>
      <c r="O52" s="55"/>
    </row>
    <row r="53" spans="10:15" ht="17" x14ac:dyDescent="0.2">
      <c r="J53" s="52"/>
      <c r="K53" s="53"/>
      <c r="L53" s="53"/>
      <c r="M53" s="52"/>
      <c r="N53" s="54"/>
      <c r="O53" s="55"/>
    </row>
    <row r="54" spans="10:15" ht="17" x14ac:dyDescent="0.2">
      <c r="J54" s="52"/>
      <c r="K54" s="53"/>
      <c r="L54" s="53"/>
      <c r="M54" s="52"/>
      <c r="N54" s="54"/>
      <c r="O54" s="55"/>
    </row>
    <row r="55" spans="10:15" ht="17" x14ac:dyDescent="0.2">
      <c r="J55" s="52"/>
      <c r="K55" s="53"/>
      <c r="L55" s="53"/>
      <c r="M55" s="52"/>
      <c r="N55" s="54"/>
      <c r="O55" s="55"/>
    </row>
    <row r="56" spans="10:15" ht="17" x14ac:dyDescent="0.2">
      <c r="J56" s="52"/>
      <c r="K56" s="53"/>
      <c r="L56" s="53"/>
      <c r="M56" s="52"/>
      <c r="N56" s="54"/>
      <c r="O56" s="55"/>
    </row>
    <row r="57" spans="10:15" ht="17" x14ac:dyDescent="0.2">
      <c r="J57" s="52"/>
      <c r="K57" s="53"/>
      <c r="L57" s="53"/>
      <c r="M57" s="52"/>
      <c r="N57" s="54"/>
      <c r="O57" s="55"/>
    </row>
    <row r="58" spans="10:15" ht="17" x14ac:dyDescent="0.2">
      <c r="J58" s="52"/>
      <c r="K58" s="53"/>
      <c r="L58" s="53"/>
      <c r="M58" s="52"/>
      <c r="N58" s="54"/>
      <c r="O58" s="55"/>
    </row>
    <row r="59" spans="10:15" ht="17" x14ac:dyDescent="0.2">
      <c r="J59" s="52"/>
      <c r="K59" s="53"/>
      <c r="L59" s="53"/>
      <c r="M59" s="52"/>
      <c r="N59" s="54"/>
      <c r="O59" s="55"/>
    </row>
    <row r="60" spans="10:15" ht="17" x14ac:dyDescent="0.2">
      <c r="J60" s="52"/>
      <c r="K60" s="53"/>
      <c r="L60" s="53"/>
      <c r="M60" s="52"/>
      <c r="N60" s="54"/>
      <c r="O60" s="55"/>
    </row>
    <row r="61" spans="10:15" ht="17" x14ac:dyDescent="0.2">
      <c r="J61" s="52"/>
      <c r="K61" s="53"/>
      <c r="L61" s="53"/>
      <c r="M61" s="52"/>
      <c r="N61" s="54"/>
    </row>
    <row r="93" spans="11:11" x14ac:dyDescent="0.2">
      <c r="K93" t="s">
        <v>37</v>
      </c>
    </row>
    <row r="99" spans="11:11" x14ac:dyDescent="0.2">
      <c r="K99" t="s">
        <v>38</v>
      </c>
    </row>
  </sheetData>
  <mergeCells count="6">
    <mergeCell ref="B2:G3"/>
    <mergeCell ref="A4:B4"/>
    <mergeCell ref="A12:C12"/>
    <mergeCell ref="D12:F12"/>
    <mergeCell ref="I12:K12"/>
    <mergeCell ref="L12:N12"/>
  </mergeCells>
  <conditionalFormatting sqref="A35:C1048576 G32 E6:G9 J14 A5 C5:D5 I17:K23 F14:H24 A32:C32 F29:F30 A31:B31 L12 I12 A12:F12 D13:N13 A13:B14 D34:F1048576 A28:C28 F28:G28 D28:E29 A17:C26 H26:K28 F25:K25 A10:H11 C16 M14 M4 D25:E26 H30:K30 H29 K29 A30:C30 C29 L18 L20:L22 D18:D19 D21:E22 N25:O25 Q25:XFD25 M5:XFD5 A6:C8 A9 C9 P2 A4:I4 J6 R12:XFD12 N10:P10 K4:K10 H31:J31 M30:XFD30 H32:K34 L31:P34 Q33:Q34 R31:XFD34 G37:XFD45 G36:I36 L36:XFD36 G35:XFD35 Q13:R16 O13:P24 Q18:S18 T20:XFD24 T18:T19 X18:XFD19 N6:W9 S16:XFD17 Z13:XFD14 W15:XFD15 S13:T15 W13:X14 U14:V15 G62:XFD1048576 G46:I61 R46:XFD61 K11:AC11 R10:AC10 X8:AC9 AE8:XFD11 X6:XFD7 L26:X26 Z26:XFD26 L27:XFD29">
    <cfRule type="cellIs" dxfId="12" priority="13" operator="lessThan">
      <formula>0</formula>
    </cfRule>
  </conditionalFormatting>
  <conditionalFormatting sqref="G5 N4:XFD4">
    <cfRule type="cellIs" dxfId="11" priority="12" operator="lessThan">
      <formula>0</formula>
    </cfRule>
  </conditionalFormatting>
  <conditionalFormatting sqref="N14:N16 K14:K16">
    <cfRule type="cellIs" dxfId="10" priority="11" operator="lessThan">
      <formula>0</formula>
    </cfRule>
  </conditionalFormatting>
  <conditionalFormatting sqref="D14">
    <cfRule type="cellIs" dxfId="9" priority="10" operator="lessThan">
      <formula>0</formula>
    </cfRule>
  </conditionalFormatting>
  <conditionalFormatting sqref="L15 N17">
    <cfRule type="cellIs" dxfId="8" priority="9" operator="lessThan">
      <formula>0</formula>
    </cfRule>
  </conditionalFormatting>
  <conditionalFormatting sqref="L17 N18:N23">
    <cfRule type="cellIs" dxfId="7" priority="8" operator="lessThan">
      <formula>0</formula>
    </cfRule>
  </conditionalFormatting>
  <conditionalFormatting sqref="L14">
    <cfRule type="cellIs" dxfId="6" priority="7" operator="lessThan">
      <formula>0</formula>
    </cfRule>
  </conditionalFormatting>
  <conditionalFormatting sqref="D20">
    <cfRule type="cellIs" dxfId="5" priority="6" operator="lessThan">
      <formula>0</formula>
    </cfRule>
  </conditionalFormatting>
  <conditionalFormatting sqref="D15">
    <cfRule type="cellIs" dxfId="4" priority="5" operator="lessThan">
      <formula>0</formula>
    </cfRule>
  </conditionalFormatting>
  <conditionalFormatting sqref="D17">
    <cfRule type="cellIs" dxfId="3" priority="4" operator="lessThan">
      <formula>0</formula>
    </cfRule>
  </conditionalFormatting>
  <conditionalFormatting sqref="J8">
    <cfRule type="cellIs" dxfId="2" priority="3" operator="lessThan">
      <formula>0</formula>
    </cfRule>
  </conditionalFormatting>
  <conditionalFormatting sqref="J9">
    <cfRule type="cellIs" dxfId="1" priority="2" operator="lessThan">
      <formula>0</formula>
    </cfRule>
  </conditionalFormatting>
  <conditionalFormatting sqref="J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5" sqref="G5"/>
    </sheetView>
  </sheetViews>
  <sheetFormatPr baseColWidth="10" defaultRowHeight="15" x14ac:dyDescent="0.2"/>
  <sheetData>
    <row r="1" spans="1:7" x14ac:dyDescent="0.2">
      <c r="A1" s="59" t="s">
        <v>54</v>
      </c>
      <c r="B1" s="59"/>
      <c r="C1" s="59"/>
      <c r="D1" s="59" t="s">
        <v>55</v>
      </c>
      <c r="E1" s="59" t="s">
        <v>56</v>
      </c>
    </row>
    <row r="2" spans="1:7" x14ac:dyDescent="0.2">
      <c r="A2" s="59" t="s">
        <v>34</v>
      </c>
      <c r="B2" s="59">
        <v>40</v>
      </c>
      <c r="C2" s="59"/>
      <c r="D2" s="59">
        <f>B2*0.333</f>
        <v>13.32</v>
      </c>
      <c r="E2" s="59">
        <f>B2*0.666</f>
        <v>26.64</v>
      </c>
    </row>
    <row r="3" spans="1:7" x14ac:dyDescent="0.2">
      <c r="A3" s="59" t="s">
        <v>31</v>
      </c>
      <c r="B3" s="59">
        <v>60</v>
      </c>
      <c r="C3" s="59"/>
      <c r="D3" s="59">
        <f>B3*0.333</f>
        <v>19.98</v>
      </c>
      <c r="E3" s="59">
        <f>B3*0.666</f>
        <v>39.96</v>
      </c>
    </row>
    <row r="4" spans="1:7" x14ac:dyDescent="0.2">
      <c r="A4" s="59" t="s">
        <v>20</v>
      </c>
      <c r="B4" s="59">
        <v>120</v>
      </c>
      <c r="C4" s="59"/>
      <c r="D4" s="59">
        <f>B4*0.333</f>
        <v>39.96</v>
      </c>
      <c r="E4" s="59">
        <f>B4*0.666</f>
        <v>79.92</v>
      </c>
    </row>
    <row r="5" spans="1:7" x14ac:dyDescent="0.2">
      <c r="A5" s="59" t="s">
        <v>57</v>
      </c>
      <c r="B5" s="59">
        <f>85*4</f>
        <v>340</v>
      </c>
      <c r="C5" s="59"/>
      <c r="D5" s="59">
        <f>B5*0.333</f>
        <v>113.22000000000001</v>
      </c>
      <c r="E5" s="59">
        <f>B5*0.6666</f>
        <v>226.64399999999998</v>
      </c>
      <c r="G5">
        <f>E5/2</f>
        <v>113.32199999999999</v>
      </c>
    </row>
    <row r="6" spans="1:7" x14ac:dyDescent="0.2">
      <c r="A6" s="59" t="s">
        <v>14</v>
      </c>
      <c r="B6" s="59">
        <v>795</v>
      </c>
      <c r="C6" s="59"/>
      <c r="D6" s="59">
        <f>B6/3</f>
        <v>265</v>
      </c>
      <c r="E6" s="59">
        <f>B6*2/3</f>
        <v>530</v>
      </c>
    </row>
    <row r="7" spans="1:7" x14ac:dyDescent="0.2">
      <c r="A7" s="59" t="s">
        <v>33</v>
      </c>
      <c r="B7" s="59">
        <v>40</v>
      </c>
      <c r="D7" s="59">
        <f>B7*1/3</f>
        <v>13.333333333333334</v>
      </c>
      <c r="E7" s="59">
        <f>B7*0.6666</f>
        <v>26.663999999999998</v>
      </c>
    </row>
    <row r="8" spans="1:7" x14ac:dyDescent="0.2">
      <c r="B8" s="59"/>
    </row>
    <row r="9" spans="1:7" x14ac:dyDescent="0.2">
      <c r="A9" s="70" t="s">
        <v>25</v>
      </c>
      <c r="B9" s="68"/>
      <c r="C9" s="59"/>
      <c r="D9" s="59">
        <f>SUM(D2:D7)</f>
        <v>464.81333333333333</v>
      </c>
      <c r="E9" s="59">
        <f>SUM(E2:E7)</f>
        <v>929.82799999999997</v>
      </c>
      <c r="G9">
        <v>950</v>
      </c>
    </row>
    <row r="10" spans="1:7" x14ac:dyDescent="0.2">
      <c r="A10" s="69"/>
      <c r="B10" s="69"/>
      <c r="G10">
        <f>G9-160</f>
        <v>790</v>
      </c>
    </row>
    <row r="11" spans="1:7" x14ac:dyDescent="0.2">
      <c r="A11" s="68" t="s">
        <v>53</v>
      </c>
      <c r="B11" s="68"/>
      <c r="G11">
        <f>G10-40</f>
        <v>750</v>
      </c>
    </row>
    <row r="12" spans="1:7" x14ac:dyDescent="0.2">
      <c r="A12" s="59" t="s">
        <v>33</v>
      </c>
      <c r="B12" s="59">
        <v>40</v>
      </c>
    </row>
    <row r="13" spans="1:7" x14ac:dyDescent="0.2">
      <c r="A13" s="59" t="s">
        <v>20</v>
      </c>
      <c r="B13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</vt:lpstr>
      <vt:lpstr>July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</dc:creator>
  <cp:keywords/>
  <dc:description/>
  <cp:lastModifiedBy>Microsoft Office User</cp:lastModifiedBy>
  <cp:revision/>
  <dcterms:created xsi:type="dcterms:W3CDTF">2011-08-04T21:07:33Z</dcterms:created>
  <dcterms:modified xsi:type="dcterms:W3CDTF">2017-07-01T21:34:20Z</dcterms:modified>
</cp:coreProperties>
</file>