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B6135E29-6760-444F-92D9-116212BF46B1}" xr6:coauthVersionLast="47" xr6:coauthVersionMax="47" xr10:uidLastSave="{00000000-0000-0000-0000-000000000000}"/>
  <bookViews>
    <workbookView xWindow="-120" yWindow="-120" windowWidth="20730" windowHeight="11310" xr2:uid="{23D07CB1-7EDD-4410-8233-38886BC05A51}"/>
  </bookViews>
  <sheets>
    <sheet name="AE1" sheetId="1" r:id="rId1"/>
  </sheets>
  <definedNames>
    <definedName name="_xlnm.Print_Area" localSheetId="0">'AE1'!$A$1:$AB$320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'AE1'!$B$220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39" i="1" l="1"/>
  <c r="O233" i="1"/>
  <c r="I227" i="1"/>
  <c r="D239" i="1"/>
  <c r="E239" i="1"/>
  <c r="F239" i="1"/>
  <c r="G239" i="1"/>
  <c r="H239" i="1"/>
  <c r="D240" i="1"/>
  <c r="E240" i="1"/>
  <c r="F240" i="1"/>
  <c r="G240" i="1"/>
  <c r="H240" i="1"/>
  <c r="D241" i="1"/>
  <c r="E241" i="1"/>
  <c r="F241" i="1"/>
  <c r="G241" i="1"/>
  <c r="H241" i="1"/>
  <c r="D242" i="1"/>
  <c r="E242" i="1"/>
  <c r="F242" i="1"/>
  <c r="G242" i="1"/>
  <c r="H242" i="1"/>
  <c r="D243" i="1"/>
  <c r="E243" i="1"/>
  <c r="F243" i="1"/>
  <c r="G243" i="1"/>
  <c r="H243" i="1"/>
  <c r="D244" i="1"/>
  <c r="E244" i="1"/>
  <c r="F244" i="1"/>
  <c r="G244" i="1"/>
  <c r="H244" i="1"/>
  <c r="C240" i="1"/>
  <c r="C241" i="1"/>
  <c r="C242" i="1"/>
  <c r="C243" i="1"/>
  <c r="C244" i="1"/>
  <c r="C239" i="1"/>
  <c r="D233" i="1"/>
  <c r="E233" i="1"/>
  <c r="F233" i="1"/>
  <c r="G233" i="1"/>
  <c r="H233" i="1"/>
  <c r="D234" i="1"/>
  <c r="E234" i="1"/>
  <c r="F234" i="1"/>
  <c r="G234" i="1"/>
  <c r="H234" i="1"/>
  <c r="D235" i="1"/>
  <c r="E235" i="1"/>
  <c r="F235" i="1"/>
  <c r="G235" i="1"/>
  <c r="H235" i="1"/>
  <c r="D236" i="1"/>
  <c r="E236" i="1"/>
  <c r="F236" i="1"/>
  <c r="G236" i="1"/>
  <c r="H236" i="1"/>
  <c r="D237" i="1"/>
  <c r="E237" i="1"/>
  <c r="F237" i="1"/>
  <c r="G237" i="1"/>
  <c r="H237" i="1"/>
  <c r="D238" i="1"/>
  <c r="E238" i="1"/>
  <c r="F238" i="1"/>
  <c r="G238" i="1"/>
  <c r="H238" i="1"/>
  <c r="C234" i="1"/>
  <c r="C235" i="1"/>
  <c r="C236" i="1"/>
  <c r="C237" i="1"/>
  <c r="C238" i="1"/>
  <c r="C233" i="1"/>
  <c r="U221" i="1"/>
  <c r="O221" i="1"/>
  <c r="I222" i="1"/>
  <c r="I223" i="1"/>
  <c r="I224" i="1"/>
  <c r="I225" i="1"/>
  <c r="I226" i="1"/>
  <c r="I221" i="1"/>
  <c r="C221" i="1"/>
  <c r="O257" i="1" a="1"/>
  <c r="O257" i="1" s="1"/>
  <c r="V252" i="1"/>
  <c r="C228" i="1" l="1"/>
  <c r="D228" i="1"/>
  <c r="E228" i="1"/>
  <c r="F228" i="1"/>
  <c r="G228" i="1"/>
  <c r="H228" i="1"/>
  <c r="C229" i="1"/>
  <c r="D229" i="1"/>
  <c r="E229" i="1"/>
  <c r="F229" i="1"/>
  <c r="G229" i="1"/>
  <c r="H229" i="1"/>
  <c r="C230" i="1"/>
  <c r="D230" i="1"/>
  <c r="E230" i="1"/>
  <c r="F230" i="1"/>
  <c r="G230" i="1"/>
  <c r="H230" i="1"/>
  <c r="C231" i="1"/>
  <c r="D231" i="1"/>
  <c r="E231" i="1"/>
  <c r="F231" i="1"/>
  <c r="G231" i="1"/>
  <c r="H231" i="1"/>
  <c r="C232" i="1"/>
  <c r="D232" i="1"/>
  <c r="E232" i="1"/>
  <c r="F232" i="1"/>
  <c r="G232" i="1"/>
  <c r="H232" i="1"/>
  <c r="D227" i="1"/>
  <c r="E227" i="1"/>
  <c r="F227" i="1"/>
  <c r="G227" i="1"/>
  <c r="H227" i="1"/>
  <c r="C227" i="1"/>
  <c r="N222" i="1"/>
  <c r="N223" i="1"/>
  <c r="N224" i="1"/>
  <c r="N225" i="1"/>
  <c r="N226" i="1"/>
  <c r="N227" i="1"/>
  <c r="N228" i="1"/>
  <c r="N229" i="1"/>
  <c r="N230" i="1"/>
  <c r="N231" i="1"/>
  <c r="N232" i="1"/>
  <c r="M222" i="1"/>
  <c r="M223" i="1"/>
  <c r="M224" i="1"/>
  <c r="M225" i="1"/>
  <c r="M226" i="1"/>
  <c r="M227" i="1"/>
  <c r="M228" i="1"/>
  <c r="M229" i="1"/>
  <c r="M230" i="1"/>
  <c r="M231" i="1"/>
  <c r="M232" i="1"/>
  <c r="L222" i="1"/>
  <c r="L223" i="1"/>
  <c r="L224" i="1"/>
  <c r="L225" i="1"/>
  <c r="L226" i="1"/>
  <c r="L227" i="1"/>
  <c r="L228" i="1"/>
  <c r="L229" i="1"/>
  <c r="L230" i="1"/>
  <c r="L231" i="1"/>
  <c r="L232" i="1"/>
  <c r="K232" i="1"/>
  <c r="K222" i="1"/>
  <c r="K223" i="1"/>
  <c r="K224" i="1"/>
  <c r="K225" i="1"/>
  <c r="K226" i="1"/>
  <c r="K227" i="1"/>
  <c r="K228" i="1"/>
  <c r="K229" i="1"/>
  <c r="K230" i="1"/>
  <c r="K231" i="1"/>
  <c r="K221" i="1"/>
  <c r="L221" i="1"/>
  <c r="M221" i="1"/>
  <c r="N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21" i="1"/>
  <c r="I228" i="1"/>
  <c r="I229" i="1"/>
  <c r="I230" i="1"/>
  <c r="I231" i="1"/>
  <c r="I232" i="1"/>
  <c r="V256" i="1"/>
  <c r="V262" i="1" s="1"/>
  <c r="V258" i="1"/>
  <c r="O251" i="1" s="1" a="1"/>
  <c r="O251" i="1" s="1"/>
  <c r="S256" i="1"/>
  <c r="S262" i="1" s="1"/>
  <c r="S252" i="1"/>
  <c r="S258" i="1" s="1"/>
  <c r="E86" i="1"/>
  <c r="O269" i="1" a="1"/>
  <c r="O269" i="1" s="1"/>
  <c r="C114" i="1" a="1"/>
  <c r="C114" i="1" s="1"/>
  <c r="AH52" i="1"/>
  <c r="F52" i="1"/>
  <c r="B163" i="1" a="1"/>
  <c r="B163" i="1" s="1"/>
  <c r="AU54" i="1"/>
  <c r="AL53" i="1"/>
  <c r="AJ53" i="1"/>
  <c r="AG54" i="1"/>
  <c r="O263" i="1" l="1" a="1"/>
  <c r="O263" i="1" s="1"/>
  <c r="E62" i="1"/>
  <c r="M62" i="1" s="1"/>
  <c r="D62" i="1"/>
  <c r="E61" i="1"/>
  <c r="H61" i="1" s="1"/>
  <c r="D61" i="1"/>
  <c r="E60" i="1"/>
  <c r="K60" i="1" s="1"/>
  <c r="D60" i="1"/>
  <c r="C60" i="1"/>
  <c r="C61" i="1" s="1"/>
  <c r="Q48" i="1"/>
  <c r="P48" i="1"/>
  <c r="O48" i="1"/>
  <c r="Q47" i="1"/>
  <c r="P47" i="1"/>
  <c r="O47" i="1"/>
  <c r="Q46" i="1"/>
  <c r="P46" i="1"/>
  <c r="O46" i="1"/>
  <c r="I48" i="1"/>
  <c r="H48" i="1"/>
  <c r="G48" i="1"/>
  <c r="I47" i="1"/>
  <c r="H47" i="1"/>
  <c r="G47" i="1"/>
  <c r="I46" i="1"/>
  <c r="H46" i="1"/>
  <c r="G46" i="1"/>
  <c r="G61" i="1" l="1"/>
  <c r="I61" i="1" s="1"/>
  <c r="C62" i="1"/>
  <c r="J62" i="1" s="1"/>
  <c r="K61" i="1"/>
  <c r="F60" i="1"/>
  <c r="B69" i="1" s="1"/>
  <c r="G60" i="1"/>
  <c r="J60" i="1"/>
  <c r="L60" i="1" s="1"/>
  <c r="F61" i="1"/>
  <c r="B83" i="1" s="1"/>
  <c r="H62" i="1"/>
  <c r="J61" i="1"/>
  <c r="K62" i="1"/>
  <c r="M60" i="1"/>
  <c r="H60" i="1"/>
  <c r="M61" i="1"/>
  <c r="I60" i="1" l="1"/>
  <c r="G62" i="1"/>
  <c r="I62" i="1" s="1"/>
  <c r="L61" i="1"/>
  <c r="F62" i="1"/>
  <c r="B97" i="1" s="1"/>
  <c r="L62" i="1"/>
  <c r="G52" i="1" l="1"/>
  <c r="H52" i="1"/>
  <c r="J52" i="1" s="1"/>
  <c r="F53" i="1"/>
  <c r="H53" i="1"/>
  <c r="I53" i="1" s="1"/>
  <c r="F54" i="1"/>
  <c r="U313" i="1"/>
  <c r="L313" i="1"/>
  <c r="C313" i="1"/>
  <c r="U312" i="1"/>
  <c r="L312" i="1"/>
  <c r="C312" i="1"/>
  <c r="U311" i="1"/>
  <c r="L311" i="1"/>
  <c r="C311" i="1"/>
  <c r="U310" i="1"/>
  <c r="L310" i="1"/>
  <c r="C310" i="1"/>
  <c r="U309" i="1"/>
  <c r="L309" i="1"/>
  <c r="C309" i="1"/>
  <c r="U308" i="1"/>
  <c r="L308" i="1"/>
  <c r="C308" i="1"/>
  <c r="B255" i="1"/>
  <c r="B253" i="1"/>
  <c r="B252" i="1"/>
  <c r="B251" i="1"/>
  <c r="AF203" i="1"/>
  <c r="K105" i="1" a="1"/>
  <c r="K105" i="1" s="1"/>
  <c r="K99" i="1"/>
  <c r="K91" i="1" a="1"/>
  <c r="K91" i="1" s="1"/>
  <c r="K85" i="1"/>
  <c r="U84" i="1"/>
  <c r="K77" i="1" a="1"/>
  <c r="K77" i="1" s="1"/>
  <c r="K71" i="1"/>
  <c r="U70" i="1"/>
  <c r="AK60" i="1" a="1"/>
  <c r="AK60" i="1" s="1"/>
  <c r="AT54" i="1"/>
  <c r="AR54" i="1"/>
  <c r="AQ54" i="1"/>
  <c r="AU53" i="1"/>
  <c r="AT53" i="1"/>
  <c r="AR53" i="1"/>
  <c r="AQ53" i="1"/>
  <c r="AU52" i="1"/>
  <c r="AT52" i="1"/>
  <c r="AR52" i="1"/>
  <c r="AQ52" i="1"/>
  <c r="AF52" i="1"/>
  <c r="AE52" i="1"/>
  <c r="AD52" i="1"/>
  <c r="AA104" i="1"/>
  <c r="U98" i="1"/>
  <c r="AA90" i="1"/>
  <c r="AA76" i="1"/>
  <c r="G54" i="1"/>
  <c r="F256" i="1"/>
  <c r="B256" i="1" s="1"/>
  <c r="F254" i="1"/>
  <c r="B254" i="1" s="1"/>
  <c r="I52" i="1" l="1"/>
  <c r="AK61" i="1" a="1"/>
  <c r="AK61" i="1" s="1"/>
  <c r="AG60" i="1" a="1"/>
  <c r="AG60" i="1" s="1"/>
  <c r="AJ52" i="1"/>
  <c r="K53" i="1"/>
  <c r="AD64" i="1" a="1"/>
  <c r="AD64" i="1" s="1"/>
  <c r="K54" i="1"/>
  <c r="AK62" i="1" a="1"/>
  <c r="AK62" i="1" s="1"/>
  <c r="AL52" i="1" l="1"/>
  <c r="AD68" i="1" a="1"/>
  <c r="AD68" i="1" s="1"/>
  <c r="J53" i="1"/>
  <c r="K52" i="1"/>
  <c r="L52" i="1" s="1"/>
  <c r="AG52" i="1"/>
  <c r="J54" i="1"/>
  <c r="I54" i="1"/>
  <c r="B191" i="1" a="1"/>
  <c r="B191" i="1" s="1"/>
  <c r="AG62" i="1" a="1"/>
  <c r="AG62" i="1" s="1"/>
  <c r="AH54" i="1"/>
  <c r="AD60" i="1" a="1"/>
  <c r="AD60" i="1" s="1"/>
  <c r="AG53" i="1"/>
  <c r="B177" i="1" a="1"/>
  <c r="B177" i="1" s="1"/>
  <c r="E72" i="1"/>
  <c r="C70" i="1"/>
  <c r="H69" i="1"/>
  <c r="H75" i="1"/>
  <c r="L53" i="1" l="1"/>
  <c r="N53" i="1" s="1"/>
  <c r="B70" i="1" a="1"/>
  <c r="B75" i="1" s="1"/>
  <c r="L54" i="1"/>
  <c r="R52" i="1"/>
  <c r="I70" i="1"/>
  <c r="I76" i="1"/>
  <c r="G70" i="1"/>
  <c r="H89" i="1"/>
  <c r="H83" i="1"/>
  <c r="B84" i="1" s="1" a="1"/>
  <c r="K72" i="1"/>
  <c r="E73" i="1" s="1" a="1"/>
  <c r="K78" i="1"/>
  <c r="L73" i="1"/>
  <c r="F73" i="1"/>
  <c r="L79" i="1" s="1"/>
  <c r="F71" i="1"/>
  <c r="D71" i="1"/>
  <c r="M74" i="1"/>
  <c r="G74" i="1"/>
  <c r="M80" i="1" s="1"/>
  <c r="Q54" i="1" l="1"/>
  <c r="R54" i="1"/>
  <c r="O53" i="1"/>
  <c r="P53" i="1" s="1"/>
  <c r="AI53" i="1" s="1"/>
  <c r="M53" i="1"/>
  <c r="R53" i="1" s="1"/>
  <c r="B76" i="1"/>
  <c r="B78" i="1"/>
  <c r="B70" i="1"/>
  <c r="B74" i="1"/>
  <c r="B72" i="1"/>
  <c r="B79" i="1"/>
  <c r="B77" i="1"/>
  <c r="B71" i="1"/>
  <c r="B80" i="1"/>
  <c r="B73" i="1"/>
  <c r="P54" i="1"/>
  <c r="F87" i="1"/>
  <c r="L93" i="1" s="1"/>
  <c r="L87" i="1"/>
  <c r="F85" i="1"/>
  <c r="D85" i="1"/>
  <c r="M88" i="1"/>
  <c r="G88" i="1"/>
  <c r="M94" i="1" s="1"/>
  <c r="C84" i="1"/>
  <c r="G84" i="1"/>
  <c r="B91" i="1"/>
  <c r="B90" i="1"/>
  <c r="B89" i="1"/>
  <c r="B88" i="1"/>
  <c r="B94" i="1"/>
  <c r="B92" i="1"/>
  <c r="B87" i="1"/>
  <c r="B93" i="1"/>
  <c r="B86" i="1"/>
  <c r="B84" i="1"/>
  <c r="B85" i="1"/>
  <c r="L71" i="1"/>
  <c r="H103" i="1"/>
  <c r="H97" i="1"/>
  <c r="M70" i="1"/>
  <c r="E75" i="1"/>
  <c r="E80" i="1"/>
  <c r="E79" i="1"/>
  <c r="E78" i="1"/>
  <c r="E77" i="1"/>
  <c r="E76" i="1"/>
  <c r="E74" i="1"/>
  <c r="E73" i="1"/>
  <c r="K86" i="1"/>
  <c r="E87" i="1" s="1" a="1"/>
  <c r="K92" i="1"/>
  <c r="J71" i="1"/>
  <c r="J77" i="1"/>
  <c r="E100" i="1"/>
  <c r="O54" i="1" l="1"/>
  <c r="Q53" i="1"/>
  <c r="AD66" i="1" s="1" a="1"/>
  <c r="AD66" i="1" s="1"/>
  <c r="D72" i="1" a="1"/>
  <c r="D78" i="1" s="1"/>
  <c r="B98" i="1" a="1"/>
  <c r="B106" i="1" s="1"/>
  <c r="M52" i="1"/>
  <c r="B165" i="1" a="1"/>
  <c r="B165" i="1" s="1"/>
  <c r="AD70" i="1" a="1"/>
  <c r="AD70" i="1" s="1"/>
  <c r="AI52" i="1"/>
  <c r="N52" i="1"/>
  <c r="O52" i="1"/>
  <c r="AG61" i="1" a="1"/>
  <c r="AG61" i="1" s="1"/>
  <c r="AO60" i="1" s="1" a="1"/>
  <c r="AP60" i="1" s="1"/>
  <c r="D73" i="1"/>
  <c r="D80" i="1"/>
  <c r="D79" i="1"/>
  <c r="D77" i="1"/>
  <c r="D76" i="1"/>
  <c r="M79" i="1" s="1"/>
  <c r="L80" i="1" s="1" a="1"/>
  <c r="L80" i="1" s="1"/>
  <c r="D75" i="1"/>
  <c r="M78" i="1" s="1"/>
  <c r="I74" i="1"/>
  <c r="G75" i="1" s="1" a="1"/>
  <c r="M76" i="1"/>
  <c r="I77" i="1" s="1" a="1"/>
  <c r="M102" i="1"/>
  <c r="G102" i="1"/>
  <c r="M108" i="1" s="1"/>
  <c r="G98" i="1"/>
  <c r="C98" i="1"/>
  <c r="K100" i="1"/>
  <c r="E101" i="1" s="1" a="1"/>
  <c r="K106" i="1"/>
  <c r="E91" i="1"/>
  <c r="E90" i="1"/>
  <c r="E89" i="1"/>
  <c r="E87" i="1"/>
  <c r="E88" i="1"/>
  <c r="E92" i="1"/>
  <c r="E94" i="1"/>
  <c r="E93" i="1"/>
  <c r="F101" i="1"/>
  <c r="L107" i="1" s="1"/>
  <c r="L101" i="1"/>
  <c r="D99" i="1"/>
  <c r="F99" i="1"/>
  <c r="J73" i="1"/>
  <c r="F74" i="1" s="1" a="1"/>
  <c r="L77" i="1"/>
  <c r="B178" i="1" a="1"/>
  <c r="B178" i="1" s="1"/>
  <c r="AD65" i="1" a="1"/>
  <c r="AD65" i="1" s="1"/>
  <c r="M84" i="1"/>
  <c r="I90" i="1"/>
  <c r="I84" i="1"/>
  <c r="B101" i="1"/>
  <c r="B108" i="1"/>
  <c r="B104" i="1"/>
  <c r="B107" i="1"/>
  <c r="B103" i="1"/>
  <c r="B100" i="1"/>
  <c r="B98" i="1"/>
  <c r="J85" i="1"/>
  <c r="J91" i="1"/>
  <c r="L85" i="1"/>
  <c r="C71" i="1" a="1"/>
  <c r="B179" i="1" l="1" a="1"/>
  <c r="B179" i="1" s="1"/>
  <c r="E180" i="1" s="1" a="1"/>
  <c r="E180" i="1" s="1"/>
  <c r="H183" i="1" s="1" a="1"/>
  <c r="H183" i="1" s="1"/>
  <c r="K186" i="1" s="1" a="1"/>
  <c r="K186" i="1" s="1"/>
  <c r="B164" i="1" a="1"/>
  <c r="B164" i="1" s="1"/>
  <c r="E166" i="1" s="1" a="1"/>
  <c r="E166" i="1" s="1"/>
  <c r="H169" i="1" s="1" a="1"/>
  <c r="H169" i="1" s="1"/>
  <c r="K172" i="1" s="1" a="1"/>
  <c r="K172" i="1" s="1"/>
  <c r="D74" i="1"/>
  <c r="M77" i="1" s="1"/>
  <c r="L78" i="1" s="1" a="1"/>
  <c r="L78" i="1" s="1"/>
  <c r="B102" i="1"/>
  <c r="D72" i="1"/>
  <c r="M75" i="1" s="1"/>
  <c r="H76" i="1" s="1" a="1"/>
  <c r="H77" i="1" s="1"/>
  <c r="B99" i="1"/>
  <c r="B105" i="1"/>
  <c r="D86" i="1" a="1"/>
  <c r="D93" i="1" s="1"/>
  <c r="J78" i="1" a="1"/>
  <c r="J79" i="1" s="1"/>
  <c r="AO61" i="1"/>
  <c r="AP61" i="1"/>
  <c r="AQ61" i="1"/>
  <c r="AD69" i="1" a="1"/>
  <c r="AD69" i="1" s="1"/>
  <c r="AQ60" i="1"/>
  <c r="AQ62" i="1"/>
  <c r="AO62" i="1"/>
  <c r="AP62" i="1"/>
  <c r="AO60" i="1"/>
  <c r="C85" i="1" a="1"/>
  <c r="C93" i="1" s="1"/>
  <c r="J99" i="1"/>
  <c r="J105" i="1"/>
  <c r="E108" i="1"/>
  <c r="E107" i="1"/>
  <c r="E106" i="1"/>
  <c r="E102" i="1"/>
  <c r="E101" i="1"/>
  <c r="E105" i="1"/>
  <c r="E104" i="1"/>
  <c r="E103" i="1"/>
  <c r="I80" i="1"/>
  <c r="I78" i="1"/>
  <c r="I79" i="1"/>
  <c r="I77" i="1"/>
  <c r="C79" i="1"/>
  <c r="C77" i="1"/>
  <c r="C78" i="1"/>
  <c r="C76" i="1"/>
  <c r="C72" i="1"/>
  <c r="C80" i="1"/>
  <c r="C75" i="1"/>
  <c r="C74" i="1"/>
  <c r="C73" i="1"/>
  <c r="C71" i="1"/>
  <c r="G78" i="1"/>
  <c r="G77" i="1"/>
  <c r="G75" i="1"/>
  <c r="G80" i="1"/>
  <c r="G76" i="1"/>
  <c r="G79" i="1"/>
  <c r="I104" i="1"/>
  <c r="I98" i="1"/>
  <c r="M98" i="1"/>
  <c r="H78" i="1"/>
  <c r="H76" i="1"/>
  <c r="H80" i="1"/>
  <c r="L91" i="1"/>
  <c r="J87" i="1"/>
  <c r="F88" i="1" s="1" a="1"/>
  <c r="M90" i="1"/>
  <c r="I91" i="1" s="1" a="1"/>
  <c r="I88" i="1"/>
  <c r="G89" i="1" s="1" a="1"/>
  <c r="F74" i="1"/>
  <c r="F77" i="1"/>
  <c r="F80" i="1"/>
  <c r="F78" i="1"/>
  <c r="F79" i="1"/>
  <c r="F76" i="1"/>
  <c r="F75" i="1"/>
  <c r="K79" i="1" a="1"/>
  <c r="L99" i="1"/>
  <c r="D86" i="1" l="1"/>
  <c r="M89" i="1" s="1"/>
  <c r="H90" i="1" s="1" a="1"/>
  <c r="D94" i="1"/>
  <c r="D89" i="1"/>
  <c r="M92" i="1" s="1"/>
  <c r="D91" i="1"/>
  <c r="H79" i="1"/>
  <c r="D90" i="1"/>
  <c r="M93" i="1" s="1"/>
  <c r="L94" i="1" s="1" a="1"/>
  <c r="L94" i="1" s="1"/>
  <c r="D92" i="1"/>
  <c r="D87" i="1"/>
  <c r="J78" i="1"/>
  <c r="D88" i="1"/>
  <c r="M91" i="1" s="1"/>
  <c r="L92" i="1" s="1" a="1"/>
  <c r="L92" i="1" s="1"/>
  <c r="D100" i="1" a="1"/>
  <c r="D108" i="1" s="1"/>
  <c r="J80" i="1"/>
  <c r="C85" i="1"/>
  <c r="C88" i="1"/>
  <c r="C94" i="1"/>
  <c r="C99" i="1" a="1"/>
  <c r="C103" i="1" s="1"/>
  <c r="C92" i="1"/>
  <c r="C86" i="1"/>
  <c r="C87" i="1"/>
  <c r="C90" i="1"/>
  <c r="C89" i="1"/>
  <c r="C91" i="1"/>
  <c r="H92" i="1"/>
  <c r="H93" i="1"/>
  <c r="H94" i="1"/>
  <c r="H91" i="1"/>
  <c r="H90" i="1"/>
  <c r="K80" i="1"/>
  <c r="K79" i="1"/>
  <c r="M104" i="1"/>
  <c r="I105" i="1" s="1" a="1"/>
  <c r="I102" i="1"/>
  <c r="G103" i="1" s="1" a="1"/>
  <c r="J101" i="1"/>
  <c r="F102" i="1" s="1" a="1"/>
  <c r="L105" i="1"/>
  <c r="G92" i="1"/>
  <c r="G90" i="1"/>
  <c r="G91" i="1"/>
  <c r="G89" i="1"/>
  <c r="G94" i="1"/>
  <c r="G93" i="1"/>
  <c r="I94" i="1"/>
  <c r="I93" i="1"/>
  <c r="I92" i="1"/>
  <c r="I91" i="1"/>
  <c r="F92" i="1"/>
  <c r="F88" i="1"/>
  <c r="F91" i="1"/>
  <c r="F93" i="1"/>
  <c r="F90" i="1"/>
  <c r="F89" i="1"/>
  <c r="F94" i="1"/>
  <c r="J92" i="1" a="1"/>
  <c r="Q163" i="1" a="1"/>
  <c r="K93" i="1" l="1" a="1"/>
  <c r="K94" i="1" s="1"/>
  <c r="D102" i="1"/>
  <c r="M105" i="1" s="1"/>
  <c r="L106" i="1" s="1" a="1"/>
  <c r="L106" i="1" s="1"/>
  <c r="D105" i="1"/>
  <c r="D107" i="1"/>
  <c r="D100" i="1"/>
  <c r="M103" i="1" s="1"/>
  <c r="H104" i="1" s="1" a="1"/>
  <c r="H108" i="1" s="1"/>
  <c r="D106" i="1"/>
  <c r="D101" i="1"/>
  <c r="AE163" i="1" a="1"/>
  <c r="AK164" i="1" s="1"/>
  <c r="D103" i="1"/>
  <c r="M106" i="1" s="1"/>
  <c r="D104" i="1"/>
  <c r="M107" i="1" s="1"/>
  <c r="L108" i="1" s="1" a="1"/>
  <c r="L108" i="1" s="1"/>
  <c r="C104" i="1"/>
  <c r="C107" i="1"/>
  <c r="C101" i="1"/>
  <c r="C105" i="1"/>
  <c r="C106" i="1"/>
  <c r="C100" i="1"/>
  <c r="C99" i="1"/>
  <c r="C102" i="1"/>
  <c r="K93" i="1"/>
  <c r="C108" i="1"/>
  <c r="J92" i="1"/>
  <c r="J94" i="1"/>
  <c r="J93" i="1"/>
  <c r="I107" i="1"/>
  <c r="I106" i="1"/>
  <c r="I105" i="1"/>
  <c r="I108" i="1"/>
  <c r="AB173" i="1"/>
  <c r="T171" i="1"/>
  <c r="X168" i="1"/>
  <c r="AB165" i="1"/>
  <c r="T163" i="1"/>
  <c r="R171" i="1"/>
  <c r="AA173" i="1"/>
  <c r="S171" i="1"/>
  <c r="W168" i="1"/>
  <c r="AA165" i="1"/>
  <c r="S163" i="1"/>
  <c r="Z173" i="1"/>
  <c r="V168" i="1"/>
  <c r="Z165" i="1"/>
  <c r="R163" i="1"/>
  <c r="Y173" i="1"/>
  <c r="Q171" i="1"/>
  <c r="U168" i="1"/>
  <c r="Y165" i="1"/>
  <c r="Q163" i="1"/>
  <c r="R173" i="1"/>
  <c r="V170" i="1"/>
  <c r="Z167" i="1"/>
  <c r="R165" i="1"/>
  <c r="Z172" i="1"/>
  <c r="R170" i="1"/>
  <c r="V167" i="1"/>
  <c r="Z164" i="1"/>
  <c r="V172" i="1"/>
  <c r="Z169" i="1"/>
  <c r="R167" i="1"/>
  <c r="V164" i="1"/>
  <c r="S174" i="1"/>
  <c r="W171" i="1"/>
  <c r="AA168" i="1"/>
  <c r="S166" i="1"/>
  <c r="W163" i="1"/>
  <c r="R174" i="1"/>
  <c r="V171" i="1"/>
  <c r="Z168" i="1"/>
  <c r="R166" i="1"/>
  <c r="V163" i="1"/>
  <c r="Q174" i="1"/>
  <c r="S170" i="1"/>
  <c r="X166" i="1"/>
  <c r="X173" i="1"/>
  <c r="Q170" i="1"/>
  <c r="W166" i="1"/>
  <c r="W173" i="1"/>
  <c r="AB169" i="1"/>
  <c r="T173" i="1"/>
  <c r="X169" i="1"/>
  <c r="Q166" i="1"/>
  <c r="Q173" i="1"/>
  <c r="V169" i="1"/>
  <c r="W165" i="1"/>
  <c r="AB172" i="1"/>
  <c r="AB168" i="1"/>
  <c r="W164" i="1"/>
  <c r="Y172" i="1"/>
  <c r="T168" i="1"/>
  <c r="T164" i="1"/>
  <c r="AA172" i="1"/>
  <c r="Y168" i="1"/>
  <c r="U164" i="1"/>
  <c r="X172" i="1"/>
  <c r="S168" i="1"/>
  <c r="S164" i="1"/>
  <c r="W172" i="1"/>
  <c r="R168" i="1"/>
  <c r="R164" i="1"/>
  <c r="U172" i="1"/>
  <c r="Q168" i="1"/>
  <c r="Q164" i="1"/>
  <c r="T172" i="1"/>
  <c r="AB167" i="1"/>
  <c r="AB163" i="1"/>
  <c r="S172" i="1"/>
  <c r="AA167" i="1"/>
  <c r="AA163" i="1"/>
  <c r="Q172" i="1"/>
  <c r="X167" i="1"/>
  <c r="Y163" i="1"/>
  <c r="AA171" i="1"/>
  <c r="U167" i="1"/>
  <c r="R172" i="1"/>
  <c r="Y167" i="1"/>
  <c r="Z163" i="1"/>
  <c r="AB171" i="1"/>
  <c r="W167" i="1"/>
  <c r="X163" i="1"/>
  <c r="U171" i="1"/>
  <c r="AB166" i="1"/>
  <c r="AB170" i="1"/>
  <c r="AA164" i="1"/>
  <c r="AA170" i="1"/>
  <c r="Y164" i="1"/>
  <c r="Z170" i="1"/>
  <c r="X164" i="1"/>
  <c r="Y170" i="1"/>
  <c r="U163" i="1"/>
  <c r="X170" i="1"/>
  <c r="AB174" i="1"/>
  <c r="S167" i="1"/>
  <c r="T165" i="1"/>
  <c r="S165" i="1"/>
  <c r="W170" i="1"/>
  <c r="T174" i="1"/>
  <c r="U170" i="1"/>
  <c r="U173" i="1"/>
  <c r="Y171" i="1"/>
  <c r="T170" i="1"/>
  <c r="S173" i="1"/>
  <c r="AA169" i="1"/>
  <c r="R169" i="1"/>
  <c r="X171" i="1"/>
  <c r="Y169" i="1"/>
  <c r="T167" i="1"/>
  <c r="V173" i="1"/>
  <c r="W169" i="1"/>
  <c r="Y166" i="1"/>
  <c r="U174" i="1"/>
  <c r="U165" i="1"/>
  <c r="U169" i="1"/>
  <c r="T169" i="1"/>
  <c r="Q169" i="1"/>
  <c r="U166" i="1"/>
  <c r="X165" i="1"/>
  <c r="Q165" i="1"/>
  <c r="S169" i="1"/>
  <c r="X174" i="1"/>
  <c r="T166" i="1"/>
  <c r="Z171" i="1"/>
  <c r="AA174" i="1"/>
  <c r="Q167" i="1"/>
  <c r="Z174" i="1"/>
  <c r="AA166" i="1"/>
  <c r="Y174" i="1"/>
  <c r="Z166" i="1"/>
  <c r="AB164" i="1"/>
  <c r="W174" i="1"/>
  <c r="V166" i="1"/>
  <c r="V174" i="1"/>
  <c r="V165" i="1"/>
  <c r="F106" i="1"/>
  <c r="F104" i="1"/>
  <c r="F103" i="1"/>
  <c r="F107" i="1"/>
  <c r="F105" i="1"/>
  <c r="F102" i="1"/>
  <c r="F108" i="1"/>
  <c r="G106" i="1"/>
  <c r="G108" i="1"/>
  <c r="G107" i="1"/>
  <c r="G104" i="1"/>
  <c r="G105" i="1"/>
  <c r="G103" i="1"/>
  <c r="H107" i="1" l="1"/>
  <c r="K107" i="1" a="1"/>
  <c r="H106" i="1"/>
  <c r="H104" i="1"/>
  <c r="H105" i="1"/>
  <c r="J106" i="1" a="1"/>
  <c r="J107" i="1" s="1"/>
  <c r="C128" i="1" a="1"/>
  <c r="C128" i="1" s="1"/>
  <c r="AM172" i="1"/>
  <c r="AL173" i="1"/>
  <c r="AM168" i="1"/>
  <c r="AH164" i="1"/>
  <c r="AI172" i="1"/>
  <c r="AK172" i="1"/>
  <c r="AF168" i="1"/>
  <c r="AG164" i="1"/>
  <c r="AE165" i="1"/>
  <c r="AE167" i="1"/>
  <c r="AL171" i="1"/>
  <c r="AF169" i="1"/>
  <c r="AO169" i="1"/>
  <c r="AL166" i="1"/>
  <c r="AI169" i="1"/>
  <c r="AL170" i="1"/>
  <c r="AL163" i="1"/>
  <c r="AK167" i="1"/>
  <c r="AH166" i="1"/>
  <c r="AG163" i="1"/>
  <c r="AG173" i="1"/>
  <c r="AL172" i="1"/>
  <c r="AP163" i="1"/>
  <c r="AK169" i="1"/>
  <c r="AJ174" i="1"/>
  <c r="AI170" i="1"/>
  <c r="AG165" i="1"/>
  <c r="AI173" i="1"/>
  <c r="AN164" i="1"/>
  <c r="AE163" i="1"/>
  <c r="AI171" i="1"/>
  <c r="AP166" i="1"/>
  <c r="AJ164" i="1"/>
  <c r="AG167" i="1"/>
  <c r="AJ163" i="1"/>
  <c r="AG171" i="1"/>
  <c r="AP172" i="1"/>
  <c r="AN167" i="1"/>
  <c r="AH167" i="1"/>
  <c r="AG169" i="1"/>
  <c r="AH174" i="1"/>
  <c r="AJ170" i="1"/>
  <c r="AH173" i="1"/>
  <c r="AI167" i="1"/>
  <c r="AH168" i="1"/>
  <c r="AI163" i="1"/>
  <c r="AM171" i="1"/>
  <c r="AJ171" i="1"/>
  <c r="AG166" i="1"/>
  <c r="AM167" i="1"/>
  <c r="AP167" i="1"/>
  <c r="AK163" i="1"/>
  <c r="AF174" i="1"/>
  <c r="AF165" i="1"/>
  <c r="AM174" i="1"/>
  <c r="AN168" i="1"/>
  <c r="AK165" i="1"/>
  <c r="AE170" i="1"/>
  <c r="AP170" i="1"/>
  <c r="AE166" i="1"/>
  <c r="AI174" i="1"/>
  <c r="AM169" i="1"/>
  <c r="AO167" i="1"/>
  <c r="AO163" i="1"/>
  <c r="AF172" i="1"/>
  <c r="AH171" i="1"/>
  <c r="AE168" i="1"/>
  <c r="AP173" i="1"/>
  <c r="AO164" i="1"/>
  <c r="AG170" i="1"/>
  <c r="AI165" i="1"/>
  <c r="AO172" i="1"/>
  <c r="AN170" i="1"/>
  <c r="AN171" i="1"/>
  <c r="AG168" i="1"/>
  <c r="AG172" i="1"/>
  <c r="AH163" i="1"/>
  <c r="AM166" i="1"/>
  <c r="AE164" i="1"/>
  <c r="AK168" i="1"/>
  <c r="AG174" i="1"/>
  <c r="AH165" i="1"/>
  <c r="AL174" i="1"/>
  <c r="AP168" i="1"/>
  <c r="AN165" i="1"/>
  <c r="AJ167" i="1"/>
  <c r="AM165" i="1"/>
  <c r="AE174" i="1"/>
  <c r="AL169" i="1"/>
  <c r="AF167" i="1"/>
  <c r="AO170" i="1"/>
  <c r="AN163" i="1"/>
  <c r="AP171" i="1"/>
  <c r="AM170" i="1"/>
  <c r="AK166" i="1"/>
  <c r="AO174" i="1"/>
  <c r="AL168" i="1"/>
  <c r="AF164" i="1"/>
  <c r="AK173" i="1"/>
  <c r="AH170" i="1"/>
  <c r="AP165" i="1"/>
  <c r="AE173" i="1"/>
  <c r="AJ169" i="1"/>
  <c r="AF170" i="1"/>
  <c r="AI168" i="1"/>
  <c r="AM163" i="1"/>
  <c r="AH172" i="1"/>
  <c r="AN169" i="1"/>
  <c r="AF171" i="1"/>
  <c r="AO171" i="1"/>
  <c r="AF166" i="1"/>
  <c r="AK171" i="1"/>
  <c r="AF173" i="1"/>
  <c r="AN166" i="1"/>
  <c r="AN173" i="1"/>
  <c r="AO173" i="1"/>
  <c r="AP164" i="1"/>
  <c r="AK174" i="1"/>
  <c r="AK170" i="1"/>
  <c r="AJ165" i="1"/>
  <c r="AJ173" i="1"/>
  <c r="AN172" i="1"/>
  <c r="AE171" i="1"/>
  <c r="AI166" i="1"/>
  <c r="AP174" i="1"/>
  <c r="AJ172" i="1"/>
  <c r="AF163" i="1"/>
  <c r="AJ168" i="1"/>
  <c r="AE172" i="1"/>
  <c r="AJ166" i="1"/>
  <c r="AL167" i="1"/>
  <c r="AO166" i="1"/>
  <c r="AO168" i="1"/>
  <c r="AL164" i="1"/>
  <c r="AP169" i="1"/>
  <c r="AO165" i="1"/>
  <c r="AN174" i="1"/>
  <c r="AH169" i="1"/>
  <c r="AM164" i="1"/>
  <c r="AL165" i="1"/>
  <c r="AM173" i="1"/>
  <c r="AE169" i="1"/>
  <c r="AI164" i="1"/>
  <c r="K107" i="1"/>
  <c r="K108" i="1"/>
  <c r="AE177" i="1" a="1"/>
  <c r="Q177" i="1" a="1"/>
  <c r="J108" i="1" l="1"/>
  <c r="J106" i="1"/>
  <c r="C142" i="1" s="1" a="1"/>
  <c r="C142" i="1" s="1"/>
  <c r="Z186" i="1"/>
  <c r="R184" i="1"/>
  <c r="V222" i="1" s="1"/>
  <c r="V181" i="1"/>
  <c r="Z178" i="1"/>
  <c r="AB183" i="1"/>
  <c r="Y186" i="1"/>
  <c r="Q184" i="1"/>
  <c r="U222" i="1" s="1"/>
  <c r="U181" i="1"/>
  <c r="Y178" i="1"/>
  <c r="X186" i="1"/>
  <c r="T181" i="1"/>
  <c r="X178" i="1"/>
  <c r="W186" i="1"/>
  <c r="AA183" i="1"/>
  <c r="S181" i="1"/>
  <c r="W178" i="1"/>
  <c r="X188" i="1"/>
  <c r="AB185" i="1"/>
  <c r="T183" i="1"/>
  <c r="X221" i="1" s="1"/>
  <c r="X180" i="1"/>
  <c r="AB177" i="1"/>
  <c r="T188" i="1"/>
  <c r="X226" i="1" s="1"/>
  <c r="X185" i="1"/>
  <c r="AB182" i="1"/>
  <c r="T180" i="1"/>
  <c r="X177" i="1"/>
  <c r="AB187" i="1"/>
  <c r="T185" i="1"/>
  <c r="X223" i="1" s="1"/>
  <c r="X182" i="1"/>
  <c r="AB179" i="1"/>
  <c r="T177" i="1"/>
  <c r="AA187" i="1"/>
  <c r="S185" i="1"/>
  <c r="W223" i="1" s="1"/>
  <c r="W182" i="1"/>
  <c r="AA179" i="1"/>
  <c r="S177" i="1"/>
  <c r="Q187" i="1"/>
  <c r="U225" i="1" s="1"/>
  <c r="U184" i="1"/>
  <c r="Y222" i="1" s="1"/>
  <c r="Y181" i="1"/>
  <c r="Q179" i="1"/>
  <c r="AB186" i="1"/>
  <c r="T184" i="1"/>
  <c r="X222" i="1" s="1"/>
  <c r="X181" i="1"/>
  <c r="AB178" i="1"/>
  <c r="Q186" i="1"/>
  <c r="U224" i="1" s="1"/>
  <c r="S182" i="1"/>
  <c r="S178" i="1"/>
  <c r="AA185" i="1"/>
  <c r="R182" i="1"/>
  <c r="R178" i="1"/>
  <c r="Z185" i="1"/>
  <c r="Q182" i="1"/>
  <c r="Q178" i="1"/>
  <c r="V185" i="1"/>
  <c r="Z223" i="1" s="1"/>
  <c r="Z181" i="1"/>
  <c r="Y177" i="1"/>
  <c r="AB188" i="1"/>
  <c r="R185" i="1"/>
  <c r="V223" i="1" s="1"/>
  <c r="R181" i="1"/>
  <c r="V177" i="1"/>
  <c r="AA184" i="1"/>
  <c r="U180" i="1"/>
  <c r="Y184" i="1"/>
  <c r="R180" i="1"/>
  <c r="Z184" i="1"/>
  <c r="S180" i="1"/>
  <c r="AA188" i="1"/>
  <c r="X184" i="1"/>
  <c r="Q180" i="1"/>
  <c r="V183" i="1"/>
  <c r="Z221" i="1" s="1"/>
  <c r="Z188" i="1"/>
  <c r="W184" i="1"/>
  <c r="Z179" i="1"/>
  <c r="Y188" i="1"/>
  <c r="V184" i="1"/>
  <c r="Z222" i="1" s="1"/>
  <c r="Y179" i="1"/>
  <c r="W188" i="1"/>
  <c r="S184" i="1"/>
  <c r="W222" i="1" s="1"/>
  <c r="X179" i="1"/>
  <c r="V188" i="1"/>
  <c r="Z226" i="1" s="1"/>
  <c r="Z183" i="1"/>
  <c r="W179" i="1"/>
  <c r="Q188" i="1"/>
  <c r="U226" i="1" s="1"/>
  <c r="S179" i="1"/>
  <c r="U188" i="1"/>
  <c r="Y226" i="1" s="1"/>
  <c r="Y183" i="1"/>
  <c r="V179" i="1"/>
  <c r="S188" i="1"/>
  <c r="W226" i="1" s="1"/>
  <c r="X183" i="1"/>
  <c r="U179" i="1"/>
  <c r="R188" i="1"/>
  <c r="V226" i="1" s="1"/>
  <c r="W183" i="1"/>
  <c r="T179" i="1"/>
  <c r="W187" i="1"/>
  <c r="Q183" i="1"/>
  <c r="U178" i="1"/>
  <c r="R183" i="1"/>
  <c r="V221" i="1" s="1"/>
  <c r="AA182" i="1"/>
  <c r="Z182" i="1"/>
  <c r="Y182" i="1"/>
  <c r="V182" i="1"/>
  <c r="R179" i="1"/>
  <c r="AB184" i="1"/>
  <c r="U182" i="1"/>
  <c r="U187" i="1"/>
  <c r="Y225" i="1" s="1"/>
  <c r="S187" i="1"/>
  <c r="W225" i="1" s="1"/>
  <c r="T182" i="1"/>
  <c r="R177" i="1"/>
  <c r="W185" i="1"/>
  <c r="AB181" i="1"/>
  <c r="V180" i="1"/>
  <c r="U183" i="1"/>
  <c r="Y221" i="1" s="1"/>
  <c r="AA181" i="1"/>
  <c r="R186" i="1"/>
  <c r="V224" i="1" s="1"/>
  <c r="W181" i="1"/>
  <c r="U186" i="1"/>
  <c r="Y224" i="1" s="1"/>
  <c r="Y185" i="1"/>
  <c r="Q181" i="1"/>
  <c r="Q177" i="1"/>
  <c r="Z187" i="1"/>
  <c r="AB180" i="1"/>
  <c r="Y187" i="1"/>
  <c r="AA180" i="1"/>
  <c r="Y180" i="1"/>
  <c r="T187" i="1"/>
  <c r="X225" i="1" s="1"/>
  <c r="AA177" i="1"/>
  <c r="X187" i="1"/>
  <c r="Z180" i="1"/>
  <c r="V187" i="1"/>
  <c r="Z225" i="1" s="1"/>
  <c r="W177" i="1"/>
  <c r="U185" i="1"/>
  <c r="Y223" i="1" s="1"/>
  <c r="Q185" i="1"/>
  <c r="U223" i="1" s="1"/>
  <c r="W180" i="1"/>
  <c r="S183" i="1"/>
  <c r="W221" i="1" s="1"/>
  <c r="R187" i="1"/>
  <c r="V225" i="1" s="1"/>
  <c r="AA178" i="1"/>
  <c r="AA186" i="1"/>
  <c r="V178" i="1"/>
  <c r="V186" i="1"/>
  <c r="Z224" i="1" s="1"/>
  <c r="T178" i="1"/>
  <c r="S186" i="1"/>
  <c r="W224" i="1" s="1"/>
  <c r="U177" i="1"/>
  <c r="T186" i="1"/>
  <c r="X224" i="1" s="1"/>
  <c r="Z177" i="1"/>
  <c r="AE188" i="1"/>
  <c r="AI185" i="1"/>
  <c r="AM182" i="1"/>
  <c r="AE180" i="1"/>
  <c r="AI177" i="1"/>
  <c r="AK182" i="1"/>
  <c r="AP187" i="1"/>
  <c r="AH185" i="1"/>
  <c r="AL182" i="1"/>
  <c r="AP179" i="1"/>
  <c r="AH177" i="1"/>
  <c r="AO187" i="1"/>
  <c r="AG185" i="1"/>
  <c r="AO179" i="1"/>
  <c r="AG177" i="1"/>
  <c r="AN187" i="1"/>
  <c r="AF185" i="1"/>
  <c r="AJ182" i="1"/>
  <c r="AN179" i="1"/>
  <c r="AF177" i="1"/>
  <c r="AG187" i="1"/>
  <c r="AK184" i="1"/>
  <c r="AO181" i="1"/>
  <c r="AG179" i="1"/>
  <c r="AO186" i="1"/>
  <c r="AG184" i="1"/>
  <c r="AK181" i="1"/>
  <c r="AO178" i="1"/>
  <c r="AK186" i="1"/>
  <c r="AO183" i="1"/>
  <c r="AG181" i="1"/>
  <c r="AK178" i="1"/>
  <c r="AJ186" i="1"/>
  <c r="AN183" i="1"/>
  <c r="AF181" i="1"/>
  <c r="AJ178" i="1"/>
  <c r="AH188" i="1"/>
  <c r="AL185" i="1"/>
  <c r="AP182" i="1"/>
  <c r="AH180" i="1"/>
  <c r="AL177" i="1"/>
  <c r="AG188" i="1"/>
  <c r="AK185" i="1"/>
  <c r="AO182" i="1"/>
  <c r="AG180" i="1"/>
  <c r="AK177" i="1"/>
  <c r="AN185" i="1"/>
  <c r="AM181" i="1"/>
  <c r="AP177" i="1"/>
  <c r="AM185" i="1"/>
  <c r="AL181" i="1"/>
  <c r="AO177" i="1"/>
  <c r="AJ185" i="1"/>
  <c r="AJ181" i="1"/>
  <c r="AN177" i="1"/>
  <c r="AO188" i="1"/>
  <c r="AO184" i="1"/>
  <c r="AE181" i="1"/>
  <c r="AE177" i="1"/>
  <c r="AM188" i="1"/>
  <c r="AM184" i="1"/>
  <c r="AO180" i="1"/>
  <c r="AN186" i="1"/>
  <c r="AG182" i="1"/>
  <c r="AM177" i="1"/>
  <c r="AM186" i="1"/>
  <c r="AF182" i="1"/>
  <c r="AJ177" i="1"/>
  <c r="AL186" i="1"/>
  <c r="AE182" i="1"/>
  <c r="AI186" i="1"/>
  <c r="AP181" i="1"/>
  <c r="AH186" i="1"/>
  <c r="AN181" i="1"/>
  <c r="AG186" i="1"/>
  <c r="AI181" i="1"/>
  <c r="AF186" i="1"/>
  <c r="AH181" i="1"/>
  <c r="AE186" i="1"/>
  <c r="AP180" i="1"/>
  <c r="AO185" i="1"/>
  <c r="AP184" i="1"/>
  <c r="AK180" i="1"/>
  <c r="AP185" i="1"/>
  <c r="AN180" i="1"/>
  <c r="AM180" i="1"/>
  <c r="AE185" i="1"/>
  <c r="AL180" i="1"/>
  <c r="AI184" i="1"/>
  <c r="AM179" i="1"/>
  <c r="AF188" i="1"/>
  <c r="AI187" i="1"/>
  <c r="AF179" i="1"/>
  <c r="AH187" i="1"/>
  <c r="AE179" i="1"/>
  <c r="AF187" i="1"/>
  <c r="AP178" i="1"/>
  <c r="AE187" i="1"/>
  <c r="AN178" i="1"/>
  <c r="AP186" i="1"/>
  <c r="AM178" i="1"/>
  <c r="AN188" i="1"/>
  <c r="AI188" i="1"/>
  <c r="AN184" i="1"/>
  <c r="AL178" i="1"/>
  <c r="AM183" i="1"/>
  <c r="AJ188" i="1"/>
  <c r="AI179" i="1"/>
  <c r="AL184" i="1"/>
  <c r="AI178" i="1"/>
  <c r="AL188" i="1"/>
  <c r="AM187" i="1"/>
  <c r="AL187" i="1"/>
  <c r="AJ187" i="1"/>
  <c r="AJ184" i="1"/>
  <c r="AH178" i="1"/>
  <c r="AJ179" i="1"/>
  <c r="AH179" i="1"/>
  <c r="AH184" i="1"/>
  <c r="AG178" i="1"/>
  <c r="AN182" i="1"/>
  <c r="AF180" i="1"/>
  <c r="AF184" i="1"/>
  <c r="AF178" i="1"/>
  <c r="AH183" i="1"/>
  <c r="AL179" i="1"/>
  <c r="AE184" i="1"/>
  <c r="AE178" i="1"/>
  <c r="AI183" i="1"/>
  <c r="AK188" i="1"/>
  <c r="AP183" i="1"/>
  <c r="AJ183" i="1"/>
  <c r="AJ180" i="1"/>
  <c r="AL183" i="1"/>
  <c r="AK183" i="1"/>
  <c r="AK179" i="1"/>
  <c r="AK187" i="1"/>
  <c r="AG183" i="1"/>
  <c r="AF183" i="1"/>
  <c r="AE183" i="1"/>
  <c r="AI180" i="1"/>
  <c r="AP188" i="1"/>
  <c r="AI182" i="1"/>
  <c r="AH182" i="1"/>
  <c r="Z244" i="1" l="1"/>
  <c r="X241" i="1"/>
  <c r="U242" i="1"/>
  <c r="Y239" i="1"/>
  <c r="U243" i="1"/>
  <c r="V241" i="1"/>
  <c r="Y242" i="1"/>
  <c r="W244" i="1"/>
  <c r="W241" i="1"/>
  <c r="Z239" i="1"/>
  <c r="U244" i="1"/>
  <c r="W239" i="1"/>
  <c r="X240" i="1"/>
  <c r="V239" i="1"/>
  <c r="X244" i="1"/>
  <c r="V243" i="1"/>
  <c r="X243" i="1"/>
  <c r="Z243" i="1"/>
  <c r="Z240" i="1"/>
  <c r="Y241" i="1"/>
  <c r="W242" i="1"/>
  <c r="V240" i="1"/>
  <c r="U240" i="1"/>
  <c r="V244" i="1"/>
  <c r="X242" i="1"/>
  <c r="Y244" i="1"/>
  <c r="Y240" i="1"/>
  <c r="V242" i="1"/>
  <c r="U241" i="1"/>
  <c r="Y243" i="1"/>
  <c r="Z242" i="1"/>
  <c r="Z241" i="1"/>
  <c r="W240" i="1"/>
  <c r="X239" i="1"/>
  <c r="W243" i="1"/>
  <c r="M54" i="1" l="1"/>
  <c r="AD62" i="1" a="1"/>
  <c r="AD62" i="1" s="1"/>
  <c r="N54" i="1"/>
  <c r="AD61" i="1" s="1" a="1"/>
  <c r="AD61" i="1" s="1"/>
  <c r="B193" i="1" a="1"/>
  <c r="B193" i="1" s="1"/>
  <c r="B192" i="1" l="1" a="1"/>
  <c r="B192" i="1" s="1"/>
  <c r="E194" i="1" s="1" a="1"/>
  <c r="E194" i="1" s="1"/>
  <c r="H197" i="1" l="1" a="1"/>
  <c r="H197" i="1" s="1"/>
  <c r="K200" i="1" s="1" a="1"/>
  <c r="K200" i="1" s="1"/>
  <c r="Q191" i="1" s="1" a="1"/>
  <c r="S199" i="1" l="1"/>
  <c r="Q223" i="1" s="1"/>
  <c r="U197" i="1"/>
  <c r="S221" i="1" s="1"/>
  <c r="V194" i="1"/>
  <c r="X201" i="1"/>
  <c r="D225" i="1" s="1"/>
  <c r="Y200" i="1"/>
  <c r="E224" i="1" s="1"/>
  <c r="V200" i="1"/>
  <c r="T224" i="1" s="1"/>
  <c r="S201" i="1"/>
  <c r="Q225" i="1" s="1"/>
  <c r="Y201" i="1"/>
  <c r="E225" i="1" s="1"/>
  <c r="Z201" i="1"/>
  <c r="F225" i="1" s="1"/>
  <c r="X196" i="1"/>
  <c r="T200" i="1"/>
  <c r="R224" i="1" s="1"/>
  <c r="U196" i="1"/>
  <c r="Y197" i="1"/>
  <c r="E221" i="1" s="1"/>
  <c r="R196" i="1"/>
  <c r="V198" i="1"/>
  <c r="T222" i="1" s="1"/>
  <c r="V201" i="1"/>
  <c r="T225" i="1" s="1"/>
  <c r="R195" i="1"/>
  <c r="Q201" i="1"/>
  <c r="O225" i="1" s="1"/>
  <c r="U198" i="1"/>
  <c r="S222" i="1" s="1"/>
  <c r="AB193" i="1"/>
  <c r="AB199" i="1"/>
  <c r="H223" i="1" s="1"/>
  <c r="AB191" i="1"/>
  <c r="AB200" i="1"/>
  <c r="H224" i="1" s="1"/>
  <c r="V197" i="1"/>
  <c r="T221" i="1" s="1"/>
  <c r="W199" i="1"/>
  <c r="C223" i="1" s="1"/>
  <c r="W192" i="1"/>
  <c r="R201" i="1"/>
  <c r="P225" i="1" s="1"/>
  <c r="T198" i="1"/>
  <c r="R222" i="1" s="1"/>
  <c r="W194" i="1"/>
  <c r="X197" i="1"/>
  <c r="D221" i="1" s="1"/>
  <c r="W197" i="1"/>
  <c r="R202" i="1"/>
  <c r="P226" i="1" s="1"/>
  <c r="V191" i="1"/>
  <c r="Y191" i="1"/>
  <c r="R193" i="1"/>
  <c r="W191" i="1"/>
  <c r="AA196" i="1"/>
  <c r="Y198" i="1"/>
  <c r="E222" i="1" s="1"/>
  <c r="Z191" i="1"/>
  <c r="AB202" i="1"/>
  <c r="H226" i="1" s="1"/>
  <c r="U200" i="1"/>
  <c r="S224" i="1" s="1"/>
  <c r="W193" i="1"/>
  <c r="W201" i="1"/>
  <c r="C225" i="1" s="1"/>
  <c r="U192" i="1"/>
  <c r="AA198" i="1"/>
  <c r="G222" i="1" s="1"/>
  <c r="V193" i="1"/>
  <c r="U202" i="1"/>
  <c r="S226" i="1" s="1"/>
  <c r="Z202" i="1"/>
  <c r="F226" i="1" s="1"/>
  <c r="Z194" i="1"/>
  <c r="T195" i="1"/>
  <c r="AA195" i="1"/>
  <c r="Y195" i="1"/>
  <c r="W198" i="1"/>
  <c r="C222" i="1" s="1"/>
  <c r="AB198" i="1"/>
  <c r="H222" i="1" s="1"/>
  <c r="T193" i="1"/>
  <c r="S194" i="1"/>
  <c r="S191" i="1"/>
  <c r="AB201" i="1"/>
  <c r="H225" i="1" s="1"/>
  <c r="S195" i="1"/>
  <c r="AB195" i="1"/>
  <c r="U193" i="1"/>
  <c r="X194" i="1"/>
  <c r="Z197" i="1"/>
  <c r="F221" i="1" s="1"/>
  <c r="T191" i="1"/>
  <c r="X192" i="1"/>
  <c r="Q195" i="1"/>
  <c r="Q197" i="1"/>
  <c r="Q196" i="1"/>
  <c r="Y202" i="1"/>
  <c r="E226" i="1" s="1"/>
  <c r="Z200" i="1"/>
  <c r="F224" i="1" s="1"/>
  <c r="W200" i="1"/>
  <c r="C224" i="1" s="1"/>
  <c r="S202" i="1"/>
  <c r="Q226" i="1" s="1"/>
  <c r="S197" i="1"/>
  <c r="Q221" i="1" s="1"/>
  <c r="V192" i="1"/>
  <c r="X191" i="1"/>
  <c r="Q200" i="1"/>
  <c r="O224" i="1" s="1"/>
  <c r="S198" i="1"/>
  <c r="Q222" i="1" s="1"/>
  <c r="V199" i="1"/>
  <c r="T223" i="1" s="1"/>
  <c r="X202" i="1"/>
  <c r="D226" i="1" s="1"/>
  <c r="S193" i="1"/>
  <c r="Q198" i="1"/>
  <c r="O222" i="1" s="1"/>
  <c r="U199" i="1"/>
  <c r="S223" i="1" s="1"/>
  <c r="X200" i="1"/>
  <c r="D224" i="1" s="1"/>
  <c r="AA191" i="1"/>
  <c r="V196" i="1"/>
  <c r="U195" i="1"/>
  <c r="Y196" i="1"/>
  <c r="R197" i="1"/>
  <c r="P221" i="1" s="1"/>
  <c r="Y193" i="1"/>
  <c r="Z195" i="1"/>
  <c r="Z193" i="1"/>
  <c r="W202" i="1"/>
  <c r="C226" i="1" s="1"/>
  <c r="R198" i="1"/>
  <c r="P222" i="1" s="1"/>
  <c r="T194" i="1"/>
  <c r="AA193" i="1"/>
  <c r="AB197" i="1"/>
  <c r="H221" i="1" s="1"/>
  <c r="T197" i="1"/>
  <c r="R221" i="1" s="1"/>
  <c r="Q191" i="1"/>
  <c r="U201" i="1"/>
  <c r="S225" i="1" s="1"/>
  <c r="S192" i="1"/>
  <c r="T192" i="1"/>
  <c r="W196" i="1"/>
  <c r="T199" i="1"/>
  <c r="R223" i="1" s="1"/>
  <c r="V195" i="1"/>
  <c r="AB192" i="1"/>
  <c r="Q192" i="1"/>
  <c r="Y192" i="1"/>
  <c r="Q199" i="1"/>
  <c r="O223" i="1" s="1"/>
  <c r="T202" i="1"/>
  <c r="R226" i="1" s="1"/>
  <c r="AA197" i="1"/>
  <c r="G221" i="1" s="1"/>
  <c r="Y194" i="1"/>
  <c r="AA202" i="1"/>
  <c r="G226" i="1" s="1"/>
  <c r="Z192" i="1"/>
  <c r="AA192" i="1"/>
  <c r="R192" i="1"/>
  <c r="AB194" i="1"/>
  <c r="AA200" i="1"/>
  <c r="G224" i="1" s="1"/>
  <c r="Y199" i="1"/>
  <c r="E223" i="1" s="1"/>
  <c r="AA194" i="1"/>
  <c r="V202" i="1"/>
  <c r="T226" i="1" s="1"/>
  <c r="X195" i="1"/>
  <c r="W195" i="1"/>
  <c r="AA201" i="1"/>
  <c r="G225" i="1" s="1"/>
  <c r="S200" i="1"/>
  <c r="Q224" i="1" s="1"/>
  <c r="Q202" i="1"/>
  <c r="O226" i="1" s="1"/>
  <c r="R199" i="1"/>
  <c r="P223" i="1" s="1"/>
  <c r="T196" i="1"/>
  <c r="U191" i="1"/>
  <c r="S196" i="1"/>
  <c r="AA199" i="1"/>
  <c r="G223" i="1" s="1"/>
  <c r="X199" i="1"/>
  <c r="D223" i="1" s="1"/>
  <c r="X198" i="1"/>
  <c r="D222" i="1" s="1"/>
  <c r="Z196" i="1"/>
  <c r="Z199" i="1"/>
  <c r="F223" i="1" s="1"/>
  <c r="U194" i="1"/>
  <c r="R191" i="1"/>
  <c r="R200" i="1"/>
  <c r="P224" i="1" s="1"/>
  <c r="Q194" i="1"/>
  <c r="T201" i="1"/>
  <c r="R225" i="1" s="1"/>
  <c r="Z198" i="1"/>
  <c r="F222" i="1" s="1"/>
  <c r="AB196" i="1"/>
  <c r="Q193" i="1"/>
  <c r="R194" i="1"/>
  <c r="X193" i="1"/>
  <c r="AE191" i="1" a="1"/>
  <c r="P233" i="1" l="1"/>
  <c r="R233" i="1"/>
  <c r="P236" i="1"/>
  <c r="O235" i="1"/>
  <c r="R236" i="1"/>
  <c r="S237" i="1"/>
  <c r="T235" i="1"/>
  <c r="P238" i="1"/>
  <c r="R238" i="1"/>
  <c r="T238" i="1"/>
  <c r="S235" i="1"/>
  <c r="Q234" i="1"/>
  <c r="O238" i="1"/>
  <c r="S234" i="1"/>
  <c r="S238" i="1"/>
  <c r="Q235" i="1"/>
  <c r="P234" i="1"/>
  <c r="Q237" i="1"/>
  <c r="P235" i="1"/>
  <c r="T236" i="1"/>
  <c r="S233" i="1"/>
  <c r="T237" i="1"/>
  <c r="Q236" i="1"/>
  <c r="S236" i="1"/>
  <c r="R235" i="1"/>
  <c r="R234" i="1"/>
  <c r="O236" i="1"/>
  <c r="O234" i="1"/>
  <c r="T234" i="1"/>
  <c r="O237" i="1"/>
  <c r="R237" i="1"/>
  <c r="D279" i="1" a="1"/>
  <c r="Q238" i="1"/>
  <c r="Q233" i="1"/>
  <c r="T233" i="1"/>
  <c r="P237" i="1"/>
  <c r="AM193" i="1"/>
  <c r="AE194" i="1"/>
  <c r="AJ198" i="1"/>
  <c r="AJ200" i="1"/>
  <c r="AO199" i="1"/>
  <c r="AI199" i="1"/>
  <c r="AF192" i="1"/>
  <c r="AP193" i="1"/>
  <c r="AE198" i="1"/>
  <c r="AP202" i="1"/>
  <c r="AE196" i="1"/>
  <c r="AF200" i="1"/>
  <c r="AF198" i="1"/>
  <c r="AK196" i="1"/>
  <c r="AI201" i="1"/>
  <c r="AP196" i="1"/>
  <c r="AL195" i="1"/>
  <c r="AN200" i="1"/>
  <c r="AN198" i="1"/>
  <c r="AK195" i="1"/>
  <c r="AP199" i="1"/>
  <c r="AE193" i="1"/>
  <c r="AH192" i="1"/>
  <c r="AM197" i="1"/>
  <c r="AI198" i="1"/>
  <c r="AJ201" i="1"/>
  <c r="AH198" i="1"/>
  <c r="AF197" i="1"/>
  <c r="AJ199" i="1"/>
  <c r="AK191" i="1"/>
  <c r="AO198" i="1"/>
  <c r="AH200" i="1"/>
  <c r="AG194" i="1"/>
  <c r="AL202" i="1"/>
  <c r="AO202" i="1"/>
  <c r="AO191" i="1"/>
  <c r="AE202" i="1"/>
  <c r="AG197" i="1"/>
  <c r="AN196" i="1"/>
  <c r="AI193" i="1"/>
  <c r="AO201" i="1"/>
  <c r="AJ196" i="1"/>
  <c r="AL191" i="1"/>
  <c r="AF194" i="1"/>
  <c r="AF191" i="1"/>
  <c r="AO193" i="1"/>
  <c r="AP195" i="1"/>
  <c r="AK197" i="1"/>
  <c r="AF202" i="1"/>
  <c r="AK201" i="1"/>
  <c r="AK194" i="1"/>
  <c r="AM196" i="1"/>
  <c r="AO200" i="1"/>
  <c r="AF199" i="1"/>
  <c r="AI197" i="1"/>
  <c r="AM201" i="1"/>
  <c r="AN194" i="1"/>
  <c r="AH197" i="1"/>
  <c r="AM198" i="1"/>
  <c r="AK200" i="1"/>
  <c r="AL193" i="1"/>
  <c r="AG195" i="1"/>
  <c r="AJ191" i="1"/>
  <c r="AK202" i="1"/>
  <c r="AE195" i="1"/>
  <c r="AG193" i="1"/>
  <c r="AO197" i="1"/>
  <c r="AN202" i="1"/>
  <c r="AO196" i="1"/>
  <c r="AN192" i="1"/>
  <c r="AL196" i="1"/>
  <c r="AH199" i="1"/>
  <c r="AH191" i="1"/>
  <c r="AP201" i="1"/>
  <c r="AI192" i="1"/>
  <c r="AG201" i="1"/>
  <c r="AH201" i="1"/>
  <c r="AN195" i="1"/>
  <c r="AN199" i="1"/>
  <c r="AI202" i="1"/>
  <c r="AL197" i="1"/>
  <c r="AO194" i="1"/>
  <c r="AG200" i="1"/>
  <c r="AH202" i="1"/>
  <c r="AP198" i="1"/>
  <c r="AL192" i="1"/>
  <c r="AF195" i="1"/>
  <c r="AJ194" i="1"/>
  <c r="AF196" i="1"/>
  <c r="AE201" i="1"/>
  <c r="AL194" i="1"/>
  <c r="AN201" i="1"/>
  <c r="AN197" i="1"/>
  <c r="AN191" i="1"/>
  <c r="AF193" i="1"/>
  <c r="AI195" i="1"/>
  <c r="AM199" i="1"/>
  <c r="AE191" i="1"/>
  <c r="AM194" i="1"/>
  <c r="AI191" i="1"/>
  <c r="AL198" i="1"/>
  <c r="AG196" i="1"/>
  <c r="AI194" i="1"/>
  <c r="AI200" i="1"/>
  <c r="AG192" i="1"/>
  <c r="AK198" i="1"/>
  <c r="AM191" i="1"/>
  <c r="AP200" i="1"/>
  <c r="AH196" i="1"/>
  <c r="AP191" i="1"/>
  <c r="AG198" i="1"/>
  <c r="AG202" i="1"/>
  <c r="AG199" i="1"/>
  <c r="AH194" i="1"/>
  <c r="AM192" i="1"/>
  <c r="AG191" i="1"/>
  <c r="AM202" i="1"/>
  <c r="AL200" i="1"/>
  <c r="AI196" i="1"/>
  <c r="AE200" i="1"/>
  <c r="AP197" i="1"/>
  <c r="AH195" i="1"/>
  <c r="AH193" i="1"/>
  <c r="AJ195" i="1"/>
  <c r="AF201" i="1"/>
  <c r="AO195" i="1"/>
  <c r="AK193" i="1"/>
  <c r="AJ202" i="1"/>
  <c r="AE192" i="1"/>
  <c r="AM200" i="1"/>
  <c r="AL199" i="1"/>
  <c r="AK199" i="1"/>
  <c r="AE197" i="1"/>
  <c r="AN193" i="1"/>
  <c r="AO192" i="1"/>
  <c r="AM195" i="1"/>
  <c r="AJ193" i="1"/>
  <c r="AJ192" i="1"/>
  <c r="AJ197" i="1"/>
  <c r="AK192" i="1"/>
  <c r="AP192" i="1"/>
  <c r="AL201" i="1"/>
  <c r="AE199" i="1"/>
  <c r="AP194" i="1"/>
  <c r="D284" i="1" l="1"/>
  <c r="D283" i="1"/>
  <c r="D282" i="1"/>
  <c r="D280" i="1"/>
  <c r="D279" i="1"/>
  <c r="D281" i="1"/>
  <c r="U316" i="1" l="1"/>
  <c r="C316" i="1"/>
  <c r="L316" i="1"/>
  <c r="L314" i="1"/>
  <c r="N308" i="1" s="1" a="1"/>
  <c r="C314" i="1"/>
  <c r="E308" i="1" s="1" a="1"/>
  <c r="U314" i="1"/>
  <c r="W308" i="1" s="1" a="1"/>
  <c r="J279" i="1" a="1"/>
  <c r="L315" i="1"/>
  <c r="U315" i="1"/>
  <c r="C315" i="1"/>
  <c r="C317" i="1"/>
  <c r="U317" i="1"/>
  <c r="L317" i="1"/>
  <c r="C318" i="1"/>
  <c r="U318" i="1"/>
  <c r="L318" i="1"/>
  <c r="C319" i="1"/>
  <c r="U319" i="1"/>
  <c r="L319" i="1"/>
  <c r="J280" i="1" l="1"/>
  <c r="J288" i="1"/>
  <c r="J293" i="1"/>
  <c r="J284" i="1"/>
  <c r="J294" i="1"/>
  <c r="J286" i="1"/>
  <c r="J287" i="1"/>
  <c r="J285" i="1"/>
  <c r="J296" i="1"/>
  <c r="J290" i="1"/>
  <c r="J292" i="1"/>
  <c r="J282" i="1"/>
  <c r="J279" i="1"/>
  <c r="J283" i="1"/>
  <c r="J289" i="1"/>
  <c r="J291" i="1"/>
  <c r="J281" i="1"/>
  <c r="J295" i="1"/>
  <c r="W315" i="1"/>
  <c r="W319" i="1"/>
  <c r="W313" i="1"/>
  <c r="W316" i="1"/>
  <c r="W314" i="1"/>
  <c r="W308" i="1"/>
  <c r="Y308" i="1" s="1" a="1"/>
  <c r="W311" i="1"/>
  <c r="W309" i="1"/>
  <c r="W312" i="1"/>
  <c r="W310" i="1"/>
  <c r="W318" i="1"/>
  <c r="W317" i="1"/>
  <c r="N313" i="1"/>
  <c r="N310" i="1"/>
  <c r="N312" i="1"/>
  <c r="N318" i="1"/>
  <c r="N314" i="1"/>
  <c r="N308" i="1"/>
  <c r="P308" i="1" s="1" a="1"/>
  <c r="N311" i="1"/>
  <c r="N315" i="1"/>
  <c r="N317" i="1"/>
  <c r="N309" i="1"/>
  <c r="N319" i="1"/>
  <c r="N316" i="1"/>
  <c r="E310" i="1"/>
  <c r="E315" i="1"/>
  <c r="E313" i="1"/>
  <c r="E312" i="1"/>
  <c r="E309" i="1"/>
  <c r="E317" i="1"/>
  <c r="E314" i="1"/>
  <c r="E308" i="1"/>
  <c r="G308" i="1" s="1" a="1"/>
  <c r="E318" i="1"/>
  <c r="E319" i="1"/>
  <c r="E311" i="1"/>
  <c r="E316" i="1"/>
  <c r="P311" i="1" l="1"/>
  <c r="P310" i="1"/>
  <c r="P313" i="1"/>
  <c r="P316" i="1"/>
  <c r="P318" i="1"/>
  <c r="P317" i="1"/>
  <c r="P308" i="1"/>
  <c r="P319" i="1"/>
  <c r="P314" i="1"/>
  <c r="P315" i="1"/>
  <c r="P309" i="1"/>
  <c r="P312" i="1"/>
  <c r="Y317" i="1"/>
  <c r="Y313" i="1"/>
  <c r="Y319" i="1"/>
  <c r="Y308" i="1"/>
  <c r="Y315" i="1"/>
  <c r="Y310" i="1"/>
  <c r="Y316" i="1"/>
  <c r="Y312" i="1"/>
  <c r="Y309" i="1"/>
  <c r="Y314" i="1"/>
  <c r="Y318" i="1"/>
  <c r="Y311" i="1"/>
  <c r="G311" i="1"/>
  <c r="G317" i="1"/>
  <c r="G314" i="1"/>
  <c r="G316" i="1"/>
  <c r="G315" i="1"/>
  <c r="G312" i="1"/>
  <c r="G319" i="1"/>
  <c r="G309" i="1"/>
  <c r="G313" i="1"/>
  <c r="G308" i="1"/>
  <c r="G310" i="1"/>
  <c r="G31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<sst xmlns="http://schemas.openxmlformats.org/spreadsheetml/2006/main" count="347" uniqueCount="209">
  <si>
    <t>ANÁLISIS ESTRUCTURAL DE MARCOS CON MUROS Y BRAZOS RÍGIDOS</t>
  </si>
  <si>
    <t>Mediante el método de rigidez generalizada</t>
  </si>
  <si>
    <t>Ing. Cristóbal Jiménez Mucho</t>
  </si>
  <si>
    <t>1. DATOS GENERALES DEL SISTEMA ESTRUCTURAL</t>
  </si>
  <si>
    <t>1.1)  Propiedades mecánicas de la estructura</t>
  </si>
  <si>
    <t>Ec : Módulo de Young o tangencial del material</t>
  </si>
  <si>
    <t>tonnef/m2</t>
  </si>
  <si>
    <t>v : Relación de Poisson del material</t>
  </si>
  <si>
    <t>Gc : Módulo de corte del material</t>
  </si>
  <si>
    <t>1.2)  Coordenadas del sistema estructural y las restricciones</t>
  </si>
  <si>
    <t>θi</t>
  </si>
  <si>
    <t>θj</t>
  </si>
  <si>
    <t>θk</t>
  </si>
  <si>
    <t>xb
(in)</t>
  </si>
  <si>
    <t>yb
(in)</t>
  </si>
  <si>
    <t>zb
(in)</t>
  </si>
  <si>
    <t>1.3)  Propiedades físicas de los elementos</t>
  </si>
  <si>
    <t>Elemento</t>
  </si>
  <si>
    <t>Ni</t>
  </si>
  <si>
    <t>Nf</t>
  </si>
  <si>
    <t>λxX</t>
  </si>
  <si>
    <t>λxY</t>
  </si>
  <si>
    <t>λxZ</t>
  </si>
  <si>
    <t>a</t>
  </si>
  <si>
    <t>b</t>
  </si>
  <si>
    <t>1.4)  Producto vectorial en referencia de un punto arbitrario / ángulo de giro</t>
  </si>
  <si>
    <t>Ix</t>
  </si>
  <si>
    <t>Iy</t>
  </si>
  <si>
    <t>Iz</t>
  </si>
  <si>
    <t>ix*p</t>
  </si>
  <si>
    <t>iy*p</t>
  </si>
  <si>
    <t>iz*p</t>
  </si>
  <si>
    <t>(i*p)^0.5</t>
  </si>
  <si>
    <t>ixY</t>
  </si>
  <si>
    <t>iyY</t>
  </si>
  <si>
    <t>izY</t>
  </si>
  <si>
    <t>ixZ</t>
  </si>
  <si>
    <t>iyZ</t>
  </si>
  <si>
    <t>izZ</t>
  </si>
  <si>
    <t>λyX</t>
  </si>
  <si>
    <t>λyY</t>
  </si>
  <si>
    <t>λyZ</t>
  </si>
  <si>
    <t>λzX</t>
  </si>
  <si>
    <t>λzY</t>
  </si>
  <si>
    <t>λzZ</t>
  </si>
  <si>
    <r>
      <t>i</t>
    </r>
    <r>
      <rPr>
        <vertAlign val="subscript"/>
        <sz val="10"/>
        <color theme="1"/>
        <rFont val="Times New Roman"/>
        <family val="1"/>
      </rPr>
      <t>x</t>
    </r>
    <r>
      <rPr>
        <sz val="10"/>
        <color theme="1"/>
        <rFont val="Times New Roman"/>
        <family val="1"/>
      </rPr>
      <t>X</t>
    </r>
  </si>
  <si>
    <r>
      <t>i</t>
    </r>
    <r>
      <rPr>
        <vertAlign val="subscript"/>
        <sz val="10"/>
        <color theme="1"/>
        <rFont val="Times New Roman"/>
        <family val="1"/>
      </rPr>
      <t>x</t>
    </r>
    <r>
      <rPr>
        <sz val="10"/>
        <color theme="1"/>
        <rFont val="Times New Roman"/>
        <family val="1"/>
      </rPr>
      <t>Y</t>
    </r>
  </si>
  <si>
    <r>
      <t>i</t>
    </r>
    <r>
      <rPr>
        <vertAlign val="subscript"/>
        <sz val="10"/>
        <color theme="1"/>
        <rFont val="Times New Roman"/>
        <family val="1"/>
      </rPr>
      <t>x</t>
    </r>
    <r>
      <rPr>
        <sz val="10"/>
        <color theme="1"/>
        <rFont val="Times New Roman"/>
        <family val="1"/>
      </rPr>
      <t>Z</t>
    </r>
  </si>
  <si>
    <r>
      <t>i</t>
    </r>
    <r>
      <rPr>
        <vertAlign val="subscript"/>
        <sz val="10"/>
        <color theme="1"/>
        <rFont val="Times New Roman"/>
        <family val="1"/>
      </rPr>
      <t>y</t>
    </r>
    <r>
      <rPr>
        <sz val="10"/>
        <color theme="1"/>
        <rFont val="Times New Roman"/>
        <family val="1"/>
      </rPr>
      <t>X</t>
    </r>
  </si>
  <si>
    <r>
      <t>i</t>
    </r>
    <r>
      <rPr>
        <vertAlign val="subscript"/>
        <sz val="10"/>
        <color theme="1"/>
        <rFont val="Times New Roman"/>
        <family val="1"/>
      </rPr>
      <t>y</t>
    </r>
    <r>
      <rPr>
        <sz val="10"/>
        <color theme="1"/>
        <rFont val="Times New Roman"/>
        <family val="1"/>
      </rPr>
      <t>Y</t>
    </r>
  </si>
  <si>
    <r>
      <t>i</t>
    </r>
    <r>
      <rPr>
        <vertAlign val="subscript"/>
        <sz val="10"/>
        <color theme="1"/>
        <rFont val="Times New Roman"/>
        <family val="1"/>
      </rPr>
      <t>y</t>
    </r>
    <r>
      <rPr>
        <sz val="10"/>
        <color theme="1"/>
        <rFont val="Times New Roman"/>
        <family val="1"/>
      </rPr>
      <t>Z</t>
    </r>
  </si>
  <si>
    <r>
      <t>i</t>
    </r>
    <r>
      <rPr>
        <vertAlign val="subscript"/>
        <sz val="10"/>
        <color theme="1"/>
        <rFont val="Times New Roman"/>
        <family val="1"/>
      </rPr>
      <t>z</t>
    </r>
    <r>
      <rPr>
        <sz val="10"/>
        <color theme="1"/>
        <rFont val="Times New Roman"/>
        <family val="1"/>
      </rPr>
      <t>X</t>
    </r>
  </si>
  <si>
    <r>
      <t>i</t>
    </r>
    <r>
      <rPr>
        <vertAlign val="subscript"/>
        <sz val="10"/>
        <color theme="1"/>
        <rFont val="Times New Roman"/>
        <family val="1"/>
      </rPr>
      <t>z</t>
    </r>
    <r>
      <rPr>
        <sz val="10"/>
        <color theme="1"/>
        <rFont val="Times New Roman"/>
        <family val="1"/>
      </rPr>
      <t>Y</t>
    </r>
  </si>
  <si>
    <r>
      <t>i</t>
    </r>
    <r>
      <rPr>
        <vertAlign val="subscript"/>
        <sz val="10"/>
        <color theme="1"/>
        <rFont val="Times New Roman"/>
        <family val="1"/>
      </rPr>
      <t>z</t>
    </r>
    <r>
      <rPr>
        <sz val="10"/>
        <color theme="1"/>
        <rFont val="Times New Roman"/>
        <family val="1"/>
      </rPr>
      <t>Z</t>
    </r>
  </si>
  <si>
    <t>2. PROPIEDADES MECÁNICAS DE LOS ELEMENTOS</t>
  </si>
  <si>
    <t>v</t>
  </si>
  <si>
    <t>ϕy</t>
  </si>
  <si>
    <t>ϕz</t>
  </si>
  <si>
    <t>EA = ꝏ</t>
  </si>
  <si>
    <t>GA = 0</t>
  </si>
  <si>
    <t>Finito</t>
  </si>
  <si>
    <t>Infinito</t>
  </si>
  <si>
    <t>3. MATRIZ RIGIDEZ EN SISTEMA DE COORDENADA LOCAL</t>
  </si>
  <si>
    <t xml:space="preserve">3.1. Matriz de rigidez del elemento flexible en sistema de coordenada local </t>
  </si>
  <si>
    <t>3.2. Matriz de Transformación del elemento flexible a elemento completo, incluido brazos rígidos</t>
  </si>
  <si>
    <r>
      <t>k''e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=</t>
    </r>
  </si>
  <si>
    <r>
      <t>H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 =</t>
    </r>
  </si>
  <si>
    <r>
      <t>k''e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=</t>
    </r>
  </si>
  <si>
    <r>
      <t>H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=</t>
    </r>
  </si>
  <si>
    <r>
      <t>k''e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=</t>
    </r>
  </si>
  <si>
    <r>
      <t>H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 =</t>
    </r>
  </si>
  <si>
    <t>4. MATRIZ ROTACIÓN DE SISTEMA DE COORDENADAS</t>
  </si>
  <si>
    <t>5. MATRIZ DE RIGIDEZ DE LOS ELEMENTOS EN COORDENADA GLOBAL</t>
  </si>
  <si>
    <r>
      <t>T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 =</t>
    </r>
  </si>
  <si>
    <r>
      <t>k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 =</t>
    </r>
  </si>
  <si>
    <r>
      <t>T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=</t>
    </r>
  </si>
  <si>
    <r>
      <t>k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 =</t>
    </r>
  </si>
  <si>
    <r>
      <t>T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 =</t>
    </r>
  </si>
  <si>
    <r>
      <t>k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 =</t>
    </r>
  </si>
  <si>
    <t>6. ENSAMBLAJE DE MATRIZ DE RIGIDEZ GLOBAL DE LA ESTRUCTURA</t>
  </si>
  <si>
    <t>K =</t>
  </si>
  <si>
    <t>7. VECTOR DE FUERZAS</t>
  </si>
  <si>
    <t>7.1. VECTOR DE FUERZAS APLICADAS EN LOS NUDOS</t>
  </si>
  <si>
    <t>7.2. VECTOR DE FUERZAS EN LOS ELEMENTOS</t>
  </si>
  <si>
    <t>kip</t>
  </si>
  <si>
    <r>
      <t>R</t>
    </r>
    <r>
      <rPr>
        <vertAlign val="subscript"/>
        <sz val="10"/>
        <color theme="1"/>
        <rFont val="Times New Roman"/>
        <family val="1"/>
      </rPr>
      <t>07</t>
    </r>
  </si>
  <si>
    <r>
      <t>R</t>
    </r>
    <r>
      <rPr>
        <vertAlign val="subscript"/>
        <sz val="10"/>
        <color theme="1"/>
        <rFont val="Times New Roman"/>
        <family val="1"/>
      </rPr>
      <t>13</t>
    </r>
  </si>
  <si>
    <r>
      <t>R</t>
    </r>
    <r>
      <rPr>
        <vertAlign val="subscript"/>
        <sz val="10"/>
        <color theme="1"/>
        <rFont val="Times New Roman"/>
        <family val="1"/>
      </rPr>
      <t>19</t>
    </r>
  </si>
  <si>
    <r>
      <t>R</t>
    </r>
    <r>
      <rPr>
        <vertAlign val="subscript"/>
        <sz val="10"/>
        <color theme="1"/>
        <rFont val="Times New Roman"/>
        <family val="1"/>
      </rPr>
      <t>08</t>
    </r>
  </si>
  <si>
    <r>
      <t>R</t>
    </r>
    <r>
      <rPr>
        <vertAlign val="subscript"/>
        <sz val="10"/>
        <color theme="1"/>
        <rFont val="Times New Roman"/>
        <family val="1"/>
      </rPr>
      <t>14</t>
    </r>
  </si>
  <si>
    <r>
      <t>R</t>
    </r>
    <r>
      <rPr>
        <vertAlign val="subscript"/>
        <sz val="10"/>
        <color theme="1"/>
        <rFont val="Times New Roman"/>
        <family val="1"/>
      </rPr>
      <t>20</t>
    </r>
  </si>
  <si>
    <r>
      <t>R</t>
    </r>
    <r>
      <rPr>
        <vertAlign val="subscript"/>
        <sz val="10"/>
        <color theme="1"/>
        <rFont val="Times New Roman"/>
        <family val="1"/>
      </rPr>
      <t>09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</si>
  <si>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15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</si>
  <si>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21</t>
    </r>
    <r>
      <rPr>
        <sz val="11"/>
        <color theme="1"/>
        <rFont val="Aptos Narrow"/>
        <family val="2"/>
        <scheme val="minor"/>
      </rPr>
      <t/>
    </r>
  </si>
  <si>
    <t>kip-in</t>
  </si>
  <si>
    <r>
      <t>R</t>
    </r>
    <r>
      <rPr>
        <vertAlign val="subscript"/>
        <sz val="10"/>
        <color theme="1"/>
        <rFont val="Times New Roman"/>
        <family val="1"/>
      </rPr>
      <t>10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</si>
  <si>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16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</si>
  <si>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22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</si>
  <si>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11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</si>
  <si>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17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</si>
  <si>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23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</si>
  <si>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=</t>
    </r>
  </si>
  <si>
    <r>
      <t>R</t>
    </r>
    <r>
      <rPr>
        <vertAlign val="subscript"/>
        <sz val="10"/>
        <color theme="1"/>
        <rFont val="Times New Roman"/>
        <family val="1"/>
      </rPr>
      <t>12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</si>
  <si>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=</t>
    </r>
  </si>
  <si>
    <r>
      <t>R</t>
    </r>
    <r>
      <rPr>
        <vertAlign val="subscript"/>
        <sz val="10"/>
        <color theme="1"/>
        <rFont val="Times New Roman"/>
        <family val="1"/>
      </rPr>
      <t>18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</si>
  <si>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=</t>
    </r>
  </si>
  <si>
    <r>
      <t>R</t>
    </r>
    <r>
      <rPr>
        <vertAlign val="subscript"/>
        <sz val="10"/>
        <color theme="1"/>
        <rFont val="Times New Roman"/>
        <family val="1"/>
      </rPr>
      <t>24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</si>
  <si>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vertAlign val="superscript"/>
        <sz val="10"/>
        <color theme="1"/>
        <rFont val="Times New Roman"/>
        <family val="1"/>
      </rPr>
      <t>F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=</t>
    </r>
  </si>
  <si>
    <r>
      <t>F</t>
    </r>
    <r>
      <rPr>
        <vertAlign val="superscript"/>
        <sz val="10"/>
        <color theme="1"/>
        <rFont val="Times New Roman"/>
        <family val="1"/>
      </rPr>
      <t>F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=</t>
    </r>
  </si>
  <si>
    <r>
      <t>F</t>
    </r>
    <r>
      <rPr>
        <vertAlign val="superscript"/>
        <sz val="10"/>
        <color theme="1"/>
        <rFont val="Times New Roman"/>
        <family val="1"/>
      </rPr>
      <t>F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=</t>
    </r>
  </si>
  <si>
    <t>F   =</t>
  </si>
  <si>
    <r>
      <t>F</t>
    </r>
    <r>
      <rPr>
        <vertAlign val="superscript"/>
        <sz val="10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 xml:space="preserve">   =</t>
    </r>
  </si>
  <si>
    <r>
      <t>R</t>
    </r>
    <r>
      <rPr>
        <vertAlign val="subscript"/>
        <sz val="10"/>
        <color theme="1"/>
        <rFont val="Times New Roman"/>
        <family val="1"/>
      </rPr>
      <t>13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</si>
  <si>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14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</si>
  <si>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19</t>
    </r>
    <r>
      <rPr>
        <sz val="11"/>
        <color theme="1"/>
        <rFont val="Aptos Narrow"/>
        <family val="2"/>
        <scheme val="minor"/>
      </rPr>
      <t/>
    </r>
  </si>
  <si>
    <r>
      <t>R</t>
    </r>
    <r>
      <rPr>
        <vertAlign val="subscript"/>
        <sz val="10"/>
        <color theme="1"/>
        <rFont val="Times New Roman"/>
        <family val="1"/>
      </rPr>
      <t>20</t>
    </r>
    <r>
      <rPr>
        <sz val="11"/>
        <color theme="1"/>
        <rFont val="Aptos Narrow"/>
        <family val="2"/>
        <scheme val="minor"/>
      </rPr>
      <t/>
    </r>
  </si>
  <si>
    <t>8. DESPLAZAMIENTOS EN LOS NUDOS</t>
  </si>
  <si>
    <t xml:space="preserve"> </t>
  </si>
  <si>
    <t>9. REACCIONES EN LOS APOYOS</t>
  </si>
  <si>
    <t>u1</t>
  </si>
  <si>
    <t>in</t>
  </si>
  <si>
    <t>v2</t>
  </si>
  <si>
    <t>w3</t>
  </si>
  <si>
    <t>θ4</t>
  </si>
  <si>
    <t>rad</t>
  </si>
  <si>
    <t>θ5</t>
  </si>
  <si>
    <t>θ6</t>
  </si>
  <si>
    <t>=</t>
  </si>
  <si>
    <t>u7</t>
  </si>
  <si>
    <t>v8</t>
  </si>
  <si>
    <t>w9</t>
  </si>
  <si>
    <t>Fs   =</t>
  </si>
  <si>
    <t>θ10</t>
  </si>
  <si>
    <t>θ11</t>
  </si>
  <si>
    <r>
      <t>u</t>
    </r>
    <r>
      <rPr>
        <vertAlign val="subscript"/>
        <sz val="10"/>
        <color theme="1"/>
        <rFont val="Times New Roman"/>
        <family val="1"/>
      </rPr>
      <t>ij</t>
    </r>
    <r>
      <rPr>
        <sz val="10"/>
        <color theme="1"/>
        <rFont val="Times New Roman"/>
        <family val="1"/>
      </rPr>
      <t xml:space="preserve">   =</t>
    </r>
  </si>
  <si>
    <t>θ12</t>
  </si>
  <si>
    <t>u13</t>
  </si>
  <si>
    <t>v14</t>
  </si>
  <si>
    <t>w15</t>
  </si>
  <si>
    <t>θ16</t>
  </si>
  <si>
    <t>θ17</t>
  </si>
  <si>
    <t>θ18</t>
  </si>
  <si>
    <t>u19</t>
  </si>
  <si>
    <t>v20</t>
  </si>
  <si>
    <t>w21</t>
  </si>
  <si>
    <t>θ22</t>
  </si>
  <si>
    <t>θ23</t>
  </si>
  <si>
    <t>θ24</t>
  </si>
  <si>
    <t>10. FUERZAS INTERNAS EN LOS ELEMENTOS</t>
  </si>
  <si>
    <t>10.1. Fuerzas internas en coordenada local</t>
  </si>
  <si>
    <t>10.2. Fuerzas internas en coordenada global</t>
  </si>
  <si>
    <r>
      <t>Q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 =</t>
    </r>
  </si>
  <si>
    <r>
      <t>k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x T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x</t>
    </r>
  </si>
  <si>
    <r>
      <t>F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 =</t>
    </r>
  </si>
  <si>
    <r>
      <t>Q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 =</t>
    </r>
  </si>
  <si>
    <r>
      <t>k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x T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x</t>
    </r>
  </si>
  <si>
    <r>
      <t>F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 =</t>
    </r>
  </si>
  <si>
    <r>
      <t>Q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 =</t>
    </r>
  </si>
  <si>
    <r>
      <t>k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x T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x</t>
    </r>
  </si>
  <si>
    <r>
      <t>F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 =</t>
    </r>
  </si>
  <si>
    <t>C</t>
  </si>
  <si>
    <t xml:space="preserve">3.3. </t>
  </si>
  <si>
    <r>
      <t>k'e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 xml:space="preserve"> =</t>
    </r>
  </si>
  <si>
    <r>
      <t>k'e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=</t>
    </r>
  </si>
  <si>
    <r>
      <t>k'e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=</t>
    </r>
  </si>
  <si>
    <t>Nodos</t>
  </si>
  <si>
    <t>x (m)</t>
  </si>
  <si>
    <t>y (m)</t>
  </si>
  <si>
    <t>z (m)</t>
  </si>
  <si>
    <t>xp</t>
  </si>
  <si>
    <t>yp</t>
  </si>
  <si>
    <t>zp</t>
  </si>
  <si>
    <t>Ui</t>
  </si>
  <si>
    <t>Vi</t>
  </si>
  <si>
    <t>Wi</t>
  </si>
  <si>
    <t>Fx (kN)</t>
  </si>
  <si>
    <t>Fy (kN)</t>
  </si>
  <si>
    <t>Fz (kN)</t>
  </si>
  <si>
    <t>Mx (kN-m)</t>
  </si>
  <si>
    <t>My (kN-m)</t>
  </si>
  <si>
    <t>Mz (kN-m)</t>
  </si>
  <si>
    <t>B (m)</t>
  </si>
  <si>
    <t>H (m)</t>
  </si>
  <si>
    <t>A (m)</t>
  </si>
  <si>
    <t>Iz(m4)</t>
  </si>
  <si>
    <t>Iy(m4)</t>
  </si>
  <si>
    <t>J (m4)</t>
  </si>
  <si>
    <t>Asy (m2)</t>
  </si>
  <si>
    <t>Asz (m2)</t>
  </si>
  <si>
    <t>L (m)</t>
  </si>
  <si>
    <r>
      <t>φ</t>
    </r>
    <r>
      <rPr>
        <vertAlign val="subscript"/>
        <sz val="10"/>
        <color theme="1"/>
        <rFont val="Times New Roman"/>
        <family val="1"/>
      </rPr>
      <t xml:space="preserve">y </t>
    </r>
    <r>
      <rPr>
        <sz val="10"/>
        <color theme="1"/>
        <rFont val="Times New Roman"/>
        <family val="1"/>
      </rPr>
      <t>(°)</t>
    </r>
  </si>
  <si>
    <r>
      <t>φ</t>
    </r>
    <r>
      <rPr>
        <vertAlign val="subscript"/>
        <sz val="10"/>
        <color theme="1"/>
        <rFont val="Times New Roman"/>
        <family val="1"/>
      </rPr>
      <t xml:space="preserve">z </t>
    </r>
    <r>
      <rPr>
        <sz val="10"/>
        <color theme="1"/>
        <rFont val="Times New Roman"/>
        <family val="1"/>
      </rPr>
      <t>(°)</t>
    </r>
  </si>
  <si>
    <t>E (kN/m2)</t>
  </si>
  <si>
    <t>G (kN/m2)</t>
  </si>
  <si>
    <t>EA</t>
  </si>
  <si>
    <t>EIz</t>
  </si>
  <si>
    <t>GAsy</t>
  </si>
  <si>
    <t>EIy</t>
  </si>
  <si>
    <t>GAsz</t>
  </si>
  <si>
    <t>GJ</t>
  </si>
  <si>
    <t>Wx</t>
  </si>
  <si>
    <t>Wy</t>
  </si>
  <si>
    <t>Wz</t>
  </si>
  <si>
    <t>Rx</t>
  </si>
  <si>
    <t>Ry</t>
  </si>
  <si>
    <t>Rz</t>
  </si>
  <si>
    <t>Mx</t>
  </si>
  <si>
    <t>My</t>
  </si>
  <si>
    <t>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</si>
</sst>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"/>
    <numFmt numFmtId="165" formatCode="0.000"/>
    <numFmt numFmtId="166" formatCode="0.0"/>
    <numFmt numFmtId="167" formatCode="0.0000"/>
    <numFmt numFmtId="168" formatCode="0.0000000000000000000"/>
    <numFmt numFmtId="169" formatCode="0.00000000000000000000"/>
    <numFmt numFmtId="170" formatCode="0.0000000"/>
    <numFmt numFmtId="171" formatCode="0.000000"/>
  </numFmts>
  <fonts count="20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10"/>
      <name val="Times New Roman"/>
      <family val="1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vertAlign val="subscript"/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99"/>
      <name val="Times New Roman"/>
      <family val="1"/>
    </font>
    <font>
      <sz val="10"/>
      <color rgb="FF006600"/>
      <name val="Times New Roman"/>
      <family val="1"/>
    </font>
    <font>
      <sz val="10"/>
      <name val="Times New Roman"/>
      <family val="1"/>
    </font>
    <font>
      <sz val="10"/>
      <color rgb="FF000000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0033CC"/>
      <name val="Times New Roman"/>
      <family val="1"/>
    </font>
    <font>
      <vertAlign val="superscript"/>
      <sz val="10"/>
      <color theme="1"/>
      <name val="Times New Roman"/>
      <family val="1"/>
    </font>
    <font>
      <sz val="11"/>
      <color rgb="FFFF0000"/>
      <name val="Aptos Narrow"/>
      <family val="2"/>
      <scheme val="minor"/>
    </font>
    <font>
      <sz val="11"/>
      <color theme="3"/>
      <name val="Aptos Narrow"/>
      <family val="2"/>
      <scheme val="minor"/>
    </font>
    <font>
      <sz val="10"/>
      <color theme="3"/>
      <name val="Times New Roman"/>
      <family val="1"/>
    </font>
    <font>
      <sz val="11"/>
      <color theme="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1">
    <xf numFmtId="0" fontId="0" fillId="0" borderId="0" xfId="0"/>
    <xf numFmtId="0" fontId="3" fillId="0" borderId="0" xfId="0" applyFont="1"/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/>
    <xf numFmtId="0" fontId="3" fillId="0" borderId="0" xfId="0" applyFont="1" applyAlignment="1">
      <alignment vertical="center" wrapText="1"/>
    </xf>
    <xf numFmtId="0" fontId="3" fillId="2" borderId="0" xfId="0" applyFont="1" applyFill="1"/>
    <xf numFmtId="164" fontId="3" fillId="0" borderId="0" xfId="0" applyNumberFormat="1" applyFont="1"/>
    <xf numFmtId="0" fontId="3" fillId="3" borderId="2" xfId="0" applyFont="1" applyFill="1" applyBorder="1" applyAlignment="1">
      <alignment horizontal="center" vertical="center" wrapText="1"/>
    </xf>
    <xf numFmtId="2" fontId="3" fillId="0" borderId="3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2" fontId="3" fillId="0" borderId="0" xfId="0" applyNumberFormat="1" applyFont="1"/>
    <xf numFmtId="2" fontId="3" fillId="4" borderId="3" xfId="0" applyNumberFormat="1" applyFont="1" applyFill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2" fontId="3" fillId="4" borderId="4" xfId="0" applyNumberFormat="1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right"/>
    </xf>
    <xf numFmtId="167" fontId="3" fillId="0" borderId="0" xfId="0" applyNumberFormat="1" applyFont="1"/>
    <xf numFmtId="166" fontId="3" fillId="0" borderId="0" xfId="0" applyNumberFormat="1" applyFont="1"/>
    <xf numFmtId="0" fontId="6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2" fontId="3" fillId="0" borderId="1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indent="1"/>
    </xf>
    <xf numFmtId="0" fontId="9" fillId="0" borderId="0" xfId="0" applyFont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indent="1"/>
    </xf>
    <xf numFmtId="166" fontId="3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1"/>
    </xf>
    <xf numFmtId="0" fontId="10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165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11" fillId="6" borderId="1" xfId="0" applyNumberFormat="1" applyFont="1" applyFill="1" applyBorder="1" applyAlignment="1">
      <alignment horizontal="center" vertical="center"/>
    </xf>
    <xf numFmtId="2" fontId="11" fillId="5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5" xfId="0" applyNumberFormat="1" applyFont="1" applyBorder="1" applyAlignment="1">
      <alignment horizontal="center" vertical="center"/>
    </xf>
    <xf numFmtId="2" fontId="11" fillId="5" borderId="1" xfId="0" applyNumberFormat="1" applyFont="1" applyFill="1" applyBorder="1" applyAlignment="1">
      <alignment horizontal="center" vertical="center"/>
    </xf>
    <xf numFmtId="2" fontId="11" fillId="7" borderId="0" xfId="0" applyNumberFormat="1" applyFont="1" applyFill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11" fontId="3" fillId="0" borderId="0" xfId="0" applyNumberFormat="1" applyFont="1"/>
    <xf numFmtId="1" fontId="3" fillId="0" borderId="1" xfId="0" applyNumberFormat="1" applyFont="1" applyBorder="1" applyAlignment="1">
      <alignment horizontal="center"/>
    </xf>
    <xf numFmtId="165" fontId="3" fillId="0" borderId="5" xfId="0" applyNumberFormat="1" applyFont="1" applyBorder="1" applyAlignment="1">
      <alignment horizontal="center"/>
    </xf>
    <xf numFmtId="165" fontId="3" fillId="0" borderId="0" xfId="0" applyNumberFormat="1" applyFont="1"/>
    <xf numFmtId="1" fontId="3" fillId="0" borderId="0" xfId="0" applyNumberFormat="1" applyFont="1"/>
    <xf numFmtId="167" fontId="3" fillId="0" borderId="10" xfId="0" applyNumberFormat="1" applyFont="1" applyBorder="1" applyAlignment="1">
      <alignment horizontal="center"/>
    </xf>
    <xf numFmtId="2" fontId="3" fillId="0" borderId="10" xfId="0" applyNumberFormat="1" applyFont="1" applyBorder="1" applyAlignment="1">
      <alignment horizontal="center"/>
    </xf>
    <xf numFmtId="168" fontId="3" fillId="0" borderId="0" xfId="0" applyNumberFormat="1" applyFont="1"/>
    <xf numFmtId="167" fontId="3" fillId="0" borderId="0" xfId="0" applyNumberFormat="1" applyFont="1" applyAlignment="1">
      <alignment horizontal="center"/>
    </xf>
    <xf numFmtId="169" fontId="3" fillId="0" borderId="0" xfId="0" applyNumberFormat="1" applyFont="1"/>
    <xf numFmtId="170" fontId="3" fillId="0" borderId="0" xfId="0" applyNumberFormat="1" applyFont="1"/>
    <xf numFmtId="2" fontId="3" fillId="9" borderId="0" xfId="0" applyNumberFormat="1" applyFont="1" applyFill="1" applyAlignment="1">
      <alignment horizontal="center" vertical="center"/>
    </xf>
    <xf numFmtId="2" fontId="3" fillId="9" borderId="3" xfId="0" applyNumberFormat="1" applyFont="1" applyFill="1" applyBorder="1" applyAlignment="1">
      <alignment horizontal="center" vertical="center"/>
    </xf>
    <xf numFmtId="2" fontId="3" fillId="9" borderId="4" xfId="0" applyNumberFormat="1" applyFont="1" applyFill="1" applyBorder="1" applyAlignment="1">
      <alignment horizontal="center" vertical="center"/>
    </xf>
    <xf numFmtId="2" fontId="3" fillId="10" borderId="3" xfId="0" applyNumberFormat="1" applyFont="1" applyFill="1" applyBorder="1" applyAlignment="1">
      <alignment horizontal="center"/>
    </xf>
    <xf numFmtId="2" fontId="3" fillId="10" borderId="0" xfId="0" applyNumberFormat="1" applyFont="1" applyFill="1" applyAlignment="1">
      <alignment horizontal="center"/>
    </xf>
    <xf numFmtId="2" fontId="3" fillId="10" borderId="4" xfId="0" applyNumberFormat="1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 vertical="center"/>
    </xf>
    <xf numFmtId="1" fontId="3" fillId="10" borderId="3" xfId="0" applyNumberFormat="1" applyFont="1" applyFill="1" applyBorder="1" applyAlignment="1">
      <alignment horizontal="center" vertical="center"/>
    </xf>
    <xf numFmtId="1" fontId="3" fillId="10" borderId="3" xfId="0" quotePrefix="1" applyNumberFormat="1" applyFont="1" applyFill="1" applyBorder="1" applyAlignment="1">
      <alignment horizontal="center" vertical="center"/>
    </xf>
    <xf numFmtId="165" fontId="3" fillId="10" borderId="3" xfId="0" applyNumberFormat="1" applyFont="1" applyFill="1" applyBorder="1" applyAlignment="1">
      <alignment horizontal="center"/>
    </xf>
    <xf numFmtId="164" fontId="3" fillId="10" borderId="3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 vertical="center"/>
    </xf>
    <xf numFmtId="1" fontId="3" fillId="10" borderId="0" xfId="0" applyNumberFormat="1" applyFont="1" applyFill="1" applyAlignment="1">
      <alignment horizontal="center" vertical="center"/>
    </xf>
    <xf numFmtId="165" fontId="3" fillId="10" borderId="0" xfId="0" applyNumberFormat="1" applyFont="1" applyFill="1" applyAlignment="1">
      <alignment horizontal="center"/>
    </xf>
    <xf numFmtId="164" fontId="3" fillId="10" borderId="0" xfId="0" applyNumberFormat="1" applyFont="1" applyFill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1" fontId="3" fillId="10" borderId="4" xfId="0" applyNumberFormat="1" applyFont="1" applyFill="1" applyBorder="1" applyAlignment="1">
      <alignment horizontal="center" vertical="center"/>
    </xf>
    <xf numFmtId="165" fontId="3" fillId="10" borderId="4" xfId="0" applyNumberFormat="1" applyFont="1" applyFill="1" applyBorder="1" applyAlignment="1">
      <alignment horizontal="center"/>
    </xf>
    <xf numFmtId="164" fontId="3" fillId="10" borderId="4" xfId="0" applyNumberFormat="1" applyFont="1" applyFill="1" applyBorder="1" applyAlignment="1">
      <alignment horizontal="center"/>
    </xf>
    <xf numFmtId="2" fontId="3" fillId="10" borderId="3" xfId="0" applyNumberFormat="1" applyFont="1" applyFill="1" applyBorder="1" applyAlignment="1">
      <alignment horizontal="center" vertical="center"/>
    </xf>
    <xf numFmtId="2" fontId="3" fillId="10" borderId="0" xfId="0" applyNumberFormat="1" applyFont="1" applyFill="1" applyAlignment="1">
      <alignment horizontal="center" vertical="center"/>
    </xf>
    <xf numFmtId="2" fontId="3" fillId="10" borderId="4" xfId="0" applyNumberFormat="1" applyFont="1" applyFill="1" applyBorder="1" applyAlignment="1">
      <alignment horizontal="center" vertical="center"/>
    </xf>
    <xf numFmtId="166" fontId="3" fillId="10" borderId="3" xfId="0" applyNumberFormat="1" applyFont="1" applyFill="1" applyBorder="1" applyAlignment="1">
      <alignment horizontal="center" vertical="center"/>
    </xf>
    <xf numFmtId="165" fontId="3" fillId="10" borderId="3" xfId="0" applyNumberFormat="1" applyFont="1" applyFill="1" applyBorder="1" applyAlignment="1">
      <alignment horizontal="center" vertical="center"/>
    </xf>
    <xf numFmtId="166" fontId="3" fillId="10" borderId="0" xfId="0" applyNumberFormat="1" applyFont="1" applyFill="1" applyAlignment="1">
      <alignment horizontal="center" vertical="center"/>
    </xf>
    <xf numFmtId="166" fontId="3" fillId="10" borderId="4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5" xfId="0" applyFont="1" applyBorder="1"/>
    <xf numFmtId="0" fontId="17" fillId="0" borderId="1" xfId="0" applyFont="1" applyBorder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1" xfId="0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3" fillId="3" borderId="13" xfId="0" applyFont="1" applyFill="1" applyBorder="1" applyAlignment="1">
      <alignment horizontal="center" vertical="center" wrapText="1"/>
    </xf>
    <xf numFmtId="0" fontId="19" fillId="3" borderId="13" xfId="0" applyFont="1" applyFill="1" applyBorder="1" applyAlignment="1">
      <alignment horizontal="center" vertical="center" wrapText="1"/>
    </xf>
    <xf numFmtId="2" fontId="3" fillId="9" borderId="3" xfId="0" applyNumberFormat="1" applyFont="1" applyFill="1" applyBorder="1" applyAlignment="1">
      <alignment horizontal="center"/>
    </xf>
    <xf numFmtId="2" fontId="3" fillId="9" borderId="0" xfId="0" applyNumberFormat="1" applyFont="1" applyFill="1" applyAlignment="1">
      <alignment horizontal="center"/>
    </xf>
    <xf numFmtId="2" fontId="3" fillId="9" borderId="4" xfId="0" applyNumberFormat="1" applyFont="1" applyFill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166" fontId="3" fillId="10" borderId="0" xfId="0" applyNumberFormat="1" applyFont="1" applyFill="1" applyBorder="1" applyAlignment="1">
      <alignment horizontal="center" vertical="center"/>
    </xf>
    <xf numFmtId="165" fontId="3" fillId="10" borderId="0" xfId="0" applyNumberFormat="1" applyFont="1" applyFill="1" applyBorder="1" applyAlignment="1">
      <alignment horizontal="center" vertical="center"/>
    </xf>
    <xf numFmtId="165" fontId="3" fillId="10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2" fontId="3" fillId="0" borderId="10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left" indent="1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/>
    </xf>
    <xf numFmtId="0" fontId="9" fillId="0" borderId="0" xfId="0" applyFont="1" applyFill="1" applyAlignment="1">
      <alignment horizontal="left" indent="1"/>
    </xf>
    <xf numFmtId="0" fontId="3" fillId="0" borderId="0" xfId="0" applyFont="1" applyFill="1"/>
    <xf numFmtId="0" fontId="3" fillId="0" borderId="0" xfId="0" applyFont="1" applyFill="1" applyAlignment="1">
      <alignment horizontal="center" vertical="center"/>
    </xf>
    <xf numFmtId="168" fontId="3" fillId="0" borderId="0" xfId="0" applyNumberFormat="1" applyFont="1" applyFill="1"/>
    <xf numFmtId="0" fontId="6" fillId="0" borderId="0" xfId="0" applyFont="1" applyFill="1"/>
    <xf numFmtId="0" fontId="3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justify" vertical="center"/>
    </xf>
    <xf numFmtId="0" fontId="13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/>
    </xf>
    <xf numFmtId="0" fontId="13" fillId="0" borderId="0" xfId="0" applyFont="1" applyFill="1" applyAlignment="1">
      <alignment horizontal="right" indent="1"/>
    </xf>
    <xf numFmtId="2" fontId="3" fillId="0" borderId="6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3" fillId="0" borderId="7" xfId="0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2" fontId="3" fillId="0" borderId="5" xfId="0" applyNumberFormat="1" applyFont="1" applyFill="1" applyBorder="1" applyAlignment="1">
      <alignment horizontal="center" vertical="center"/>
    </xf>
    <xf numFmtId="2" fontId="3" fillId="0" borderId="8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2" fontId="3" fillId="0" borderId="9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right" indent="1"/>
    </xf>
    <xf numFmtId="2" fontId="3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11" fontId="3" fillId="0" borderId="11" xfId="0" applyNumberFormat="1" applyFont="1" applyFill="1" applyBorder="1" applyAlignment="1">
      <alignment horizontal="center" vertical="center"/>
    </xf>
    <xf numFmtId="165" fontId="3" fillId="0" borderId="10" xfId="0" applyNumberFormat="1" applyFont="1" applyFill="1" applyBorder="1" applyAlignment="1">
      <alignment horizontal="center"/>
    </xf>
    <xf numFmtId="11" fontId="3" fillId="0" borderId="10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/>
    </xf>
    <xf numFmtId="0" fontId="3" fillId="0" borderId="10" xfId="0" applyFont="1" applyFill="1" applyBorder="1" applyAlignment="1">
      <alignment horizontal="center" vertical="center"/>
    </xf>
    <xf numFmtId="11" fontId="3" fillId="0" borderId="12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/>
    <xf numFmtId="0" fontId="3" fillId="0" borderId="5" xfId="0" applyFont="1" applyFill="1" applyBorder="1" applyAlignment="1">
      <alignment horizontal="center" vertical="center"/>
    </xf>
    <xf numFmtId="1" fontId="3" fillId="0" borderId="0" xfId="0" applyNumberFormat="1" applyFont="1" applyFill="1" applyAlignment="1">
      <alignment horizontal="right"/>
    </xf>
    <xf numFmtId="171" fontId="3" fillId="0" borderId="10" xfId="0" applyNumberFormat="1" applyFont="1" applyFill="1" applyBorder="1"/>
    <xf numFmtId="1" fontId="3" fillId="0" borderId="0" xfId="0" applyNumberFormat="1" applyFont="1" applyFill="1" applyAlignment="1">
      <alignment horizontal="center" vertical="center"/>
    </xf>
    <xf numFmtId="2" fontId="3" fillId="0" borderId="10" xfId="0" applyNumberFormat="1" applyFont="1" applyFill="1" applyBorder="1"/>
    <xf numFmtId="165" fontId="3" fillId="0" borderId="10" xfId="0" applyNumberFormat="1" applyFont="1" applyFill="1" applyBorder="1"/>
    <xf numFmtId="1" fontId="3" fillId="0" borderId="0" xfId="0" applyNumberFormat="1" applyFont="1" applyFill="1" applyAlignment="1">
      <alignment horizontal="center" vertical="center"/>
    </xf>
  </cellXfs>
  <cellStyles count="2">
    <cellStyle name="Hipervínculo" xfId="1" builtinId="8"/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314150</xdr:colOff>
      <xdr:row>220</xdr:row>
      <xdr:rowOff>177903</xdr:rowOff>
    </xdr:from>
    <xdr:ext cx="684739" cy="469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8578173-1A08-4120-B53E-B40FDAC8E0DA}"/>
                </a:ext>
              </a:extLst>
            </xdr:cNvPr>
            <xdr:cNvSpPr txBox="1"/>
          </xdr:nvSpPr>
          <xdr:spPr>
            <a:xfrm>
              <a:off x="3048385" y="44609227"/>
              <a:ext cx="684739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30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𝑛𝑛</m:t>
                        </m:r>
                      </m:sub>
                    </m:sSub>
                  </m:oMath>
                </m:oMathPara>
              </a14:m>
              <a:endParaRPr lang="es-PE" sz="30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8578173-1A08-4120-B53E-B40FDAC8E0DA}"/>
                </a:ext>
              </a:extLst>
            </xdr:cNvPr>
            <xdr:cNvSpPr txBox="1"/>
          </xdr:nvSpPr>
          <xdr:spPr>
            <a:xfrm>
              <a:off x="3048385" y="44609227"/>
              <a:ext cx="684739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30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𝑘_𝑛𝑛</a:t>
              </a:r>
              <a:endParaRPr lang="es-PE" sz="30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14</xdr:col>
      <xdr:colOff>419662</xdr:colOff>
      <xdr:row>221</xdr:row>
      <xdr:rowOff>107356</xdr:rowOff>
    </xdr:from>
    <xdr:ext cx="679801" cy="469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4E5CDBB-B9C8-4D40-9979-10011CE06200}"/>
                </a:ext>
              </a:extLst>
            </xdr:cNvPr>
            <xdr:cNvSpPr txBox="1"/>
          </xdr:nvSpPr>
          <xdr:spPr>
            <a:xfrm>
              <a:off x="9006450" y="35530831"/>
              <a:ext cx="679801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30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𝑛𝑎</m:t>
                        </m:r>
                      </m:sub>
                    </m:sSub>
                  </m:oMath>
                </m:oMathPara>
              </a14:m>
              <a:endParaRPr lang="es-PE" sz="30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4E5CDBB-B9C8-4D40-9979-10011CE06200}"/>
                </a:ext>
              </a:extLst>
            </xdr:cNvPr>
            <xdr:cNvSpPr txBox="1"/>
          </xdr:nvSpPr>
          <xdr:spPr>
            <a:xfrm>
              <a:off x="9006450" y="35530831"/>
              <a:ext cx="679801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30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𝑘_𝑛𝑎</a:t>
              </a:r>
              <a:endParaRPr lang="es-PE" sz="30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4</xdr:col>
      <xdr:colOff>316435</xdr:colOff>
      <xdr:row>230</xdr:row>
      <xdr:rowOff>151648</xdr:rowOff>
    </xdr:from>
    <xdr:ext cx="677750" cy="469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17B04D0-20CE-4E55-93E7-90A46DBD502E}"/>
                </a:ext>
              </a:extLst>
            </xdr:cNvPr>
            <xdr:cNvSpPr txBox="1"/>
          </xdr:nvSpPr>
          <xdr:spPr>
            <a:xfrm>
              <a:off x="2616723" y="37375348"/>
              <a:ext cx="677750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30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𝑎𝑛</m:t>
                        </m:r>
                      </m:sub>
                    </m:sSub>
                  </m:oMath>
                </m:oMathPara>
              </a14:m>
              <a:endParaRPr lang="es-PE" sz="30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17B04D0-20CE-4E55-93E7-90A46DBD502E}"/>
                </a:ext>
              </a:extLst>
            </xdr:cNvPr>
            <xdr:cNvSpPr txBox="1"/>
          </xdr:nvSpPr>
          <xdr:spPr>
            <a:xfrm>
              <a:off x="2616723" y="37375348"/>
              <a:ext cx="677750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30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𝑘_𝑎𝑛</a:t>
              </a:r>
              <a:endParaRPr lang="es-PE" sz="30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14</xdr:col>
      <xdr:colOff>486674</xdr:colOff>
      <xdr:row>229</xdr:row>
      <xdr:rowOff>192631</xdr:rowOff>
    </xdr:from>
    <xdr:ext cx="672813" cy="469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F3FEAC6-163A-4A6F-9BFF-97977334A095}"/>
                </a:ext>
              </a:extLst>
            </xdr:cNvPr>
            <xdr:cNvSpPr txBox="1"/>
          </xdr:nvSpPr>
          <xdr:spPr>
            <a:xfrm>
              <a:off x="9073462" y="37216306"/>
              <a:ext cx="672813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30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s-PE" sz="30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𝑎𝑎</m:t>
                        </m:r>
                      </m:sub>
                    </m:sSub>
                  </m:oMath>
                </m:oMathPara>
              </a14:m>
              <a:endParaRPr lang="es-PE" sz="30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F3FEAC6-163A-4A6F-9BFF-97977334A095}"/>
                </a:ext>
              </a:extLst>
            </xdr:cNvPr>
            <xdr:cNvSpPr txBox="1"/>
          </xdr:nvSpPr>
          <xdr:spPr>
            <a:xfrm>
              <a:off x="9073462" y="37216306"/>
              <a:ext cx="672813" cy="469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30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𝑘_𝑎𝑎</a:t>
              </a:r>
              <a:endParaRPr lang="es-PE" sz="30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365234</xdr:colOff>
      <xdr:row>255</xdr:row>
      <xdr:rowOff>194442</xdr:rowOff>
    </xdr:from>
    <xdr:ext cx="65" cy="172227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5FBBDC67-101B-4543-B3F0-36FF01EFE828}"/>
            </a:ext>
          </a:extLst>
        </xdr:cNvPr>
        <xdr:cNvSpPr txBox="1"/>
      </xdr:nvSpPr>
      <xdr:spPr>
        <a:xfrm>
          <a:off x="4551472" y="4239971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6</xdr:col>
      <xdr:colOff>81770</xdr:colOff>
      <xdr:row>304</xdr:row>
      <xdr:rowOff>186002</xdr:rowOff>
    </xdr:from>
    <xdr:ext cx="1778820" cy="22916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B03E61F-6689-479B-95EE-4A2A6D4EE6FC}"/>
                </a:ext>
              </a:extLst>
            </xdr:cNvPr>
            <xdr:cNvSpPr txBox="1"/>
          </xdr:nvSpPr>
          <xdr:spPr>
            <a:xfrm>
              <a:off x="3639358" y="52192502"/>
              <a:ext cx="1778820" cy="2291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["/>
                        <m:endChr m:val="]"/>
                        <m:ctrlPr>
                          <a:rPr lang="es-ES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𝑸</m:t>
                            </m:r>
                          </m:e>
                          <m:sub>
                            <m: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𝒊𝒋</m:t>
                            </m:r>
                          </m:sub>
                        </m:sSub>
                      </m:e>
                    </m:d>
                    <m:r>
                      <a:rPr lang="es-ES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s-PE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𝒌</m:t>
                            </m:r>
                          </m:e>
                          <m:sub>
                            <m: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𝒊𝒋</m:t>
                            </m:r>
                          </m:sub>
                          <m:sup>
                            <m: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′</m:t>
                            </m:r>
                          </m:sup>
                        </m:sSubSup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s-ES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𝑻</m:t>
                                </m:r>
                              </m:e>
                              <m:sub>
                                <m: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𝒊</m:t>
                                </m:r>
                                <m:r>
                                  <a:rPr lang="es-ES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𝒋</m:t>
                                </m:r>
                              </m:sub>
                            </m:sSub>
                          </m:e>
                        </m:d>
                        <m:d>
                          <m:dPr>
                            <m:begChr m:val="["/>
                            <m:endChr m:val="]"/>
                            <m:ctrlP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ES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ES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𝜹</m:t>
                                </m:r>
                              </m:e>
                              <m:sub>
                                <m:r>
                                  <a:rPr lang="es-ES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𝒊𝒋</m:t>
                                </m:r>
                              </m:sub>
                            </m:sSub>
                          </m:e>
                        </m:d>
                      </m:e>
                    </m:d>
                    <m:r>
                      <a:rPr lang="es-ES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begChr m:val="["/>
                        <m:endChr m:val="]"/>
                        <m:ctrlPr>
                          <a:rPr lang="es-PE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sSub>
                              <m:sSubPr>
                                <m:ctrlP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𝑭</m:t>
                                </m:r>
                              </m:e>
                              <m:sub>
                                <m:r>
                                  <a:rPr lang="es-ES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𝒊𝒋</m:t>
                                </m:r>
                              </m:sub>
                            </m:sSub>
                          </m:e>
                          <m:sup>
                            <m: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𝑭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PE" sz="1000" b="1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B03E61F-6689-479B-95EE-4A2A6D4EE6FC}"/>
                </a:ext>
              </a:extLst>
            </xdr:cNvPr>
            <xdr:cNvSpPr txBox="1"/>
          </xdr:nvSpPr>
          <xdr:spPr>
            <a:xfrm>
              <a:off x="3639358" y="52192502"/>
              <a:ext cx="1778820" cy="2291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𝑸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_𝒊𝒋 ]=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[𝒌_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𝒊𝒋^′ ][[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𝑻_𝒊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𝒋 ]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𝜹_𝒊𝒋 ]]+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[〖𝑭_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𝒊𝒋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〗^𝑭 ]</a:t>
              </a:r>
              <a:endParaRPr lang="es-PE" sz="1000" b="1"/>
            </a:p>
          </xdr:txBody>
        </xdr:sp>
      </mc:Fallback>
    </mc:AlternateContent>
    <xdr:clientData/>
  </xdr:oneCellAnchor>
  <xdr:oneCellAnchor>
    <xdr:from>
      <xdr:col>33</xdr:col>
      <xdr:colOff>94770</xdr:colOff>
      <xdr:row>44</xdr:row>
      <xdr:rowOff>137032</xdr:rowOff>
    </xdr:from>
    <xdr:ext cx="3014864" cy="7335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7F4F644-25AC-40DE-8555-41A898E6A0D0}"/>
                </a:ext>
              </a:extLst>
            </xdr:cNvPr>
            <xdr:cNvSpPr txBox="1"/>
          </xdr:nvSpPr>
          <xdr:spPr>
            <a:xfrm>
              <a:off x="19597208" y="9119107"/>
              <a:ext cx="3014864" cy="7335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["/>
                        <m:endChr m:val="]"/>
                        <m:ctrlPr>
                          <a:rPr lang="es-ES" sz="15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es-ES" sz="15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es-ES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𝒊</m:t>
                                  </m:r>
                                </m:e>
                                <m:sub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𝒙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es-ES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𝒊</m:t>
                                  </m:r>
                                </m:e>
                                <m:sub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𝒚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es-ES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𝒊</m:t>
                                  </m:r>
                                </m:e>
                                <m:sub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𝒛</m:t>
                                  </m:r>
                                </m:sub>
                              </m:sSub>
                            </m:e>
                          </m:mr>
                        </m:m>
                      </m:e>
                    </m:d>
                    <m:r>
                      <a:rPr lang="es-ES" sz="15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s-ES" sz="1500" b="1" i="1">
                            <a:solidFill>
                              <a:schemeClr val="accent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es-ES" sz="1500" b="1" i="1">
                                <a:solidFill>
                                  <a:schemeClr val="accent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a:rPr lang="es-PE" sz="1500" b="1" i="1">
                                  <a:solidFill>
                                    <a:schemeClr val="accen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𝟏</m:t>
                              </m:r>
                            </m:e>
                            <m:e>
                              <m:r>
                                <a:rPr lang="es-PE" sz="1500" b="1" i="1">
                                  <a:solidFill>
                                    <a:schemeClr val="accen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𝟎</m:t>
                              </m:r>
                            </m:e>
                            <m:e>
                              <m:r>
                                <a:rPr lang="es-PE" sz="1500" b="1" i="1">
                                  <a:solidFill>
                                    <a:schemeClr val="accen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𝟎</m:t>
                              </m:r>
                            </m:e>
                          </m:mr>
                          <m:mr>
                            <m:e>
                              <m:r>
                                <a:rPr lang="es-PE" sz="1500" b="1" i="1">
                                  <a:solidFill>
                                    <a:schemeClr val="accen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𝟎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𝒄𝒐𝒔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𝝍</m:t>
                                      </m:r>
                                    </m:e>
                                  </m:d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𝒔𝒊𝒏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𝝍</m:t>
                                      </m:r>
                                    </m:e>
                                  </m:d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es-PE" sz="1500" b="1" i="1">
                                  <a:solidFill>
                                    <a:schemeClr val="accen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𝟎</m:t>
                              </m:r>
                            </m:e>
                            <m:e>
                              <m:r>
                                <a:rPr lang="es-PE" sz="1500" b="1" i="1">
                                  <a:solidFill>
                                    <a:schemeClr val="accent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𝒔𝒊𝒏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𝝍</m:t>
                                      </m:r>
                                    </m:e>
                                  </m:d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es-PE" sz="1500" b="1" i="1">
                                      <a:solidFill>
                                        <a:schemeClr val="accent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𝒄𝒐𝒔</m:t>
                                  </m:r>
                                </m:fName>
                                <m:e>
                                  <m:d>
                                    <m:dPr>
                                      <m:ctrlP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dPr>
                                    <m:e>
                                      <m:r>
                                        <a:rPr lang="es-PE" sz="1500" b="1" i="1">
                                          <a:solidFill>
                                            <a:schemeClr val="accent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𝝍</m:t>
                                      </m:r>
                                    </m:e>
                                  </m:d>
                                </m:e>
                              </m:func>
                            </m:e>
                          </m:mr>
                        </m:m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s-ES" sz="15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1"/>
                                  <m:mcJc m:val="center"/>
                                </m:mcPr>
                              </m:mc>
                            </m:mcs>
                            <m:ctrlPr>
                              <a:rPr lang="es-ES" sz="15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sSub>
                                <m:sSubPr>
                                  <m:ctrlPr>
                                    <a:rPr lang="es-ES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𝒊</m:t>
                                  </m:r>
                                </m:e>
                                <m:sub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𝒙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es-ES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𝒊</m:t>
                                  </m:r>
                                </m:e>
                                <m:sub>
                                  <m:acc>
                                    <m:accPr>
                                      <m:chr m:val="̅"/>
                                      <m:ctrlPr>
                                        <a:rPr lang="es-PE" sz="1500" b="1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accPr>
                                    <m:e>
                                      <m:r>
                                        <a:rPr lang="es-PE" sz="1500" b="1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𝒚</m:t>
                                      </m:r>
                                    </m:e>
                                  </m:acc>
                                </m:sub>
                              </m:sSub>
                            </m:e>
                          </m:mr>
                          <m:mr>
                            <m:e>
                              <m:sSub>
                                <m:sSubPr>
                                  <m:ctrlPr>
                                    <a:rPr lang="es-ES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s-PE" sz="1500" b="1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𝒊</m:t>
                                  </m:r>
                                </m:e>
                                <m:sub>
                                  <m:acc>
                                    <m:accPr>
                                      <m:chr m:val="̅"/>
                                      <m:ctrlPr>
                                        <a:rPr lang="es-PE" sz="1500" b="1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accPr>
                                    <m:e>
                                      <m:r>
                                        <a:rPr lang="es-PE" sz="1500" b="1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𝒛</m:t>
                                      </m:r>
                                    </m:e>
                                  </m:acc>
                                </m:sub>
                              </m:sSub>
                            </m:e>
                          </m:mr>
                        </m:m>
                      </m:e>
                    </m:d>
                  </m:oMath>
                </m:oMathPara>
              </a14:m>
              <a:endParaRPr lang="es-PE" sz="15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7F4F644-25AC-40DE-8555-41A898E6A0D0}"/>
                </a:ext>
              </a:extLst>
            </xdr:cNvPr>
            <xdr:cNvSpPr txBox="1"/>
          </xdr:nvSpPr>
          <xdr:spPr>
            <a:xfrm>
              <a:off x="19597208" y="9119107"/>
              <a:ext cx="3014864" cy="7335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[■8(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𝒙@𝒊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𝒚@𝒊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𝒛 )]</a:t>
              </a:r>
              <a:r>
                <a:rPr lang="es-ES" sz="1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s-ES" sz="1500" b="1" i="0">
                  <a:solidFill>
                    <a:schemeClr val="accen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[■8(</a:t>
              </a:r>
              <a:r>
                <a:rPr lang="es-PE" sz="1500" b="1" i="0">
                  <a:solidFill>
                    <a:schemeClr val="accen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𝟏&amp;𝟎&amp;𝟎@𝟎&amp;𝒄𝒐𝒔⁡(𝝍)&amp;𝒔𝒊𝒏⁡(𝝍)@𝟎&amp;−𝒔𝒊𝒏⁡(𝝍)&amp;𝒄𝒐𝒔⁡(𝝍) )]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[■8(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𝒙@𝒊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𝒚 ̅ @𝒊</a:t>
              </a:r>
              <a:r>
                <a:rPr lang="es-ES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PE" sz="15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𝒛 ̅  )]</a:t>
              </a:r>
              <a:endParaRPr lang="es-PE" sz="1500"/>
            </a:p>
          </xdr:txBody>
        </xdr:sp>
      </mc:Fallback>
    </mc:AlternateContent>
    <xdr:clientData/>
  </xdr:oneCellAnchor>
  <xdr:oneCellAnchor>
    <xdr:from>
      <xdr:col>18</xdr:col>
      <xdr:colOff>240927</xdr:colOff>
      <xdr:row>304</xdr:row>
      <xdr:rowOff>184897</xdr:rowOff>
    </xdr:from>
    <xdr:ext cx="1018933" cy="1844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8866798-2C1F-4939-B52E-A8EB693D5ABA}"/>
                </a:ext>
              </a:extLst>
            </xdr:cNvPr>
            <xdr:cNvSpPr txBox="1"/>
          </xdr:nvSpPr>
          <xdr:spPr>
            <a:xfrm>
              <a:off x="11342315" y="52191397"/>
              <a:ext cx="1018933" cy="1844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["/>
                        <m:endChr m:val="]"/>
                        <m:ctrlPr>
                          <a:rPr lang="es-ES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𝑭</m:t>
                            </m:r>
                          </m:e>
                          <m:sub>
                            <m: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𝒊𝒋</m:t>
                            </m:r>
                          </m:sub>
                        </m:sSub>
                      </m:e>
                    </m:d>
                    <m:r>
                      <a:rPr lang="es-ES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s-PE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sSub>
                              <m:sSubPr>
                                <m:ctrlP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PE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𝑻</m:t>
                                </m:r>
                              </m:e>
                              <m:sub>
                                <m:r>
                                  <a:rPr lang="es-ES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𝒊𝒋</m:t>
                                </m:r>
                              </m:sub>
                            </m:sSub>
                          </m:e>
                          <m:sup>
                            <m: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𝑻</m:t>
                            </m:r>
                          </m:sup>
                        </m:sSup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s-ES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PE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𝑸</m:t>
                            </m:r>
                          </m:e>
                          <m:sub>
                            <m:r>
                              <a:rPr lang="es-ES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𝒊𝒋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s-PE" sz="1000" b="1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8866798-2C1F-4939-B52E-A8EB693D5ABA}"/>
                </a:ext>
              </a:extLst>
            </xdr:cNvPr>
            <xdr:cNvSpPr txBox="1"/>
          </xdr:nvSpPr>
          <xdr:spPr>
            <a:xfrm>
              <a:off x="11342315" y="52191397"/>
              <a:ext cx="1018933" cy="1844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[𝑭_𝒊𝒋 ]=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[〖𝑻_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𝒊𝒋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〗^𝑻 ]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s-PE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𝑸</a:t>
              </a:r>
              <a:r>
                <a:rPr lang="es-ES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_𝒊𝒋 ]</a:t>
              </a:r>
              <a:endParaRPr lang="es-PE" sz="1000" b="1"/>
            </a:p>
          </xdr:txBody>
        </xdr:sp>
      </mc:Fallback>
    </mc:AlternateContent>
    <xdr:clientData/>
  </xdr:oneCellAnchor>
  <xdr:twoCellAnchor editAs="oneCell">
    <xdr:from>
      <xdr:col>1</xdr:col>
      <xdr:colOff>510986</xdr:colOff>
      <xdr:row>12</xdr:row>
      <xdr:rowOff>116542</xdr:rowOff>
    </xdr:from>
    <xdr:to>
      <xdr:col>11</xdr:col>
      <xdr:colOff>168364</xdr:colOff>
      <xdr:row>33</xdr:row>
      <xdr:rowOff>17929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E61D1B5-175B-42AF-B94F-07A072329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837" r="6165"/>
        <a:stretch/>
      </xdr:blipFill>
      <xdr:spPr>
        <a:xfrm>
          <a:off x="905433" y="2483224"/>
          <a:ext cx="7167561" cy="40430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475129</xdr:colOff>
      <xdr:row>12</xdr:row>
      <xdr:rowOff>62753</xdr:rowOff>
    </xdr:from>
    <xdr:to>
      <xdr:col>22</xdr:col>
      <xdr:colOff>438602</xdr:colOff>
      <xdr:row>32</xdr:row>
      <xdr:rowOff>163487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0FA2512-5EFB-474E-B463-191955C47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260" t="10448" r="8503" b="11194"/>
        <a:stretch/>
      </xdr:blipFill>
      <xdr:spPr>
        <a:xfrm>
          <a:off x="8794376" y="2429435"/>
          <a:ext cx="5707609" cy="40452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381000</xdr:colOff>
      <xdr:row>109</xdr:row>
      <xdr:rowOff>76200</xdr:rowOff>
    </xdr:from>
    <xdr:ext cx="2489835" cy="3918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C5D36855-DCE4-4DB8-ACAC-B0BC5F4B4E73}"/>
                </a:ext>
              </a:extLst>
            </xdr:cNvPr>
            <xdr:cNvSpPr txBox="1"/>
          </xdr:nvSpPr>
          <xdr:spPr>
            <a:xfrm>
              <a:off x="381000" y="22402800"/>
              <a:ext cx="2489835" cy="3918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["/>
                        <m:endChr m:val="]"/>
                        <m:ctrlPr>
                          <a:rPr lang="es-PE" sz="1800" b="1" i="1" kern="12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s-PE" sz="1800" b="1" i="1" kern="1200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𝑲</m:t>
                            </m:r>
                          </m:e>
                          <m:sub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𝒊𝒋</m:t>
                            </m:r>
                          </m:sub>
                          <m:sup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′</m:t>
                            </m:r>
                          </m:sup>
                        </m:sSubSup>
                      </m:e>
                    </m:d>
                    <m:r>
                      <a:rPr lang="es-MX" sz="1800" b="1" i="1" kern="1200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MX" sz="1800" b="1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800" b="1" i="1" kern="1200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800" b="1" i="1" kern="1200">
                                    <a:latin typeface="Cambria Math" panose="02040503050406030204" pitchFamily="18" charset="0"/>
                                  </a:rPr>
                                  <m:t>𝑯</m:t>
                                </m:r>
                              </m:e>
                              <m:sub>
                                <m:r>
                                  <a:rPr lang="es-MX" sz="1800" b="1" i="1" kern="1200">
                                    <a:latin typeface="Cambria Math" panose="02040503050406030204" pitchFamily="18" charset="0"/>
                                  </a:rPr>
                                  <m:t>𝒊𝒋</m:t>
                                </m:r>
                              </m:sub>
                            </m:sSub>
                          </m:e>
                        </m:d>
                      </m:e>
                      <m:sup>
                        <m:r>
                          <a:rPr lang="es-MX" sz="1800" b="1" i="1" kern="1200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d>
                      <m:dPr>
                        <m:begChr m:val="["/>
                        <m:endChr m:val="]"/>
                        <m:ctrlPr>
                          <a:rPr lang="es-MX" sz="1800" b="1" i="1" kern="12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𝑲</m:t>
                            </m:r>
                          </m:e>
                          <m:sub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𝒊𝒋</m:t>
                            </m:r>
                          </m:sub>
                          <m:sup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′′</m:t>
                            </m:r>
                          </m:sup>
                        </m:sSubSup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s-MX" sz="1800" b="1" i="1" kern="12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𝑯</m:t>
                            </m:r>
                          </m:e>
                          <m:sub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𝒊𝒋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s-PE" sz="1800" b="1" kern="12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C5D36855-DCE4-4DB8-ACAC-B0BC5F4B4E73}"/>
                </a:ext>
              </a:extLst>
            </xdr:cNvPr>
            <xdr:cNvSpPr txBox="1"/>
          </xdr:nvSpPr>
          <xdr:spPr>
            <a:xfrm>
              <a:off x="381000" y="22402800"/>
              <a:ext cx="2489835" cy="3918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800" b="1" i="0" kern="1200">
                  <a:latin typeface="Cambria Math" panose="02040503050406030204" pitchFamily="18" charset="0"/>
                </a:rPr>
                <a:t>[</a:t>
              </a:r>
              <a:r>
                <a:rPr lang="es-MX" sz="1800" b="1" i="0" kern="1200">
                  <a:latin typeface="Cambria Math" panose="02040503050406030204" pitchFamily="18" charset="0"/>
                </a:rPr>
                <a:t>𝑲</a:t>
              </a:r>
              <a:r>
                <a:rPr lang="es-PE" sz="1800" b="1" i="0" kern="1200">
                  <a:latin typeface="Cambria Math" panose="02040503050406030204" pitchFamily="18" charset="0"/>
                </a:rPr>
                <a:t>_</a:t>
              </a:r>
              <a:r>
                <a:rPr lang="es-MX" sz="1800" b="1" i="0" kern="1200">
                  <a:latin typeface="Cambria Math" panose="02040503050406030204" pitchFamily="18" charset="0"/>
                </a:rPr>
                <a:t>𝒊𝒋^′ ]=[𝑯_𝒊𝒋 ]^𝑻 [𝑲_𝒊𝒋^′′ ][𝑯_𝒊𝒋 ]</a:t>
              </a:r>
              <a:endParaRPr lang="es-PE" sz="1800" b="1" kern="1200"/>
            </a:p>
          </xdr:txBody>
        </xdr:sp>
      </mc:Fallback>
    </mc:AlternateContent>
    <xdr:clientData/>
  </xdr:oneCellAnchor>
  <xdr:oneCellAnchor>
    <xdr:from>
      <xdr:col>23</xdr:col>
      <xdr:colOff>0</xdr:colOff>
      <xdr:row>158</xdr:row>
      <xdr:rowOff>0</xdr:rowOff>
    </xdr:from>
    <xdr:ext cx="2489835" cy="3918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ED834269-8BDC-4E12-BC44-D2E35853006C}"/>
                </a:ext>
              </a:extLst>
            </xdr:cNvPr>
            <xdr:cNvSpPr txBox="1"/>
          </xdr:nvSpPr>
          <xdr:spPr>
            <a:xfrm>
              <a:off x="13977257" y="31699200"/>
              <a:ext cx="2489835" cy="3918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["/>
                        <m:endChr m:val="]"/>
                        <m:ctrlPr>
                          <a:rPr lang="es-PE" sz="1800" b="1" i="1" kern="12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PE" sz="1800" b="1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𝑲</m:t>
                            </m:r>
                          </m:e>
                          <m:sub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𝒊𝒋</m:t>
                            </m:r>
                          </m:sub>
                        </m:sSub>
                      </m:e>
                    </m:d>
                    <m:r>
                      <a:rPr lang="es-MX" sz="1800" b="1" i="1" kern="1200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s-MX" sz="1800" b="1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800" b="1" i="1" kern="1200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800" b="1" i="1" kern="1200">
                                    <a:latin typeface="Cambria Math" panose="02040503050406030204" pitchFamily="18" charset="0"/>
                                  </a:rPr>
                                  <m:t>𝑻</m:t>
                                </m:r>
                              </m:e>
                              <m:sub>
                                <m:r>
                                  <a:rPr lang="es-MX" sz="1800" b="1" i="1" kern="1200">
                                    <a:latin typeface="Cambria Math" panose="02040503050406030204" pitchFamily="18" charset="0"/>
                                  </a:rPr>
                                  <m:t>𝒊𝒋</m:t>
                                </m:r>
                              </m:sub>
                            </m:sSub>
                          </m:e>
                        </m:d>
                      </m:e>
                      <m:sup>
                        <m:r>
                          <a:rPr lang="es-MX" sz="1800" b="1" i="1" kern="1200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d>
                      <m:dPr>
                        <m:begChr m:val="["/>
                        <m:endChr m:val="]"/>
                        <m:ctrlPr>
                          <a:rPr lang="es-MX" sz="1800" b="1" i="1" kern="12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Sup>
                          <m:sSubSupPr>
                            <m:ctrlP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𝑲</m:t>
                            </m:r>
                          </m:e>
                          <m:sub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𝒊𝒋</m:t>
                            </m:r>
                          </m:sub>
                          <m:sup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′</m:t>
                            </m:r>
                          </m:sup>
                        </m:sSubSup>
                      </m:e>
                    </m:d>
                    <m:d>
                      <m:dPr>
                        <m:begChr m:val="["/>
                        <m:endChr m:val="]"/>
                        <m:ctrlPr>
                          <a:rPr lang="es-MX" sz="1800" b="1" i="1" kern="12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𝑻</m:t>
                            </m:r>
                          </m:e>
                          <m:sub>
                            <m:r>
                              <a:rPr lang="es-MX" sz="1800" b="1" i="1" kern="1200">
                                <a:latin typeface="Cambria Math" panose="02040503050406030204" pitchFamily="18" charset="0"/>
                              </a:rPr>
                              <m:t>𝒊𝒋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s-PE" sz="1800" b="1" kern="12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ED834269-8BDC-4E12-BC44-D2E35853006C}"/>
                </a:ext>
              </a:extLst>
            </xdr:cNvPr>
            <xdr:cNvSpPr txBox="1"/>
          </xdr:nvSpPr>
          <xdr:spPr>
            <a:xfrm>
              <a:off x="13977257" y="31699200"/>
              <a:ext cx="2489835" cy="3918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PE" sz="1800" b="1" i="0" kern="1200">
                  <a:latin typeface="Cambria Math" panose="02040503050406030204" pitchFamily="18" charset="0"/>
                </a:rPr>
                <a:t>[</a:t>
              </a:r>
              <a:r>
                <a:rPr lang="es-MX" sz="1800" b="1" i="0" kern="1200">
                  <a:latin typeface="Cambria Math" panose="02040503050406030204" pitchFamily="18" charset="0"/>
                </a:rPr>
                <a:t>𝑲</a:t>
              </a:r>
              <a:r>
                <a:rPr lang="es-PE" sz="1800" b="1" i="0" kern="1200">
                  <a:latin typeface="Cambria Math" panose="02040503050406030204" pitchFamily="18" charset="0"/>
                </a:rPr>
                <a:t>_</a:t>
              </a:r>
              <a:r>
                <a:rPr lang="es-MX" sz="1800" b="1" i="0" kern="1200">
                  <a:latin typeface="Cambria Math" panose="02040503050406030204" pitchFamily="18" charset="0"/>
                </a:rPr>
                <a:t>𝒊𝒋 ]=[𝑻_𝒊𝒋 ]^𝑻 [𝑲_𝒊𝒋^′ ][𝑻_𝒊𝒋 ]</a:t>
              </a:r>
              <a:endParaRPr lang="es-PE" sz="1800" b="1" kern="1200"/>
            </a:p>
          </xdr:txBody>
        </xdr:sp>
      </mc:Fallback>
    </mc:AlternateContent>
    <xdr:clientData/>
  </xdr:oneCellAnchor>
  <xdr:twoCellAnchor editAs="oneCell">
    <xdr:from>
      <xdr:col>12</xdr:col>
      <xdr:colOff>457200</xdr:colOff>
      <xdr:row>12</xdr:row>
      <xdr:rowOff>8964</xdr:rowOff>
    </xdr:from>
    <xdr:to>
      <xdr:col>20</xdr:col>
      <xdr:colOff>387055</xdr:colOff>
      <xdr:row>32</xdr:row>
      <xdr:rowOff>109698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CDB886C-A8A6-4E2E-A9C0-68A2921DE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260" t="10448" r="8503" b="11194"/>
        <a:stretch/>
      </xdr:blipFill>
      <xdr:spPr>
        <a:xfrm>
          <a:off x="8794376" y="2429435"/>
          <a:ext cx="5544003" cy="41348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27</xdr:col>
      <xdr:colOff>627529</xdr:colOff>
      <xdr:row>266</xdr:row>
      <xdr:rowOff>179293</xdr:rowOff>
    </xdr:from>
    <xdr:to>
      <xdr:col>36</xdr:col>
      <xdr:colOff>478944</xdr:colOff>
      <xdr:row>287</xdr:row>
      <xdr:rowOff>78320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FA917CF-56DB-4A56-8527-EF035E9B2E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260" t="10448" r="8503" b="11194"/>
        <a:stretch/>
      </xdr:blipFill>
      <xdr:spPr>
        <a:xfrm>
          <a:off x="19184470" y="53866675"/>
          <a:ext cx="5544003" cy="41348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71</xdr:row>
      <xdr:rowOff>0</xdr:rowOff>
    </xdr:from>
    <xdr:to>
      <xdr:col>43</xdr:col>
      <xdr:colOff>162340</xdr:colOff>
      <xdr:row>94</xdr:row>
      <xdr:rowOff>74475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8FEA2AB-D0B6-4CC5-8BFB-394EFAD3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78382" y="14993471"/>
          <a:ext cx="9687340" cy="47025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externalLinkPath" Target="file:///D:\01.%20STRUCTURAL%20ENGINEERING\CJM%20-%20Ponencia\10.%20UNIQ\VII.%20An&#225;lisis%20estructural\A3D.%20Marcos%20de%20tipo%20p&#243;rticos.xlsx" TargetMode="External"/><Relationship Id="rId2" Type="http://schemas.openxmlformats.org/officeDocument/2006/relationships/externalLinkPath" Target="file:///D:\01.%20STRUCTURAL%20ENGINEERING\CJM%20-%20Ponencia\10.%20UNIQ\VII.%20An&#225;lisis%20estructural\A3D.%20Marcos%20de%20tipo%20p&#243;rticos.xlsx" TargetMode="External"/><Relationship Id="rId1" Type="http://schemas.openxmlformats.org/officeDocument/2006/relationships/externalLinkPath" Target="file:///D:\01.%20STRUCTURAL%20ENGINEERING\CJM%20-%20Ponencia\10.%20UNIQ\VII.%20An&#225;lisis%20estructural\A3D.%20Marcos%20de%20tipo%20p&#243;rticos.xlsx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crist&#243;bal.jim&#233;nez@uniq.edu.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14353-72F5-4E8C-9A52-417ADEFDCD0B}">
  <sheetPr>
    <tabColor theme="4"/>
  </sheetPr>
  <dimension ref="A1:BI540"/>
  <sheetViews>
    <sheetView showGridLines="0" tabSelected="1" view="pageBreakPreview" topLeftCell="A276" zoomScale="85" zoomScaleNormal="85" zoomScaleSheetLayoutView="85" workbookViewId="0">
      <selection activeCell="J235" sqref="J235"/>
    </sheetView>
  </sheetViews>
  <sheetFormatPr baseColWidth="10" defaultColWidth="8.7109375" defaultRowHeight="15" customHeight="1" x14ac:dyDescent="0.2"/>
  <cols>
    <col min="1" max="1" width="5.7109375" style="1" customWidth="1"/>
    <col min="2" max="2" width="12" style="1" customWidth="1"/>
    <col min="3" max="3" width="10.42578125" style="1" bestFit="1" customWidth="1"/>
    <col min="4" max="4" width="12.85546875" style="12" bestFit="1" customWidth="1"/>
    <col min="5" max="6" width="10.5703125" style="1" customWidth="1"/>
    <col min="7" max="7" width="9.5703125" style="1" customWidth="1"/>
    <col min="8" max="8" width="11.5703125" style="1" customWidth="1"/>
    <col min="9" max="9" width="10.5703125" style="1" customWidth="1"/>
    <col min="10" max="10" width="10.28515625" style="1" customWidth="1"/>
    <col min="11" max="11" width="10.5703125" style="1" customWidth="1"/>
    <col min="12" max="13" width="10.28515625" style="1" customWidth="1"/>
    <col min="14" max="14" width="9.7109375" style="1" customWidth="1"/>
    <col min="15" max="16" width="10.85546875" style="1" customWidth="1"/>
    <col min="17" max="17" width="11.28515625" style="1" customWidth="1"/>
    <col min="18" max="18" width="11.42578125" style="1" customWidth="1"/>
    <col min="19" max="19" width="10" style="1" customWidth="1"/>
    <col min="20" max="21" width="9.5703125" style="1" customWidth="1"/>
    <col min="22" max="22" width="9.85546875" style="1" customWidth="1"/>
    <col min="23" max="23" width="13.140625" style="1" customWidth="1"/>
    <col min="24" max="24" width="10.85546875" style="1" customWidth="1"/>
    <col min="25" max="25" width="10.28515625" style="1" customWidth="1"/>
    <col min="26" max="26" width="10.85546875" style="1" customWidth="1"/>
    <col min="27" max="27" width="9.5703125" style="1" customWidth="1"/>
    <col min="28" max="28" width="10" style="1" customWidth="1"/>
    <col min="29" max="29" width="3.85546875" style="1" bestFit="1" customWidth="1"/>
    <col min="30" max="30" width="9.28515625" style="1" bestFit="1" customWidth="1"/>
    <col min="31" max="31" width="10.85546875" style="1" customWidth="1"/>
    <col min="32" max="32" width="11.5703125" style="1" customWidth="1"/>
    <col min="33" max="33" width="10.42578125" style="1" customWidth="1"/>
    <col min="34" max="34" width="10.28515625" style="1" customWidth="1"/>
    <col min="35" max="35" width="8.7109375" style="1" customWidth="1"/>
    <col min="36" max="36" width="10.28515625" style="1" customWidth="1"/>
    <col min="37" max="37" width="11" style="1" customWidth="1"/>
    <col min="38" max="38" width="10.5703125" style="1" customWidth="1"/>
    <col min="39" max="39" width="10.42578125" style="1" customWidth="1"/>
    <col min="40" max="40" width="10.5703125" style="1" customWidth="1"/>
    <col min="41" max="41" width="10.42578125" style="1" customWidth="1"/>
    <col min="42" max="42" width="9.7109375" style="1" customWidth="1"/>
    <col min="43" max="16384" width="8.7109375" style="1"/>
  </cols>
  <sheetData>
    <row r="1" spans="1:28" ht="15.75" customHeight="1" x14ac:dyDescent="0.2">
      <c r="A1" s="116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5.75" customHeight="1" x14ac:dyDescent="0.2">
      <c r="A2" s="116" t="s">
        <v>1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 ht="15.75" customHeight="1" x14ac:dyDescent="0.2">
      <c r="A3" s="118" t="s">
        <v>2</v>
      </c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4" spans="1:28" ht="15.75" customHeight="1" x14ac:dyDescent="0.2">
      <c r="A4" s="2"/>
      <c r="B4" s="2"/>
      <c r="C4" s="2"/>
      <c r="D4" s="123"/>
      <c r="E4" s="2"/>
      <c r="F4" s="2"/>
      <c r="G4" s="2"/>
      <c r="H4" s="2"/>
      <c r="I4" s="2"/>
      <c r="J4" s="2"/>
      <c r="K4" s="3"/>
      <c r="L4" s="3"/>
      <c r="M4" s="3"/>
    </row>
    <row r="5" spans="1:28" ht="15.75" customHeight="1" x14ac:dyDescent="0.2">
      <c r="A5" s="4" t="s">
        <v>3</v>
      </c>
      <c r="B5" s="5"/>
      <c r="C5" s="5"/>
      <c r="D5" s="124"/>
      <c r="E5" s="5"/>
      <c r="F5" s="5"/>
      <c r="G5" s="5"/>
      <c r="H5" s="5"/>
      <c r="I5" s="5"/>
      <c r="J5" s="5"/>
      <c r="K5" s="5"/>
    </row>
    <row r="6" spans="1:28" ht="15.75" customHeight="1" x14ac:dyDescent="0.2">
      <c r="A6" s="4" t="s">
        <v>4</v>
      </c>
    </row>
    <row r="7" spans="1:28" ht="15.75" customHeight="1" x14ac:dyDescent="0.2">
      <c r="B7" s="1" t="s">
        <v>5</v>
      </c>
      <c r="I7" s="1">
        <v>22000000</v>
      </c>
      <c r="J7" s="1" t="s">
        <v>6</v>
      </c>
    </row>
    <row r="8" spans="1:28" ht="15.75" customHeight="1" x14ac:dyDescent="0.2">
      <c r="B8" s="1" t="s">
        <v>7</v>
      </c>
      <c r="I8" s="6"/>
    </row>
    <row r="9" spans="1:28" ht="15.75" customHeight="1" x14ac:dyDescent="0.2">
      <c r="B9" s="1" t="s">
        <v>8</v>
      </c>
      <c r="I9" s="1">
        <v>8500000</v>
      </c>
      <c r="J9" s="1" t="s">
        <v>6</v>
      </c>
    </row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spans="1:32" ht="15.75" customHeight="1" x14ac:dyDescent="0.2"/>
    <row r="34" spans="1:32" ht="15.75" customHeight="1" x14ac:dyDescent="0.2"/>
    <row r="35" spans="1:32" ht="15.75" customHeight="1" x14ac:dyDescent="0.2"/>
    <row r="36" spans="1:32" ht="15.75" customHeight="1" x14ac:dyDescent="0.2"/>
    <row r="37" spans="1:32" ht="15.75" customHeight="1" x14ac:dyDescent="0.2">
      <c r="A37" s="4" t="s">
        <v>9</v>
      </c>
      <c r="M37" s="7"/>
    </row>
    <row r="38" spans="1:32" ht="30" customHeight="1" x14ac:dyDescent="0.2">
      <c r="B38" s="109" t="s">
        <v>165</v>
      </c>
      <c r="C38" s="109" t="s">
        <v>166</v>
      </c>
      <c r="D38" s="109" t="s">
        <v>167</v>
      </c>
      <c r="E38" s="109" t="s">
        <v>168</v>
      </c>
      <c r="F38" s="109" t="s">
        <v>169</v>
      </c>
      <c r="G38" s="109" t="s">
        <v>170</v>
      </c>
      <c r="H38" s="109" t="s">
        <v>171</v>
      </c>
      <c r="I38" s="109" t="s">
        <v>172</v>
      </c>
      <c r="J38" s="109" t="s">
        <v>173</v>
      </c>
      <c r="K38" s="109" t="s">
        <v>174</v>
      </c>
      <c r="L38" s="109" t="s">
        <v>10</v>
      </c>
      <c r="M38" s="109" t="s">
        <v>11</v>
      </c>
      <c r="N38" s="109" t="s">
        <v>12</v>
      </c>
      <c r="O38" s="109" t="s">
        <v>175</v>
      </c>
      <c r="P38" s="109" t="s">
        <v>176</v>
      </c>
      <c r="Q38" s="109" t="s">
        <v>177</v>
      </c>
      <c r="R38" s="109" t="s">
        <v>178</v>
      </c>
      <c r="S38" s="109" t="s">
        <v>179</v>
      </c>
      <c r="T38" s="109" t="s">
        <v>180</v>
      </c>
      <c r="AD38" s="8" t="s">
        <v>13</v>
      </c>
      <c r="AE38" s="8" t="s">
        <v>14</v>
      </c>
      <c r="AF38" s="8" t="s">
        <v>15</v>
      </c>
    </row>
    <row r="39" spans="1:32" ht="15.75" customHeight="1" x14ac:dyDescent="0.2">
      <c r="B39" s="71">
        <v>1</v>
      </c>
      <c r="C39" s="84">
        <v>0</v>
      </c>
      <c r="D39" s="84">
        <v>0</v>
      </c>
      <c r="E39" s="84">
        <v>0</v>
      </c>
      <c r="F39" s="66">
        <v>0</v>
      </c>
      <c r="G39" s="66">
        <v>0</v>
      </c>
      <c r="H39" s="66">
        <v>0</v>
      </c>
      <c r="I39" s="10"/>
      <c r="J39" s="10"/>
      <c r="K39" s="10"/>
      <c r="L39" s="10"/>
      <c r="M39" s="10"/>
      <c r="N39" s="10"/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AD39" s="9">
        <v>0</v>
      </c>
      <c r="AE39" s="9">
        <v>0</v>
      </c>
      <c r="AF39" s="9">
        <v>0</v>
      </c>
    </row>
    <row r="40" spans="1:32" ht="15.75" customHeight="1" x14ac:dyDescent="0.2">
      <c r="B40" s="76">
        <v>2</v>
      </c>
      <c r="C40" s="85">
        <v>5</v>
      </c>
      <c r="D40" s="85">
        <v>0</v>
      </c>
      <c r="E40" s="85">
        <v>0</v>
      </c>
      <c r="F40" s="65">
        <v>0</v>
      </c>
      <c r="G40" s="65">
        <v>1</v>
      </c>
      <c r="H40" s="65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AD40" s="13">
        <v>0</v>
      </c>
      <c r="AE40" s="13">
        <v>0</v>
      </c>
      <c r="AF40" s="13">
        <v>0</v>
      </c>
    </row>
    <row r="41" spans="1:32" ht="15.75" customHeight="1" x14ac:dyDescent="0.2">
      <c r="B41" s="76">
        <v>3</v>
      </c>
      <c r="C41" s="85">
        <v>0</v>
      </c>
      <c r="D41" s="85">
        <v>-3</v>
      </c>
      <c r="E41" s="85">
        <v>0</v>
      </c>
      <c r="F41" s="65">
        <v>1</v>
      </c>
      <c r="G41" s="65">
        <v>0</v>
      </c>
      <c r="H41" s="65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AD41" s="13">
        <v>0</v>
      </c>
      <c r="AE41" s="13">
        <v>0</v>
      </c>
      <c r="AF41" s="13">
        <v>0</v>
      </c>
    </row>
    <row r="42" spans="1:32" ht="15.75" customHeight="1" x14ac:dyDescent="0.2">
      <c r="B42" s="80">
        <v>4</v>
      </c>
      <c r="C42" s="86">
        <v>0</v>
      </c>
      <c r="D42" s="86">
        <v>0</v>
      </c>
      <c r="E42" s="86">
        <v>-3</v>
      </c>
      <c r="F42" s="67">
        <v>0</v>
      </c>
      <c r="G42" s="67">
        <v>0</v>
      </c>
      <c r="H42" s="67">
        <v>1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AD42" s="16">
        <v>0</v>
      </c>
      <c r="AE42" s="16">
        <v>0</v>
      </c>
      <c r="AF42" s="16">
        <v>0</v>
      </c>
    </row>
    <row r="43" spans="1:32" ht="15.75" customHeight="1" x14ac:dyDescent="0.2"/>
    <row r="44" spans="1:32" ht="15.75" customHeight="1" x14ac:dyDescent="0.2">
      <c r="A44" s="4" t="s">
        <v>16</v>
      </c>
    </row>
    <row r="45" spans="1:32" ht="30" customHeight="1" x14ac:dyDescent="0.2">
      <c r="B45" s="109" t="s">
        <v>17</v>
      </c>
      <c r="C45" s="109" t="s">
        <v>18</v>
      </c>
      <c r="D45" s="109" t="s">
        <v>19</v>
      </c>
      <c r="E45" s="109" t="s">
        <v>181</v>
      </c>
      <c r="F45" s="109" t="s">
        <v>182</v>
      </c>
      <c r="G45" s="109" t="s">
        <v>183</v>
      </c>
      <c r="H45" s="109" t="s">
        <v>184</v>
      </c>
      <c r="I45" s="109" t="s">
        <v>185</v>
      </c>
      <c r="J45" s="109" t="s">
        <v>160</v>
      </c>
      <c r="K45" s="109" t="s">
        <v>186</v>
      </c>
      <c r="L45" s="109" t="s">
        <v>187</v>
      </c>
      <c r="M45" s="109" t="s">
        <v>188</v>
      </c>
      <c r="N45" s="109" t="s">
        <v>189</v>
      </c>
      <c r="O45" s="109" t="s">
        <v>20</v>
      </c>
      <c r="P45" s="109" t="s">
        <v>21</v>
      </c>
      <c r="Q45" s="109" t="s">
        <v>22</v>
      </c>
      <c r="R45" s="109" t="s">
        <v>23</v>
      </c>
      <c r="S45" s="109" t="s">
        <v>24</v>
      </c>
      <c r="T45" s="109" t="s">
        <v>190</v>
      </c>
      <c r="U45" s="109" t="s">
        <v>191</v>
      </c>
    </row>
    <row r="46" spans="1:32" ht="15.75" customHeight="1" x14ac:dyDescent="0.2">
      <c r="B46" s="71">
        <v>1</v>
      </c>
      <c r="C46" s="72">
        <v>1</v>
      </c>
      <c r="D46" s="73">
        <v>2</v>
      </c>
      <c r="E46" s="68">
        <v>0.3</v>
      </c>
      <c r="F46" s="68">
        <v>0.4</v>
      </c>
      <c r="G46" s="74">
        <f>E46*F46</f>
        <v>0.12</v>
      </c>
      <c r="H46" s="75">
        <f>(E46*(F46)^3)/12</f>
        <v>1.6000000000000005E-3</v>
      </c>
      <c r="I46" s="75">
        <f>(F46*(E46)^3)/12</f>
        <v>9.0000000000000008E-4</v>
      </c>
      <c r="J46" s="75">
        <v>0.17998616536458334</v>
      </c>
      <c r="K46" s="68">
        <v>1.9438505859375001E-3</v>
      </c>
      <c r="L46" s="68">
        <v>0.1</v>
      </c>
      <c r="M46" s="68">
        <v>0.1</v>
      </c>
      <c r="N46" s="68">
        <v>5</v>
      </c>
      <c r="O46" s="68">
        <f>(C40-C39)/$N$46</f>
        <v>1</v>
      </c>
      <c r="P46" s="68">
        <f t="shared" ref="P46:Q46" si="0">(D40-D39)/$N$46</f>
        <v>0</v>
      </c>
      <c r="Q46" s="68">
        <f t="shared" si="0"/>
        <v>0</v>
      </c>
      <c r="R46" s="68">
        <v>0.2</v>
      </c>
      <c r="S46" s="68">
        <v>0</v>
      </c>
      <c r="T46" s="111">
        <v>0</v>
      </c>
      <c r="U46" s="111">
        <v>0</v>
      </c>
    </row>
    <row r="47" spans="1:32" ht="15.75" customHeight="1" x14ac:dyDescent="0.2">
      <c r="B47" s="76">
        <v>2</v>
      </c>
      <c r="C47" s="77">
        <v>4</v>
      </c>
      <c r="D47" s="77">
        <v>1</v>
      </c>
      <c r="E47" s="69">
        <v>0.4</v>
      </c>
      <c r="F47" s="69">
        <v>0.25</v>
      </c>
      <c r="G47" s="78">
        <f t="shared" ref="G47:G48" si="1">E47*F47</f>
        <v>0.1</v>
      </c>
      <c r="H47" s="79">
        <f t="shared" ref="H47:H48" si="2">(E47*(F47)^3)/12</f>
        <v>5.2083333333333333E-4</v>
      </c>
      <c r="I47" s="79">
        <f t="shared" ref="I47:I48" si="3">(F47*(E47)^3)/12</f>
        <v>1.3333333333333337E-3</v>
      </c>
      <c r="J47" s="79">
        <v>0.20375226338704425</v>
      </c>
      <c r="K47" s="69">
        <v>1.2734516461690266E-3</v>
      </c>
      <c r="L47" s="69">
        <v>8.3333333333333343E-2</v>
      </c>
      <c r="M47" s="69">
        <v>8.3333333333333343E-2</v>
      </c>
      <c r="N47" s="69">
        <v>3</v>
      </c>
      <c r="O47" s="69">
        <f>(C39-C42)/$N$47</f>
        <v>0</v>
      </c>
      <c r="P47" s="69">
        <f t="shared" ref="P47:Q47" si="4">(D39-D42)/$N$47</f>
        <v>0</v>
      </c>
      <c r="Q47" s="69">
        <f t="shared" si="4"/>
        <v>1</v>
      </c>
      <c r="R47" s="69">
        <v>0</v>
      </c>
      <c r="S47" s="69">
        <v>0.15</v>
      </c>
      <c r="T47" s="112">
        <v>90</v>
      </c>
      <c r="U47" s="112">
        <v>90</v>
      </c>
    </row>
    <row r="48" spans="1:32" ht="15.75" customHeight="1" x14ac:dyDescent="0.2">
      <c r="B48" s="80">
        <v>3</v>
      </c>
      <c r="C48" s="81">
        <v>3</v>
      </c>
      <c r="D48" s="81">
        <v>1</v>
      </c>
      <c r="E48" s="70">
        <v>0.3</v>
      </c>
      <c r="F48" s="70">
        <v>0.4</v>
      </c>
      <c r="G48" s="82">
        <f t="shared" si="1"/>
        <v>0.12</v>
      </c>
      <c r="H48" s="83">
        <f t="shared" si="2"/>
        <v>1.6000000000000005E-3</v>
      </c>
      <c r="I48" s="83">
        <f t="shared" si="3"/>
        <v>9.0000000000000008E-4</v>
      </c>
      <c r="J48" s="83">
        <v>0.17998616536458334</v>
      </c>
      <c r="K48" s="70">
        <v>1.9438505859375001E-3</v>
      </c>
      <c r="L48" s="70">
        <v>0.1</v>
      </c>
      <c r="M48" s="70">
        <v>0.1</v>
      </c>
      <c r="N48" s="70">
        <v>3</v>
      </c>
      <c r="O48" s="70">
        <f>(C39-C41)/$N$48</f>
        <v>0</v>
      </c>
      <c r="P48" s="70">
        <f t="shared" ref="P48:Q48" si="5">(D39-D41)/$N$48</f>
        <v>1</v>
      </c>
      <c r="Q48" s="70">
        <f t="shared" si="5"/>
        <v>0</v>
      </c>
      <c r="R48" s="70">
        <v>0</v>
      </c>
      <c r="S48" s="70">
        <v>0.2</v>
      </c>
      <c r="T48" s="113">
        <v>90</v>
      </c>
      <c r="U48" s="113">
        <v>90</v>
      </c>
    </row>
    <row r="49" spans="1:47" ht="15.75" customHeight="1" x14ac:dyDescent="0.2"/>
    <row r="50" spans="1:47" ht="15.75" customHeight="1" x14ac:dyDescent="0.2">
      <c r="A50" s="4" t="s">
        <v>25</v>
      </c>
    </row>
    <row r="51" spans="1:47" ht="30" customHeight="1" x14ac:dyDescent="0.2">
      <c r="B51" s="91" t="s">
        <v>17</v>
      </c>
      <c r="C51" s="92" t="s">
        <v>13</v>
      </c>
      <c r="D51" s="92" t="s">
        <v>14</v>
      </c>
      <c r="E51" s="92" t="s">
        <v>15</v>
      </c>
      <c r="F51" s="92" t="s">
        <v>26</v>
      </c>
      <c r="G51" s="92" t="s">
        <v>27</v>
      </c>
      <c r="H51" s="92" t="s">
        <v>28</v>
      </c>
      <c r="I51" s="92" t="s">
        <v>29</v>
      </c>
      <c r="J51" s="92" t="s">
        <v>30</v>
      </c>
      <c r="K51" s="92" t="s">
        <v>31</v>
      </c>
      <c r="L51" s="92" t="s">
        <v>32</v>
      </c>
      <c r="M51" s="92" t="s">
        <v>33</v>
      </c>
      <c r="N51" s="92" t="s">
        <v>34</v>
      </c>
      <c r="O51" s="92" t="s">
        <v>35</v>
      </c>
      <c r="P51" s="92" t="s">
        <v>36</v>
      </c>
      <c r="Q51" s="92" t="s">
        <v>37</v>
      </c>
      <c r="R51" s="92" t="s">
        <v>38</v>
      </c>
      <c r="AD51" s="3">
        <v>-0.46668999999999999</v>
      </c>
      <c r="AE51" s="3">
        <v>-0.46668999999999999</v>
      </c>
      <c r="AF51" s="3">
        <v>2.4571000000000001</v>
      </c>
      <c r="AG51" s="8" t="s">
        <v>39</v>
      </c>
      <c r="AH51" s="8" t="s">
        <v>40</v>
      </c>
      <c r="AI51" s="8" t="s">
        <v>41</v>
      </c>
      <c r="AJ51" s="8" t="s">
        <v>42</v>
      </c>
      <c r="AK51" s="8" t="s">
        <v>43</v>
      </c>
      <c r="AL51" s="8" t="s">
        <v>44</v>
      </c>
      <c r="AM51" s="8" t="s">
        <v>45</v>
      </c>
      <c r="AN51" s="8" t="s">
        <v>46</v>
      </c>
      <c r="AO51" s="8" t="s">
        <v>47</v>
      </c>
      <c r="AP51" s="8" t="s">
        <v>48</v>
      </c>
      <c r="AQ51" s="8" t="s">
        <v>49</v>
      </c>
      <c r="AR51" s="8" t="s">
        <v>50</v>
      </c>
      <c r="AS51" s="8" t="s">
        <v>51</v>
      </c>
      <c r="AT51" s="8" t="s">
        <v>52</v>
      </c>
      <c r="AU51" s="8" t="s">
        <v>53</v>
      </c>
    </row>
    <row r="52" spans="1:47" ht="15.75" customHeight="1" x14ac:dyDescent="0.2">
      <c r="B52" s="93">
        <v>1</v>
      </c>
      <c r="C52" s="13">
        <v>0</v>
      </c>
      <c r="D52" s="13">
        <v>0</v>
      </c>
      <c r="E52" s="13">
        <v>0</v>
      </c>
      <c r="F52" s="13">
        <f>+(F40-C52)</f>
        <v>0</v>
      </c>
      <c r="G52" s="13">
        <f t="shared" ref="G52:H54" si="6">+(G40-D52)</f>
        <v>1</v>
      </c>
      <c r="H52" s="13">
        <f t="shared" si="6"/>
        <v>0</v>
      </c>
      <c r="I52" s="9">
        <f>+(P46*H52-Q46*G52)</f>
        <v>0</v>
      </c>
      <c r="J52" s="9">
        <f>+(O46*H52-Q46*F52)</f>
        <v>0</v>
      </c>
      <c r="K52" s="9">
        <f>+(O46*G52-P46*F52)</f>
        <v>1</v>
      </c>
      <c r="L52" s="9">
        <f>+SQRT(SUMSQ(I52:K52))</f>
        <v>1</v>
      </c>
      <c r="M52" s="9">
        <f>+(Q52*Q46-R52*P46)</f>
        <v>0</v>
      </c>
      <c r="N52" s="9">
        <f>-(P52*Q46-R52*O46)</f>
        <v>1</v>
      </c>
      <c r="O52" s="9">
        <f>-(P52*P46-Q52*O46)</f>
        <v>0</v>
      </c>
      <c r="P52" s="9">
        <v>0</v>
      </c>
      <c r="Q52" s="9">
        <v>0</v>
      </c>
      <c r="R52" s="9">
        <f>K52/L52</f>
        <v>1</v>
      </c>
      <c r="AC52" s="21"/>
      <c r="AD52" s="1">
        <f>+AD51/$AF53</f>
        <v>-0.13342768104754552</v>
      </c>
      <c r="AE52" s="1">
        <f>+AE51/$AF53</f>
        <v>-0.13342768104754552</v>
      </c>
      <c r="AF52" s="1">
        <f>+AF51/$AF53</f>
        <v>0.70249020785087346</v>
      </c>
      <c r="AG52" s="11">
        <f>-(O46*P46)/SQRT($O46^2+$Q46^2)</f>
        <v>0</v>
      </c>
      <c r="AH52" s="11">
        <f>+SQRT($O46^2+$Q46^2)</f>
        <v>1</v>
      </c>
      <c r="AI52" s="11">
        <f>-(P46*P52)/SQRT($O46^2+$Q46^2)</f>
        <v>0</v>
      </c>
      <c r="AJ52" s="11">
        <f>-Q46/SQRT($O46^2+$Q46^2)</f>
        <v>0</v>
      </c>
      <c r="AK52" s="11">
        <v>0</v>
      </c>
      <c r="AL52" s="11">
        <f>+O46/SQRT($O46^2+$Q46^2)</f>
        <v>1</v>
      </c>
      <c r="AM52" s="22">
        <v>1</v>
      </c>
      <c r="AN52" s="22">
        <v>0</v>
      </c>
      <c r="AO52" s="22">
        <v>0</v>
      </c>
      <c r="AP52" s="11">
        <v>0</v>
      </c>
      <c r="AQ52" s="11">
        <f>+COS(T46*PI()/180)</f>
        <v>1</v>
      </c>
      <c r="AR52" s="11">
        <f>+SIN(U46*PI()/180)</f>
        <v>0</v>
      </c>
      <c r="AS52" s="11">
        <v>0</v>
      </c>
      <c r="AT52" s="11">
        <f>-SIN(U46*PI()/180)</f>
        <v>0</v>
      </c>
      <c r="AU52" s="11">
        <f>+COS(T46*PI()/180)</f>
        <v>1</v>
      </c>
    </row>
    <row r="53" spans="1:47" ht="15.75" customHeight="1" x14ac:dyDescent="0.2">
      <c r="B53" s="12">
        <v>2</v>
      </c>
      <c r="C53" s="13">
        <v>0</v>
      </c>
      <c r="D53" s="13">
        <v>0</v>
      </c>
      <c r="E53" s="13">
        <v>0</v>
      </c>
      <c r="F53" s="13">
        <f t="shared" ref="F53:F54" si="7">+(F41-C53)</f>
        <v>1</v>
      </c>
      <c r="G53" s="13">
        <v>0</v>
      </c>
      <c r="H53" s="13">
        <f t="shared" si="6"/>
        <v>0</v>
      </c>
      <c r="I53" s="13">
        <f>+(Q47*G53-P47*H53)</f>
        <v>0</v>
      </c>
      <c r="J53" s="13">
        <f>+(Q47*F53-O47*H53)</f>
        <v>1</v>
      </c>
      <c r="K53" s="13">
        <f>+(P47*F53-O47*G53)</f>
        <v>0</v>
      </c>
      <c r="L53" s="13">
        <f>+SQRT(SUMSQ(I53:K53))</f>
        <v>1</v>
      </c>
      <c r="M53" s="13">
        <f>+I53/$L53</f>
        <v>0</v>
      </c>
      <c r="N53" s="13">
        <f t="shared" ref="N53:O53" si="8">+J53/$L53</f>
        <v>1</v>
      </c>
      <c r="O53" s="13">
        <f t="shared" si="8"/>
        <v>0</v>
      </c>
      <c r="P53" s="13">
        <f>+(P47*O53-Q47*N53)</f>
        <v>-1</v>
      </c>
      <c r="Q53" s="13">
        <f>+(O47*O53-Q47*M53)</f>
        <v>0</v>
      </c>
      <c r="R53" s="13">
        <f>+(O47*N53-P47*M53)</f>
        <v>0</v>
      </c>
      <c r="AF53" s="3">
        <v>3.4977</v>
      </c>
      <c r="AG53" s="15">
        <f>-P47</f>
        <v>0</v>
      </c>
      <c r="AH53" s="15">
        <v>0</v>
      </c>
      <c r="AI53" s="11">
        <f t="shared" ref="AI53" si="9">-(P47*P53)/SQRT($O47^2+$Q47^2)</f>
        <v>0</v>
      </c>
      <c r="AJ53" s="11">
        <f t="shared" ref="AJ53" si="10">-Q47/SQRT($O47^2+$Q47^2)</f>
        <v>-1</v>
      </c>
      <c r="AK53" s="15">
        <v>0</v>
      </c>
      <c r="AL53" s="11">
        <f t="shared" ref="AL53" si="11">+O47/SQRT($O47^2+$Q47^2)</f>
        <v>0</v>
      </c>
      <c r="AM53" s="23">
        <v>1</v>
      </c>
      <c r="AN53" s="23">
        <v>0</v>
      </c>
      <c r="AO53" s="23">
        <v>0</v>
      </c>
      <c r="AP53" s="15">
        <v>0</v>
      </c>
      <c r="AQ53" s="15">
        <f>+COS(T47*PI()/180)</f>
        <v>6.1257422745431001E-17</v>
      </c>
      <c r="AR53" s="15">
        <f>+SIN(U47*PI()/180)</f>
        <v>1</v>
      </c>
      <c r="AS53" s="15">
        <v>0</v>
      </c>
      <c r="AT53" s="15">
        <f>-SIN(U47*PI()/180)</f>
        <v>-1</v>
      </c>
      <c r="AU53" s="15">
        <f>+COS(T47*PI()/180)</f>
        <v>6.1257422745431001E-17</v>
      </c>
    </row>
    <row r="54" spans="1:47" ht="15.75" customHeight="1" x14ac:dyDescent="0.2">
      <c r="B54" s="94">
        <v>3</v>
      </c>
      <c r="C54" s="16">
        <v>0</v>
      </c>
      <c r="D54" s="16">
        <v>0</v>
      </c>
      <c r="E54" s="16">
        <v>0</v>
      </c>
      <c r="F54" s="16">
        <f t="shared" si="7"/>
        <v>0</v>
      </c>
      <c r="G54" s="16">
        <f t="shared" si="6"/>
        <v>0</v>
      </c>
      <c r="H54" s="16">
        <v>1</v>
      </c>
      <c r="I54" s="16">
        <f>+(P48*H54-Q48*G54)</f>
        <v>1</v>
      </c>
      <c r="J54" s="16">
        <f>+(O48*H54-Q48*F54)</f>
        <v>0</v>
      </c>
      <c r="K54" s="16">
        <f>+(O48*G54-P48*F54)</f>
        <v>0</v>
      </c>
      <c r="L54" s="16">
        <f>+SQRT(SUMSQ(I54:K54))</f>
        <v>1</v>
      </c>
      <c r="M54" s="16">
        <f>+(Q54*Q48-R54*P48)</f>
        <v>0</v>
      </c>
      <c r="N54" s="16">
        <f>-(P54*Q48-R54*O48)</f>
        <v>0</v>
      </c>
      <c r="O54" s="16">
        <f>-(P54*P48-Q54*O48)</f>
        <v>-1</v>
      </c>
      <c r="P54" s="16">
        <f>+I54/$L54</f>
        <v>1</v>
      </c>
      <c r="Q54" s="16">
        <f>+J54/$L54</f>
        <v>0</v>
      </c>
      <c r="R54" s="16">
        <f>+K54/$L54</f>
        <v>0</v>
      </c>
      <c r="AG54" s="15">
        <f>-P48</f>
        <v>-1</v>
      </c>
      <c r="AH54" s="18">
        <f>+SQRT($O48^2+$Q48^2)</f>
        <v>0</v>
      </c>
      <c r="AI54" s="11">
        <v>0</v>
      </c>
      <c r="AJ54" s="11">
        <v>0</v>
      </c>
      <c r="AK54" s="18">
        <v>2</v>
      </c>
      <c r="AL54" s="11">
        <v>0</v>
      </c>
      <c r="AM54" s="24">
        <v>1</v>
      </c>
      <c r="AN54" s="24">
        <v>0</v>
      </c>
      <c r="AO54" s="24">
        <v>0</v>
      </c>
      <c r="AP54" s="18">
        <v>0</v>
      </c>
      <c r="AQ54" s="18">
        <f>+COS(T48*PI()/180)</f>
        <v>6.1257422745431001E-17</v>
      </c>
      <c r="AR54" s="18">
        <f>+SIN(U48*PI()/180)</f>
        <v>1</v>
      </c>
      <c r="AS54" s="18">
        <v>0</v>
      </c>
      <c r="AT54" s="18">
        <f>-SIN(U48*PI()/180)</f>
        <v>-1</v>
      </c>
      <c r="AU54" s="18">
        <f>+COS(T48*PI()/180)</f>
        <v>6.1257422745431001E-17</v>
      </c>
    </row>
    <row r="55" spans="1:47" ht="15.75" customHeight="1" x14ac:dyDescent="0.2">
      <c r="AD55" s="21"/>
      <c r="AE55" s="21"/>
    </row>
    <row r="56" spans="1:47" ht="15.75" customHeight="1" x14ac:dyDescent="0.2"/>
    <row r="57" spans="1:47" ht="15.75" customHeight="1" x14ac:dyDescent="0.2">
      <c r="A57" s="4" t="s">
        <v>54</v>
      </c>
    </row>
    <row r="58" spans="1:47" ht="15.75" customHeight="1" x14ac:dyDescent="0.2">
      <c r="A58" s="4"/>
      <c r="M58" s="7"/>
    </row>
    <row r="59" spans="1:47" ht="30" customHeight="1" x14ac:dyDescent="0.2">
      <c r="B59" s="110" t="s">
        <v>17</v>
      </c>
      <c r="C59" s="8" t="s">
        <v>192</v>
      </c>
      <c r="D59" s="8" t="s">
        <v>55</v>
      </c>
      <c r="E59" s="119" t="s">
        <v>193</v>
      </c>
      <c r="F59" s="8" t="s">
        <v>194</v>
      </c>
      <c r="G59" s="8" t="s">
        <v>195</v>
      </c>
      <c r="H59" s="8" t="s">
        <v>196</v>
      </c>
      <c r="I59" s="119" t="s">
        <v>56</v>
      </c>
      <c r="J59" s="8" t="s">
        <v>197</v>
      </c>
      <c r="K59" s="8" t="s">
        <v>198</v>
      </c>
      <c r="L59" s="119" t="s">
        <v>57</v>
      </c>
      <c r="M59" s="8" t="s">
        <v>199</v>
      </c>
      <c r="N59" s="8" t="s">
        <v>200</v>
      </c>
      <c r="O59" s="8" t="s">
        <v>201</v>
      </c>
      <c r="P59" s="8" t="s">
        <v>202</v>
      </c>
      <c r="Q59" s="8" t="s">
        <v>203</v>
      </c>
      <c r="R59" s="8" t="s">
        <v>204</v>
      </c>
      <c r="S59" s="8" t="s">
        <v>205</v>
      </c>
      <c r="T59" s="8" t="s">
        <v>206</v>
      </c>
      <c r="U59" s="8" t="s">
        <v>207</v>
      </c>
      <c r="V59" s="8" t="s">
        <v>208</v>
      </c>
      <c r="W59" s="8" t="s">
        <v>58</v>
      </c>
      <c r="X59" s="8" t="s">
        <v>59</v>
      </c>
    </row>
    <row r="60" spans="1:47" ht="15.75" customHeight="1" x14ac:dyDescent="0.2">
      <c r="B60" s="71">
        <v>1</v>
      </c>
      <c r="C60" s="87">
        <f>+I7</f>
        <v>22000000</v>
      </c>
      <c r="D60" s="71">
        <f t="shared" ref="D60:D62" si="12">+I$8</f>
        <v>0</v>
      </c>
      <c r="E60" s="87">
        <f>I$9</f>
        <v>8500000</v>
      </c>
      <c r="F60" s="72">
        <f>+IF(W$60="Infinito",0,C60*G46)</f>
        <v>2640000</v>
      </c>
      <c r="G60" s="72">
        <f>+C60*H46</f>
        <v>35200.000000000015</v>
      </c>
      <c r="H60" s="72">
        <f>+E60*L46</f>
        <v>850000</v>
      </c>
      <c r="I60" s="88">
        <f>12*G60/(H60*(N46-SUM(R46:S46))^2)</f>
        <v>2.1568627450980402E-2</v>
      </c>
      <c r="J60" s="72">
        <f>+C60*I46</f>
        <v>19800.000000000004</v>
      </c>
      <c r="K60" s="72">
        <f>+E60*M46</f>
        <v>850000</v>
      </c>
      <c r="L60" s="88">
        <f>12*J60/(K60*(N46-SUM(R46:S46))^2)</f>
        <v>1.2132352941176474E-2</v>
      </c>
      <c r="M60" s="84">
        <f>+E60*K46</f>
        <v>16522.72998046875</v>
      </c>
      <c r="N60" s="66">
        <v>0</v>
      </c>
      <c r="O60" s="66">
        <v>0.25</v>
      </c>
      <c r="P60" s="66">
        <v>0</v>
      </c>
      <c r="Q60" s="66">
        <v>0</v>
      </c>
      <c r="R60" s="66">
        <v>0.25</v>
      </c>
      <c r="S60" s="66">
        <v>0</v>
      </c>
      <c r="T60" s="66">
        <v>0</v>
      </c>
      <c r="U60" s="66">
        <v>0</v>
      </c>
      <c r="V60" s="66">
        <v>0</v>
      </c>
      <c r="W60" s="25" t="s">
        <v>60</v>
      </c>
      <c r="X60" s="25" t="s">
        <v>61</v>
      </c>
      <c r="AD60" s="21" cm="1">
        <f t="array" ref="AD60:AF60">+O48:Q48</f>
        <v>0</v>
      </c>
      <c r="AE60" s="21">
        <v>1</v>
      </c>
      <c r="AF60" s="21">
        <v>0</v>
      </c>
      <c r="AG60" s="21" cm="1">
        <f t="array" ref="AG60:AI60">+O46:Q46</f>
        <v>1</v>
      </c>
      <c r="AH60" s="1">
        <v>0</v>
      </c>
      <c r="AI60" s="1">
        <v>0</v>
      </c>
      <c r="AK60" s="21" cm="1">
        <f t="array" ref="AK60:AM60">+AM54:AO54</f>
        <v>1</v>
      </c>
      <c r="AL60" s="1">
        <v>0</v>
      </c>
      <c r="AM60" s="1">
        <v>0</v>
      </c>
      <c r="AO60" s="21">
        <f t="array" ref="AO60:AQ62">+MMULT(AK60:AM62,AG60:AI62)</f>
        <v>1</v>
      </c>
      <c r="AP60" s="21">
        <v>0</v>
      </c>
      <c r="AQ60" s="21">
        <v>0</v>
      </c>
    </row>
    <row r="61" spans="1:47" ht="15.75" customHeight="1" x14ac:dyDescent="0.2">
      <c r="B61" s="76">
        <v>2</v>
      </c>
      <c r="C61" s="89">
        <f>+C60</f>
        <v>22000000</v>
      </c>
      <c r="D61" s="76">
        <f t="shared" si="12"/>
        <v>0</v>
      </c>
      <c r="E61" s="120">
        <f t="shared" ref="E61:E62" si="13">I$9</f>
        <v>8500000</v>
      </c>
      <c r="F61" s="77">
        <f>+IF(W$61="Infinito",0,C61*G47)</f>
        <v>2200000</v>
      </c>
      <c r="G61" s="77">
        <f>+C61*H47</f>
        <v>11458.333333333334</v>
      </c>
      <c r="H61" s="77">
        <f>+E61*L47</f>
        <v>708333.33333333337</v>
      </c>
      <c r="I61" s="121">
        <f t="shared" ref="I61:I62" si="14">12*G61/(H61*(N47-SUM(R47:S47))^2)</f>
        <v>2.3898756178371623E-2</v>
      </c>
      <c r="J61" s="77">
        <f t="shared" ref="J61:J62" si="15">+C61*I47</f>
        <v>29333.333333333343</v>
      </c>
      <c r="K61" s="77">
        <f>+E61*M47</f>
        <v>708333.33333333337</v>
      </c>
      <c r="L61" s="121">
        <f t="shared" ref="L61:L62" si="16">12*J61/(K61*(N47-SUM(R47:S47))^2)</f>
        <v>6.1180815816631373E-2</v>
      </c>
      <c r="M61" s="85">
        <f>+E61*K47</f>
        <v>10824.338992436726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26" t="s">
        <v>60</v>
      </c>
      <c r="X61" s="26" t="s">
        <v>61</v>
      </c>
      <c r="AD61" s="21" cm="1">
        <f t="array" ref="AD61:AF61">+M54:O54</f>
        <v>0</v>
      </c>
      <c r="AE61" s="21">
        <v>0</v>
      </c>
      <c r="AF61" s="21">
        <v>-1</v>
      </c>
      <c r="AG61" s="21" cm="1">
        <f t="array" ref="AG61:AI61">+AG54:AI54</f>
        <v>-1</v>
      </c>
      <c r="AH61" s="1">
        <v>0</v>
      </c>
      <c r="AI61" s="1">
        <v>0</v>
      </c>
      <c r="AK61" s="21" cm="1">
        <f t="array" ref="AK61:AM61">+AP54:AR54</f>
        <v>0</v>
      </c>
      <c r="AL61" s="1">
        <v>6.1257422745431001E-17</v>
      </c>
      <c r="AM61" s="1">
        <v>1</v>
      </c>
      <c r="AO61" s="21">
        <v>-6.1257422745431001E-17</v>
      </c>
      <c r="AP61" s="21">
        <v>2</v>
      </c>
      <c r="AQ61" s="21">
        <v>0</v>
      </c>
    </row>
    <row r="62" spans="1:47" ht="15.6" customHeight="1" x14ac:dyDescent="0.2">
      <c r="B62" s="80">
        <v>3</v>
      </c>
      <c r="C62" s="90">
        <f>+C61</f>
        <v>22000000</v>
      </c>
      <c r="D62" s="80">
        <f t="shared" si="12"/>
        <v>0</v>
      </c>
      <c r="E62" s="90">
        <f t="shared" si="13"/>
        <v>8500000</v>
      </c>
      <c r="F62" s="81">
        <f>+IF(W$62="Infinito",0,C62*G48)</f>
        <v>2640000</v>
      </c>
      <c r="G62" s="81">
        <f>+C62*H48</f>
        <v>35200.000000000015</v>
      </c>
      <c r="H62" s="81">
        <f>+E62*L48</f>
        <v>850000</v>
      </c>
      <c r="I62" s="122">
        <f t="shared" si="14"/>
        <v>6.3385354141656691E-2</v>
      </c>
      <c r="J62" s="81">
        <f t="shared" si="15"/>
        <v>19800.000000000004</v>
      </c>
      <c r="K62" s="81">
        <f>+E62*M48</f>
        <v>850000</v>
      </c>
      <c r="L62" s="122">
        <f t="shared" si="16"/>
        <v>3.5654261704681889E-2</v>
      </c>
      <c r="M62" s="86">
        <f>+E62*K48</f>
        <v>16522.72998046875</v>
      </c>
      <c r="N62" s="67">
        <v>0</v>
      </c>
      <c r="O62" s="67">
        <v>0</v>
      </c>
      <c r="P62" s="67">
        <v>0</v>
      </c>
      <c r="Q62" s="67">
        <v>0</v>
      </c>
      <c r="R62" s="67">
        <v>0</v>
      </c>
      <c r="S62" s="67">
        <v>0</v>
      </c>
      <c r="T62" s="67">
        <v>0</v>
      </c>
      <c r="U62" s="67">
        <v>0</v>
      </c>
      <c r="V62" s="67">
        <v>0</v>
      </c>
      <c r="W62" s="27" t="s">
        <v>60</v>
      </c>
      <c r="X62" s="27" t="s">
        <v>61</v>
      </c>
      <c r="AD62" s="21" cm="1">
        <f t="array" ref="AD62:AF62">+P54:R54</f>
        <v>1</v>
      </c>
      <c r="AE62" s="21">
        <v>0</v>
      </c>
      <c r="AF62" s="21">
        <v>0</v>
      </c>
      <c r="AG62" s="21" cm="1">
        <f t="array" ref="AG62:AI62">+AJ54:AL54</f>
        <v>0</v>
      </c>
      <c r="AH62" s="1">
        <v>2</v>
      </c>
      <c r="AI62" s="1">
        <v>0</v>
      </c>
      <c r="AK62" s="21" cm="1">
        <f t="array" ref="AK62:AM62">+AS54:AU54</f>
        <v>0</v>
      </c>
      <c r="AL62" s="1">
        <v>-1</v>
      </c>
      <c r="AM62" s="1">
        <v>6.1257422745431001E-17</v>
      </c>
      <c r="AO62" s="21">
        <v>1</v>
      </c>
      <c r="AP62" s="21">
        <v>1.22514845490862E-16</v>
      </c>
      <c r="AQ62" s="21">
        <v>0</v>
      </c>
    </row>
    <row r="63" spans="1:47" ht="15.75" customHeight="1" x14ac:dyDescent="0.2">
      <c r="B63" s="14"/>
      <c r="C63" s="14"/>
      <c r="D63" s="19"/>
      <c r="E63" s="28"/>
      <c r="F63" s="28"/>
      <c r="G63" s="28"/>
      <c r="I63" s="29"/>
      <c r="AD63" s="21"/>
      <c r="AE63" s="21"/>
      <c r="AF63" s="21"/>
    </row>
    <row r="64" spans="1:47" ht="15.75" customHeight="1" x14ac:dyDescent="0.2">
      <c r="B64" s="14"/>
      <c r="C64" s="14"/>
      <c r="D64" s="19"/>
      <c r="E64" s="28"/>
      <c r="F64" s="28"/>
      <c r="G64" s="28"/>
      <c r="I64" s="30"/>
      <c r="K64" s="31"/>
      <c r="AD64" s="21" cm="1">
        <f t="array" ref="AD64:AF64">+O47:Q47</f>
        <v>0</v>
      </c>
      <c r="AE64" s="21">
        <v>0</v>
      </c>
      <c r="AF64" s="21">
        <v>1</v>
      </c>
    </row>
    <row r="65" spans="1:32" ht="15.75" customHeight="1" x14ac:dyDescent="0.2">
      <c r="A65" s="4" t="s">
        <v>62</v>
      </c>
      <c r="B65" s="14"/>
      <c r="C65" s="14"/>
      <c r="D65" s="19"/>
      <c r="E65" s="28"/>
      <c r="F65" s="28"/>
      <c r="G65" s="28"/>
      <c r="AD65" s="21" cm="1">
        <f t="array" ref="AD65:AF65">+M53:O53</f>
        <v>0</v>
      </c>
      <c r="AE65" s="21">
        <v>1</v>
      </c>
      <c r="AF65" s="21">
        <v>0</v>
      </c>
    </row>
    <row r="66" spans="1:32" ht="15" customHeight="1" x14ac:dyDescent="0.2">
      <c r="A66" s="4" t="s">
        <v>63</v>
      </c>
      <c r="J66" s="14"/>
      <c r="K66" s="14"/>
      <c r="L66" s="14"/>
      <c r="M66" s="14"/>
      <c r="N66" s="14"/>
      <c r="O66" s="32" t="s">
        <v>64</v>
      </c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D66" s="21" cm="1">
        <f t="array" ref="AD66:AF66">+P53:R53</f>
        <v>-1</v>
      </c>
      <c r="AE66" s="21">
        <v>0</v>
      </c>
      <c r="AF66" s="21">
        <v>0</v>
      </c>
    </row>
    <row r="67" spans="1:32" ht="15" customHeight="1" x14ac:dyDescent="0.2">
      <c r="A67" s="4"/>
      <c r="I67" s="32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D67" s="21"/>
      <c r="AE67" s="21"/>
      <c r="AF67" s="21"/>
    </row>
    <row r="68" spans="1:32" ht="15" customHeight="1" x14ac:dyDescent="0.2">
      <c r="A68" s="4"/>
      <c r="B68" s="95">
        <v>1</v>
      </c>
      <c r="C68" s="95">
        <v>2</v>
      </c>
      <c r="D68" s="95">
        <v>3</v>
      </c>
      <c r="E68" s="95">
        <v>4</v>
      </c>
      <c r="F68" s="95">
        <v>5</v>
      </c>
      <c r="G68" s="95">
        <v>6</v>
      </c>
      <c r="H68" s="96">
        <v>7</v>
      </c>
      <c r="I68" s="96">
        <v>8</v>
      </c>
      <c r="J68" s="96">
        <v>9</v>
      </c>
      <c r="K68" s="96">
        <v>10</v>
      </c>
      <c r="L68" s="96">
        <v>11</v>
      </c>
      <c r="M68" s="96">
        <v>12</v>
      </c>
      <c r="N68" s="14"/>
      <c r="O68" s="4"/>
      <c r="P68" s="95">
        <v>1</v>
      </c>
      <c r="Q68" s="95">
        <v>2</v>
      </c>
      <c r="R68" s="95">
        <v>3</v>
      </c>
      <c r="S68" s="95">
        <v>4</v>
      </c>
      <c r="T68" s="95">
        <v>5</v>
      </c>
      <c r="U68" s="95">
        <v>6</v>
      </c>
      <c r="V68" s="96">
        <v>7</v>
      </c>
      <c r="W68" s="96">
        <v>8</v>
      </c>
      <c r="X68" s="96">
        <v>9</v>
      </c>
      <c r="Y68" s="96">
        <v>10</v>
      </c>
      <c r="Z68" s="96">
        <v>11</v>
      </c>
      <c r="AA68" s="96">
        <v>12</v>
      </c>
      <c r="AB68" s="14"/>
      <c r="AD68" s="21" cm="1">
        <f t="array" ref="AD68:AF68">+O46:Q46</f>
        <v>1</v>
      </c>
      <c r="AE68" s="21">
        <v>0</v>
      </c>
      <c r="AF68" s="21">
        <v>0</v>
      </c>
    </row>
    <row r="69" spans="1:32" ht="15.75" customHeight="1" x14ac:dyDescent="0.2">
      <c r="A69" s="14"/>
      <c r="B69" s="34">
        <f>+F60/(N46)</f>
        <v>528000</v>
      </c>
      <c r="C69" s="19">
        <v>0</v>
      </c>
      <c r="D69" s="19">
        <v>0</v>
      </c>
      <c r="E69" s="19">
        <v>0</v>
      </c>
      <c r="F69" s="19">
        <v>0</v>
      </c>
      <c r="G69" s="19">
        <v>0</v>
      </c>
      <c r="H69" s="13">
        <f>-B69</f>
        <v>-528000</v>
      </c>
      <c r="I69" s="12">
        <v>0</v>
      </c>
      <c r="J69" s="12">
        <v>0</v>
      </c>
      <c r="K69" s="19">
        <v>0</v>
      </c>
      <c r="L69" s="19">
        <v>0</v>
      </c>
      <c r="M69" s="35">
        <v>0</v>
      </c>
      <c r="N69" s="95">
        <v>1</v>
      </c>
      <c r="O69" s="14"/>
      <c r="P69" s="34">
        <v>1</v>
      </c>
      <c r="Q69" s="19">
        <v>0</v>
      </c>
      <c r="R69" s="19">
        <v>0</v>
      </c>
      <c r="S69" s="37">
        <v>0</v>
      </c>
      <c r="T69" s="37">
        <v>0</v>
      </c>
      <c r="U69" s="12">
        <v>0</v>
      </c>
      <c r="V69" s="12">
        <v>0</v>
      </c>
      <c r="W69" s="12">
        <v>0</v>
      </c>
      <c r="X69" s="12">
        <v>0</v>
      </c>
      <c r="Y69" s="19">
        <v>0</v>
      </c>
      <c r="Z69" s="19">
        <v>0</v>
      </c>
      <c r="AA69" s="35">
        <v>0</v>
      </c>
      <c r="AB69" s="95">
        <v>1</v>
      </c>
      <c r="AD69" s="21" cm="1">
        <f t="array" ref="AD69:AF69">+M52:O52</f>
        <v>0</v>
      </c>
      <c r="AE69" s="21">
        <v>1</v>
      </c>
      <c r="AF69" s="21">
        <v>0</v>
      </c>
    </row>
    <row r="70" spans="1:32" ht="15.75" customHeight="1" x14ac:dyDescent="0.2">
      <c r="A70" s="14"/>
      <c r="B70" s="38">
        <f t="array" ref="B70:B80">+TRANSPOSE(C69:M69)</f>
        <v>0</v>
      </c>
      <c r="C70" s="13">
        <f>12*G60/((1+I60)*(N46-SUM(R46:S46))^3)</f>
        <v>3738.8035828534889</v>
      </c>
      <c r="D70" s="19">
        <v>0</v>
      </c>
      <c r="E70" s="19">
        <v>0</v>
      </c>
      <c r="F70" s="19">
        <v>0</v>
      </c>
      <c r="G70" s="13">
        <f>6*G60/((1+I60)*(N46-SUM(R46:S46))^2)</f>
        <v>8973.1285988483742</v>
      </c>
      <c r="H70" s="12">
        <v>0</v>
      </c>
      <c r="I70" s="13">
        <f>-C70</f>
        <v>-3738.8035828534889</v>
      </c>
      <c r="J70" s="19">
        <v>0</v>
      </c>
      <c r="K70" s="19">
        <v>0</v>
      </c>
      <c r="L70" s="19">
        <v>0</v>
      </c>
      <c r="M70" s="39">
        <f>+G70</f>
        <v>8973.1285988483742</v>
      </c>
      <c r="N70" s="95">
        <v>2</v>
      </c>
      <c r="O70" s="14"/>
      <c r="P70" s="38">
        <v>0</v>
      </c>
      <c r="Q70" s="13">
        <v>1</v>
      </c>
      <c r="R70" s="19">
        <v>0</v>
      </c>
      <c r="S70" s="37">
        <v>0</v>
      </c>
      <c r="T70" s="37">
        <v>0</v>
      </c>
      <c r="U70" s="13">
        <f>+R46</f>
        <v>0.2</v>
      </c>
      <c r="V70" s="12">
        <v>0</v>
      </c>
      <c r="W70" s="12">
        <v>0</v>
      </c>
      <c r="X70" s="12">
        <v>0</v>
      </c>
      <c r="Y70" s="19">
        <v>0</v>
      </c>
      <c r="Z70" s="19">
        <v>0</v>
      </c>
      <c r="AA70" s="35">
        <v>0</v>
      </c>
      <c r="AB70" s="95">
        <v>2</v>
      </c>
      <c r="AD70" s="21" cm="1">
        <f t="array" ref="AD70:AF70">+P52:R52</f>
        <v>0</v>
      </c>
      <c r="AE70" s="21">
        <v>0</v>
      </c>
      <c r="AF70" s="21">
        <v>1</v>
      </c>
    </row>
    <row r="71" spans="1:32" ht="15.75" customHeight="1" x14ac:dyDescent="0.2">
      <c r="B71" s="38">
        <v>0</v>
      </c>
      <c r="C71" s="19">
        <f t="array" ref="C71:C80">+TRANSPOSE(D70:M70)</f>
        <v>0</v>
      </c>
      <c r="D71" s="13">
        <f>12*J60/((1+L60)*(N46-SUM(R46:S46))^3)</f>
        <v>2122.6843443516168</v>
      </c>
      <c r="E71" s="19">
        <v>0</v>
      </c>
      <c r="F71" s="13">
        <f>-6*J60/((1+L60)*(N46-SUM(R46:S46))^2)</f>
        <v>-5094.4424264438812</v>
      </c>
      <c r="G71" s="19">
        <v>0</v>
      </c>
      <c r="H71" s="19">
        <v>0</v>
      </c>
      <c r="I71" s="19">
        <v>0</v>
      </c>
      <c r="J71" s="13">
        <f>-D71</f>
        <v>-2122.6843443516168</v>
      </c>
      <c r="K71" s="19">
        <f t="shared" ref="K71" si="17">-E71</f>
        <v>0</v>
      </c>
      <c r="L71" s="13">
        <f>+F71</f>
        <v>-5094.4424264438812</v>
      </c>
      <c r="M71" s="35">
        <v>0</v>
      </c>
      <c r="N71" s="95">
        <v>3</v>
      </c>
      <c r="P71" s="38">
        <v>0</v>
      </c>
      <c r="Q71" s="19">
        <v>0</v>
      </c>
      <c r="R71" s="13">
        <v>1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9">
        <v>0</v>
      </c>
      <c r="Z71" s="19">
        <v>0</v>
      </c>
      <c r="AA71" s="35">
        <v>0</v>
      </c>
      <c r="AB71" s="95">
        <v>3</v>
      </c>
    </row>
    <row r="72" spans="1:32" ht="15.75" customHeight="1" x14ac:dyDescent="0.2">
      <c r="B72" s="38">
        <v>0</v>
      </c>
      <c r="C72" s="19">
        <v>0</v>
      </c>
      <c r="D72" s="19">
        <f t="array" ref="D72:D80">+TRANSPOSE(E71:M71)</f>
        <v>0</v>
      </c>
      <c r="E72" s="13">
        <f>+M60/N46</f>
        <v>3304.5459960937501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3">
        <f>-E72</f>
        <v>-3304.5459960937501</v>
      </c>
      <c r="L72" s="19">
        <v>0</v>
      </c>
      <c r="M72" s="35">
        <v>0</v>
      </c>
      <c r="N72" s="95">
        <v>4</v>
      </c>
      <c r="P72" s="38">
        <v>0</v>
      </c>
      <c r="Q72" s="19">
        <v>0</v>
      </c>
      <c r="R72" s="19">
        <v>0</v>
      </c>
      <c r="S72" s="13">
        <v>1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9">
        <v>0</v>
      </c>
      <c r="Z72" s="19">
        <v>0</v>
      </c>
      <c r="AA72" s="35">
        <v>0</v>
      </c>
      <c r="AB72" s="95">
        <v>4</v>
      </c>
    </row>
    <row r="73" spans="1:32" ht="15.75" customHeight="1" x14ac:dyDescent="0.2">
      <c r="A73" s="14"/>
      <c r="B73" s="38">
        <v>0</v>
      </c>
      <c r="C73" s="19">
        <v>0</v>
      </c>
      <c r="D73" s="13">
        <v>-5094.4424264438812</v>
      </c>
      <c r="E73" s="19">
        <f t="array" ref="E73:E80">+TRANSPOSE(F72:M72)</f>
        <v>0</v>
      </c>
      <c r="F73" s="19">
        <f>(4+L60)*J60/((1+L60)*(N46-SUM(R46:S46)))</f>
        <v>16351.661823465311</v>
      </c>
      <c r="G73" s="19">
        <v>0</v>
      </c>
      <c r="H73" s="19">
        <v>0</v>
      </c>
      <c r="I73" s="19">
        <v>0</v>
      </c>
      <c r="J73" s="13">
        <f>-L71</f>
        <v>5094.4424264438812</v>
      </c>
      <c r="K73" s="19">
        <v>0</v>
      </c>
      <c r="L73" s="19">
        <f>(2-L60)*J60/((1+L60)*(N46-SUM(R46:S46)))</f>
        <v>8101.6618234653115</v>
      </c>
      <c r="M73" s="35">
        <v>0</v>
      </c>
      <c r="N73" s="95">
        <v>5</v>
      </c>
      <c r="O73" s="14"/>
      <c r="P73" s="38">
        <v>0</v>
      </c>
      <c r="Q73" s="19">
        <v>0</v>
      </c>
      <c r="R73" s="19">
        <v>0</v>
      </c>
      <c r="S73" s="12">
        <v>0</v>
      </c>
      <c r="T73" s="13">
        <v>1</v>
      </c>
      <c r="U73" s="12">
        <v>0</v>
      </c>
      <c r="V73" s="12">
        <v>0</v>
      </c>
      <c r="W73" s="12">
        <v>0</v>
      </c>
      <c r="X73" s="12">
        <v>0</v>
      </c>
      <c r="Y73" s="19">
        <v>0</v>
      </c>
      <c r="Z73" s="19">
        <v>0</v>
      </c>
      <c r="AA73" s="35">
        <v>0</v>
      </c>
      <c r="AB73" s="95">
        <v>5</v>
      </c>
    </row>
    <row r="74" spans="1:32" ht="15.75" customHeight="1" x14ac:dyDescent="0.2">
      <c r="A74" s="115" t="s">
        <v>65</v>
      </c>
      <c r="B74" s="38">
        <v>0</v>
      </c>
      <c r="C74" s="13">
        <v>8973.1285988483742</v>
      </c>
      <c r="D74" s="13">
        <v>0</v>
      </c>
      <c r="E74" s="19">
        <v>0</v>
      </c>
      <c r="F74" s="19">
        <f t="array" ref="F74:F80">+TRANSPOSE(G73:M73)</f>
        <v>0</v>
      </c>
      <c r="G74" s="13">
        <f>(4+I60)*G60/((1+I60)*(N46-SUM(R46:S46)))</f>
        <v>28868.841970569432</v>
      </c>
      <c r="H74" s="19">
        <v>0</v>
      </c>
      <c r="I74" s="13">
        <f>-M70</f>
        <v>-8973.1285988483742</v>
      </c>
      <c r="J74" s="19">
        <v>0</v>
      </c>
      <c r="K74" s="19">
        <v>0</v>
      </c>
      <c r="L74" s="19">
        <v>0</v>
      </c>
      <c r="M74" s="39">
        <f>(2-I60)*G60/((1+I60)*(N46-SUM(R46:S46)))</f>
        <v>14202.175303902759</v>
      </c>
      <c r="N74" s="95">
        <v>6</v>
      </c>
      <c r="O74" s="115" t="s">
        <v>66</v>
      </c>
      <c r="P74" s="38">
        <v>0</v>
      </c>
      <c r="Q74" s="19">
        <v>0</v>
      </c>
      <c r="R74" s="19">
        <v>0</v>
      </c>
      <c r="S74" s="12">
        <v>0</v>
      </c>
      <c r="T74" s="12">
        <v>0</v>
      </c>
      <c r="U74" s="13">
        <v>1</v>
      </c>
      <c r="V74" s="12">
        <v>0</v>
      </c>
      <c r="W74" s="12">
        <v>0</v>
      </c>
      <c r="X74" s="12">
        <v>0</v>
      </c>
      <c r="Y74" s="19">
        <v>0</v>
      </c>
      <c r="Z74" s="19">
        <v>0</v>
      </c>
      <c r="AA74" s="35">
        <v>0</v>
      </c>
      <c r="AB74" s="95">
        <v>6</v>
      </c>
    </row>
    <row r="75" spans="1:32" ht="15.75" customHeight="1" x14ac:dyDescent="0.2">
      <c r="A75" s="115"/>
      <c r="B75" s="34">
        <v>-528000</v>
      </c>
      <c r="C75" s="19">
        <v>0</v>
      </c>
      <c r="D75" s="19">
        <v>0</v>
      </c>
      <c r="E75" s="19">
        <v>0</v>
      </c>
      <c r="F75" s="12">
        <v>0</v>
      </c>
      <c r="G75" s="19">
        <f t="array" ref="G75:G80">+TRANSPOSE(H74:M74)</f>
        <v>0</v>
      </c>
      <c r="H75" s="13">
        <f>+B69</f>
        <v>528000</v>
      </c>
      <c r="I75" s="19">
        <v>0</v>
      </c>
      <c r="J75" s="19">
        <v>0</v>
      </c>
      <c r="K75" s="19">
        <v>0</v>
      </c>
      <c r="L75" s="19">
        <v>0</v>
      </c>
      <c r="M75" s="35">
        <f t="shared" ref="M75" si="18">+D72</f>
        <v>0</v>
      </c>
      <c r="N75" s="96">
        <v>7</v>
      </c>
      <c r="O75" s="115"/>
      <c r="P75" s="38">
        <v>0</v>
      </c>
      <c r="Q75" s="19">
        <v>0</v>
      </c>
      <c r="R75" s="19">
        <v>0</v>
      </c>
      <c r="S75" s="12">
        <v>0</v>
      </c>
      <c r="T75" s="12">
        <v>0</v>
      </c>
      <c r="U75" s="12">
        <v>0</v>
      </c>
      <c r="V75" s="13">
        <v>1</v>
      </c>
      <c r="W75" s="12">
        <v>0</v>
      </c>
      <c r="X75" s="12">
        <v>0</v>
      </c>
      <c r="Y75" s="19">
        <v>0</v>
      </c>
      <c r="Z75" s="19">
        <v>0</v>
      </c>
      <c r="AA75" s="35">
        <v>0</v>
      </c>
      <c r="AB75" s="96">
        <v>7</v>
      </c>
    </row>
    <row r="76" spans="1:32" ht="15.75" customHeight="1" x14ac:dyDescent="0.2">
      <c r="A76" s="14"/>
      <c r="B76" s="38">
        <v>0</v>
      </c>
      <c r="C76" s="13">
        <v>-3738.8035828534889</v>
      </c>
      <c r="D76" s="19">
        <v>0</v>
      </c>
      <c r="E76" s="12">
        <v>0</v>
      </c>
      <c r="F76" s="12">
        <v>0</v>
      </c>
      <c r="G76" s="13">
        <v>-8973.1285988483742</v>
      </c>
      <c r="H76" s="12">
        <f t="array" ref="H76:H80">+TRANSPOSE(I75:M75)</f>
        <v>0</v>
      </c>
      <c r="I76" s="13">
        <f>+C70</f>
        <v>3738.8035828534889</v>
      </c>
      <c r="J76" s="19">
        <v>0</v>
      </c>
      <c r="K76" s="19">
        <v>0</v>
      </c>
      <c r="L76" s="19">
        <v>0</v>
      </c>
      <c r="M76" s="39">
        <f>-M70</f>
        <v>-8973.1285988483742</v>
      </c>
      <c r="N76" s="96">
        <v>8</v>
      </c>
      <c r="O76" s="14"/>
      <c r="P76" s="38">
        <v>0</v>
      </c>
      <c r="Q76" s="19">
        <v>0</v>
      </c>
      <c r="R76" s="19">
        <v>0</v>
      </c>
      <c r="S76" s="12">
        <v>0</v>
      </c>
      <c r="T76" s="12">
        <v>0</v>
      </c>
      <c r="U76" s="12">
        <v>0</v>
      </c>
      <c r="V76" s="12">
        <v>0</v>
      </c>
      <c r="W76" s="13">
        <v>1</v>
      </c>
      <c r="X76" s="12">
        <v>0</v>
      </c>
      <c r="Y76" s="19">
        <v>0</v>
      </c>
      <c r="Z76" s="19">
        <v>0</v>
      </c>
      <c r="AA76" s="39">
        <f>-S46</f>
        <v>0</v>
      </c>
      <c r="AB76" s="96">
        <v>8</v>
      </c>
    </row>
    <row r="77" spans="1:32" ht="15.75" customHeight="1" x14ac:dyDescent="0.2">
      <c r="A77" s="14"/>
      <c r="B77" s="38">
        <v>0</v>
      </c>
      <c r="C77" s="19">
        <v>0</v>
      </c>
      <c r="D77" s="13">
        <v>-2122.6843443516168</v>
      </c>
      <c r="E77" s="12">
        <v>0</v>
      </c>
      <c r="F77" s="13">
        <v>5094.4424264438812</v>
      </c>
      <c r="G77" s="12">
        <v>0</v>
      </c>
      <c r="H77" s="12">
        <v>0</v>
      </c>
      <c r="I77" s="12">
        <f t="array" ref="I77:I80">+TRANSPOSE(J76:M76)</f>
        <v>0</v>
      </c>
      <c r="J77" s="13">
        <f>+D71</f>
        <v>2122.6843443516168</v>
      </c>
      <c r="K77" s="19">
        <f t="array" ref="K77">+TRANSPOSE(L76:M76)</f>
        <v>0</v>
      </c>
      <c r="L77" s="13">
        <f>-L71</f>
        <v>5094.4424264438812</v>
      </c>
      <c r="M77" s="35">
        <f t="shared" ref="M77:M79" si="19">+D74</f>
        <v>0</v>
      </c>
      <c r="N77" s="96">
        <v>9</v>
      </c>
      <c r="O77" s="14"/>
      <c r="P77" s="38">
        <v>0</v>
      </c>
      <c r="Q77" s="19">
        <v>0</v>
      </c>
      <c r="R77" s="19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3">
        <v>1</v>
      </c>
      <c r="Y77" s="19">
        <v>0</v>
      </c>
      <c r="Z77" s="19">
        <v>0</v>
      </c>
      <c r="AA77" s="35">
        <v>0</v>
      </c>
      <c r="AB77" s="96">
        <v>9</v>
      </c>
    </row>
    <row r="78" spans="1:32" ht="15.75" customHeight="1" x14ac:dyDescent="0.2">
      <c r="A78" s="14"/>
      <c r="B78" s="38">
        <v>0</v>
      </c>
      <c r="C78" s="19">
        <v>0</v>
      </c>
      <c r="D78" s="19">
        <v>0</v>
      </c>
      <c r="E78" s="13">
        <v>-3304.5459960937501</v>
      </c>
      <c r="F78" s="12">
        <v>0</v>
      </c>
      <c r="G78" s="12">
        <v>0</v>
      </c>
      <c r="H78" s="12">
        <v>0</v>
      </c>
      <c r="I78" s="12">
        <v>0</v>
      </c>
      <c r="J78" s="12">
        <f t="array" ref="J78:J80">+TRANSPOSE(K77:M77)</f>
        <v>0</v>
      </c>
      <c r="K78" s="13">
        <f>+E72</f>
        <v>3304.5459960937501</v>
      </c>
      <c r="L78" s="19" cm="1">
        <f t="array" ref="L78">+TRANSPOSE(M77)</f>
        <v>0</v>
      </c>
      <c r="M78" s="35">
        <f t="shared" si="19"/>
        <v>0</v>
      </c>
      <c r="N78" s="96">
        <v>10</v>
      </c>
      <c r="O78" s="14"/>
      <c r="P78" s="38">
        <v>0</v>
      </c>
      <c r="Q78" s="19">
        <v>0</v>
      </c>
      <c r="R78" s="19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3">
        <v>1</v>
      </c>
      <c r="Z78" s="19">
        <v>0</v>
      </c>
      <c r="AA78" s="35">
        <v>0</v>
      </c>
      <c r="AB78" s="96">
        <v>10</v>
      </c>
    </row>
    <row r="79" spans="1:32" ht="15.75" customHeight="1" x14ac:dyDescent="0.2">
      <c r="A79" s="14"/>
      <c r="B79" s="38">
        <v>0</v>
      </c>
      <c r="C79" s="19">
        <v>0</v>
      </c>
      <c r="D79" s="13">
        <v>-5094.4424264438812</v>
      </c>
      <c r="E79" s="12">
        <v>0</v>
      </c>
      <c r="F79" s="13">
        <v>8101.6618234653115</v>
      </c>
      <c r="G79" s="12">
        <v>0</v>
      </c>
      <c r="H79" s="12">
        <v>0</v>
      </c>
      <c r="I79" s="12">
        <v>0</v>
      </c>
      <c r="J79" s="13">
        <v>5094.4424264438812</v>
      </c>
      <c r="K79" s="19">
        <f t="array" ref="K79:K80">+TRANSPOSE(L78:M78)</f>
        <v>0</v>
      </c>
      <c r="L79" s="13">
        <f>+F73</f>
        <v>16351.661823465311</v>
      </c>
      <c r="M79" s="35">
        <f t="shared" si="19"/>
        <v>0</v>
      </c>
      <c r="N79" s="96">
        <v>11</v>
      </c>
      <c r="O79" s="14"/>
      <c r="P79" s="38">
        <v>0</v>
      </c>
      <c r="Q79" s="19">
        <v>0</v>
      </c>
      <c r="R79" s="19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9">
        <v>0</v>
      </c>
      <c r="Z79" s="13">
        <v>1</v>
      </c>
      <c r="AA79" s="35">
        <v>0</v>
      </c>
      <c r="AB79" s="96">
        <v>11</v>
      </c>
    </row>
    <row r="80" spans="1:32" ht="15.75" customHeight="1" x14ac:dyDescent="0.2">
      <c r="A80" s="14"/>
      <c r="B80" s="38">
        <v>0</v>
      </c>
      <c r="C80" s="13">
        <v>8973.1285988483742</v>
      </c>
      <c r="D80" s="19">
        <v>0</v>
      </c>
      <c r="E80" s="12">
        <v>0</v>
      </c>
      <c r="F80" s="12">
        <v>0</v>
      </c>
      <c r="G80" s="13">
        <v>14202.175303902759</v>
      </c>
      <c r="H80" s="12">
        <v>0</v>
      </c>
      <c r="I80" s="13">
        <v>-8973.1285988483742</v>
      </c>
      <c r="J80" s="12">
        <v>0</v>
      </c>
      <c r="K80" s="19">
        <v>0</v>
      </c>
      <c r="L80" s="19">
        <f t="array" ref="L80">+TRANSPOSE(M79)</f>
        <v>0</v>
      </c>
      <c r="M80" s="39">
        <f>+G74</f>
        <v>28868.841970569432</v>
      </c>
      <c r="N80" s="96">
        <v>12</v>
      </c>
      <c r="O80" s="14"/>
      <c r="P80" s="38">
        <v>0</v>
      </c>
      <c r="Q80" s="19">
        <v>0</v>
      </c>
      <c r="R80" s="19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9">
        <v>0</v>
      </c>
      <c r="Z80" s="19">
        <v>0</v>
      </c>
      <c r="AA80" s="39">
        <v>1</v>
      </c>
      <c r="AB80" s="96">
        <v>12</v>
      </c>
    </row>
    <row r="81" spans="1:28" ht="15.75" customHeight="1" x14ac:dyDescent="0.2">
      <c r="A81" s="14"/>
      <c r="B81" s="41"/>
      <c r="C81" s="41"/>
      <c r="D81" s="125"/>
      <c r="K81" s="41"/>
      <c r="L81" s="41"/>
      <c r="M81" s="41"/>
      <c r="N81" s="42"/>
      <c r="O81" s="14"/>
      <c r="P81" s="28"/>
      <c r="Q81" s="28"/>
      <c r="R81" s="28"/>
      <c r="S81" s="43"/>
      <c r="T81" s="43"/>
      <c r="Y81" s="28"/>
      <c r="Z81" s="28"/>
      <c r="AA81" s="15"/>
      <c r="AB81" s="42"/>
    </row>
    <row r="82" spans="1:28" ht="15" customHeight="1" x14ac:dyDescent="0.2">
      <c r="A82" s="4"/>
      <c r="B82" s="99">
        <v>19</v>
      </c>
      <c r="C82" s="96">
        <v>20</v>
      </c>
      <c r="D82" s="96">
        <v>21</v>
      </c>
      <c r="E82" s="96">
        <v>22</v>
      </c>
      <c r="F82" s="96">
        <v>23</v>
      </c>
      <c r="G82" s="96">
        <v>24</v>
      </c>
      <c r="H82" s="95">
        <v>1</v>
      </c>
      <c r="I82" s="95">
        <v>2</v>
      </c>
      <c r="J82" s="95">
        <v>3</v>
      </c>
      <c r="K82" s="95">
        <v>4</v>
      </c>
      <c r="L82" s="95">
        <v>5</v>
      </c>
      <c r="M82" s="95">
        <v>6</v>
      </c>
      <c r="N82" s="44"/>
      <c r="O82" s="4"/>
      <c r="P82" s="99">
        <v>19</v>
      </c>
      <c r="Q82" s="96">
        <v>20</v>
      </c>
      <c r="R82" s="96">
        <v>21</v>
      </c>
      <c r="S82" s="96">
        <v>22</v>
      </c>
      <c r="T82" s="96">
        <v>23</v>
      </c>
      <c r="U82" s="96">
        <v>24</v>
      </c>
      <c r="V82" s="95">
        <v>1</v>
      </c>
      <c r="W82" s="95">
        <v>2</v>
      </c>
      <c r="X82" s="95">
        <v>3</v>
      </c>
      <c r="Y82" s="95">
        <v>4</v>
      </c>
      <c r="Z82" s="95">
        <v>5</v>
      </c>
      <c r="AA82" s="95">
        <v>6</v>
      </c>
      <c r="AB82" s="44"/>
    </row>
    <row r="83" spans="1:28" ht="15.75" customHeight="1" x14ac:dyDescent="0.2">
      <c r="A83" s="14"/>
      <c r="B83" s="34">
        <f>+F61/(N47)</f>
        <v>733333.33333333337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3">
        <f>-B83</f>
        <v>-733333.33333333337</v>
      </c>
      <c r="I83" s="12">
        <v>0</v>
      </c>
      <c r="J83" s="12">
        <v>0</v>
      </c>
      <c r="K83" s="19">
        <v>0</v>
      </c>
      <c r="L83" s="19">
        <v>0</v>
      </c>
      <c r="M83" s="35">
        <v>0</v>
      </c>
      <c r="N83" s="99">
        <v>19</v>
      </c>
      <c r="O83" s="14"/>
      <c r="P83" s="34">
        <v>1</v>
      </c>
      <c r="Q83" s="19">
        <v>0</v>
      </c>
      <c r="R83" s="19">
        <v>0</v>
      </c>
      <c r="S83" s="37">
        <v>0</v>
      </c>
      <c r="T83" s="37">
        <v>0</v>
      </c>
      <c r="U83" s="12">
        <v>0</v>
      </c>
      <c r="V83" s="12">
        <v>0</v>
      </c>
      <c r="W83" s="12">
        <v>0</v>
      </c>
      <c r="X83" s="12">
        <v>0</v>
      </c>
      <c r="Y83" s="19">
        <v>0</v>
      </c>
      <c r="Z83" s="19">
        <v>0</v>
      </c>
      <c r="AA83" s="35">
        <v>0</v>
      </c>
      <c r="AB83" s="99">
        <v>19</v>
      </c>
    </row>
    <row r="84" spans="1:28" ht="15.75" customHeight="1" x14ac:dyDescent="0.2">
      <c r="A84" s="14"/>
      <c r="B84" s="38">
        <f t="array" ref="B84:B94">+TRANSPOSE(C83:M83)</f>
        <v>0</v>
      </c>
      <c r="C84" s="13">
        <f>12*G61/((1+I61)*(N47-SUM(R47:S47))^3)</f>
        <v>5801.1100284440517</v>
      </c>
      <c r="D84" s="19">
        <v>0</v>
      </c>
      <c r="E84" s="19">
        <v>0</v>
      </c>
      <c r="F84" s="19">
        <v>0</v>
      </c>
      <c r="G84" s="13">
        <f>6*G61/((1+I61)*(N47-SUM(R47:S47))^2)</f>
        <v>8266.5817905327731</v>
      </c>
      <c r="H84" s="12">
        <v>0</v>
      </c>
      <c r="I84" s="13">
        <f>-C84</f>
        <v>-5801.1100284440517</v>
      </c>
      <c r="J84" s="19">
        <v>0</v>
      </c>
      <c r="K84" s="19">
        <v>0</v>
      </c>
      <c r="L84" s="19">
        <v>0</v>
      </c>
      <c r="M84" s="39">
        <f>+G84</f>
        <v>8266.5817905327731</v>
      </c>
      <c r="N84" s="96">
        <v>20</v>
      </c>
      <c r="O84" s="14"/>
      <c r="P84" s="38">
        <v>0</v>
      </c>
      <c r="Q84" s="13">
        <v>1</v>
      </c>
      <c r="R84" s="19">
        <v>0</v>
      </c>
      <c r="S84" s="37">
        <v>0</v>
      </c>
      <c r="T84" s="37">
        <v>0</v>
      </c>
      <c r="U84" s="13">
        <f>+R47</f>
        <v>0</v>
      </c>
      <c r="V84" s="12">
        <v>0</v>
      </c>
      <c r="W84" s="12">
        <v>0</v>
      </c>
      <c r="X84" s="12">
        <v>0</v>
      </c>
      <c r="Y84" s="19">
        <v>0</v>
      </c>
      <c r="Z84" s="19">
        <v>0</v>
      </c>
      <c r="AA84" s="35">
        <v>0</v>
      </c>
      <c r="AB84" s="96">
        <v>20</v>
      </c>
    </row>
    <row r="85" spans="1:28" ht="15.75" customHeight="1" x14ac:dyDescent="0.2">
      <c r="B85" s="38">
        <v>0</v>
      </c>
      <c r="C85" s="19">
        <f t="array" ref="C85:C94">+TRANSPOSE(D84:M84)</f>
        <v>0</v>
      </c>
      <c r="D85" s="13">
        <f>12*J61/((1+L61)*(N47-SUM(R47:S47))^3)</f>
        <v>14329.092733642607</v>
      </c>
      <c r="E85" s="19">
        <v>0</v>
      </c>
      <c r="F85" s="13">
        <f>-6*J61/((1+L61)*(N47-SUM(R47:S47))^2)</f>
        <v>-20418.957145440716</v>
      </c>
      <c r="G85" s="19">
        <v>0</v>
      </c>
      <c r="H85" s="19">
        <v>0</v>
      </c>
      <c r="I85" s="19">
        <v>0</v>
      </c>
      <c r="J85" s="13">
        <f>-D85</f>
        <v>-14329.092733642607</v>
      </c>
      <c r="K85" s="19">
        <f t="shared" ref="K85" si="20">-E85</f>
        <v>0</v>
      </c>
      <c r="L85" s="13">
        <f>+F85</f>
        <v>-20418.957145440716</v>
      </c>
      <c r="M85" s="35">
        <v>0</v>
      </c>
      <c r="N85" s="96">
        <v>21</v>
      </c>
      <c r="P85" s="38">
        <v>0</v>
      </c>
      <c r="Q85" s="19">
        <v>0</v>
      </c>
      <c r="R85" s="13">
        <v>1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9">
        <v>0</v>
      </c>
      <c r="Z85" s="19">
        <v>0</v>
      </c>
      <c r="AA85" s="35">
        <v>0</v>
      </c>
      <c r="AB85" s="96">
        <v>21</v>
      </c>
    </row>
    <row r="86" spans="1:28" ht="15.75" customHeight="1" x14ac:dyDescent="0.2">
      <c r="B86" s="38">
        <v>0</v>
      </c>
      <c r="C86" s="19">
        <v>0</v>
      </c>
      <c r="D86" s="19">
        <f t="array" ref="D86:D94">+TRANSPOSE(E85:M85)</f>
        <v>0</v>
      </c>
      <c r="E86" s="13">
        <f>+M61/N47</f>
        <v>3608.1129974789087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3">
        <f>-E86</f>
        <v>-3608.1129974789087</v>
      </c>
      <c r="L86" s="19">
        <v>0</v>
      </c>
      <c r="M86" s="35">
        <v>0</v>
      </c>
      <c r="N86" s="96">
        <v>22</v>
      </c>
      <c r="P86" s="38">
        <v>0</v>
      </c>
      <c r="Q86" s="19">
        <v>0</v>
      </c>
      <c r="R86" s="19">
        <v>0</v>
      </c>
      <c r="S86" s="13">
        <v>1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9">
        <v>0</v>
      </c>
      <c r="Z86" s="19">
        <v>0</v>
      </c>
      <c r="AA86" s="35">
        <v>0</v>
      </c>
      <c r="AB86" s="96">
        <v>22</v>
      </c>
    </row>
    <row r="87" spans="1:28" ht="15.75" customHeight="1" x14ac:dyDescent="0.2">
      <c r="A87" s="14"/>
      <c r="B87" s="38">
        <v>0</v>
      </c>
      <c r="C87" s="19">
        <v>0</v>
      </c>
      <c r="D87" s="13">
        <v>-20418.957145440716</v>
      </c>
      <c r="E87" s="19">
        <f t="array" ref="E87:E94">+TRANSPOSE(F86:M86)</f>
        <v>0</v>
      </c>
      <c r="F87" s="19">
        <f>(4+L61)*J61/((1+L61)*(N47-SUM(R47:S47)))</f>
        <v>39389.411593071731</v>
      </c>
      <c r="G87" s="19">
        <v>0</v>
      </c>
      <c r="H87" s="19">
        <v>0</v>
      </c>
      <c r="I87" s="19">
        <v>0</v>
      </c>
      <c r="J87" s="13">
        <f>-L85</f>
        <v>20418.957145440716</v>
      </c>
      <c r="K87" s="19">
        <v>0</v>
      </c>
      <c r="L87" s="19">
        <f>(2-L61)*J61/((1+L61)*(N47-SUM(R47:S47)))</f>
        <v>18804.616271434305</v>
      </c>
      <c r="M87" s="35">
        <v>0</v>
      </c>
      <c r="N87" s="96">
        <v>23</v>
      </c>
      <c r="O87" s="14"/>
      <c r="P87" s="38">
        <v>0</v>
      </c>
      <c r="Q87" s="19">
        <v>0</v>
      </c>
      <c r="R87" s="19">
        <v>0</v>
      </c>
      <c r="S87" s="12">
        <v>0</v>
      </c>
      <c r="T87" s="13">
        <v>1</v>
      </c>
      <c r="U87" s="12">
        <v>0</v>
      </c>
      <c r="V87" s="12">
        <v>0</v>
      </c>
      <c r="W87" s="12">
        <v>0</v>
      </c>
      <c r="X87" s="12">
        <v>0</v>
      </c>
      <c r="Y87" s="19">
        <v>0</v>
      </c>
      <c r="Z87" s="19">
        <v>0</v>
      </c>
      <c r="AA87" s="35">
        <v>0</v>
      </c>
      <c r="AB87" s="96">
        <v>23</v>
      </c>
    </row>
    <row r="88" spans="1:28" ht="15.75" customHeight="1" x14ac:dyDescent="0.2">
      <c r="A88" s="115" t="s">
        <v>67</v>
      </c>
      <c r="B88" s="38">
        <v>0</v>
      </c>
      <c r="C88" s="13">
        <v>8266.5817905327731</v>
      </c>
      <c r="D88" s="13">
        <v>0</v>
      </c>
      <c r="E88" s="19">
        <v>0</v>
      </c>
      <c r="F88" s="19">
        <f t="array" ref="F88:F94">+TRANSPOSE(G87:M87)</f>
        <v>0</v>
      </c>
      <c r="G88" s="13">
        <f>(4+I61)*G61/((1+I61)*(N47-SUM(R47:S47)))</f>
        <v>15800.346887766511</v>
      </c>
      <c r="H88" s="19">
        <v>0</v>
      </c>
      <c r="I88" s="13">
        <f>-M84</f>
        <v>-8266.5817905327731</v>
      </c>
      <c r="J88" s="19">
        <v>0</v>
      </c>
      <c r="K88" s="19">
        <v>0</v>
      </c>
      <c r="L88" s="19">
        <v>0</v>
      </c>
      <c r="M88" s="39">
        <f>(2-I61)*G61/((1+I61)*(N47-SUM(R47:S47)))</f>
        <v>7759.4112152518928</v>
      </c>
      <c r="N88" s="96">
        <v>24</v>
      </c>
      <c r="O88" s="115" t="s">
        <v>68</v>
      </c>
      <c r="P88" s="38">
        <v>0</v>
      </c>
      <c r="Q88" s="19">
        <v>0</v>
      </c>
      <c r="R88" s="19">
        <v>0</v>
      </c>
      <c r="S88" s="12">
        <v>0</v>
      </c>
      <c r="T88" s="12">
        <v>0</v>
      </c>
      <c r="U88" s="13">
        <v>1</v>
      </c>
      <c r="V88" s="12">
        <v>0</v>
      </c>
      <c r="W88" s="12">
        <v>0</v>
      </c>
      <c r="X88" s="12">
        <v>0</v>
      </c>
      <c r="Y88" s="19">
        <v>0</v>
      </c>
      <c r="Z88" s="19">
        <v>0</v>
      </c>
      <c r="AA88" s="35">
        <v>0</v>
      </c>
      <c r="AB88" s="96">
        <v>24</v>
      </c>
    </row>
    <row r="89" spans="1:28" ht="15.75" customHeight="1" x14ac:dyDescent="0.2">
      <c r="A89" s="115"/>
      <c r="B89" s="34">
        <v>-733333.33333333337</v>
      </c>
      <c r="C89" s="19">
        <v>0</v>
      </c>
      <c r="D89" s="19">
        <v>0</v>
      </c>
      <c r="E89" s="19">
        <v>0</v>
      </c>
      <c r="F89" s="12">
        <v>0</v>
      </c>
      <c r="G89" s="19">
        <f t="array" ref="G89:G94">+TRANSPOSE(H88:M88)</f>
        <v>0</v>
      </c>
      <c r="H89" s="13">
        <f>+B83</f>
        <v>733333.33333333337</v>
      </c>
      <c r="I89" s="19">
        <v>0</v>
      </c>
      <c r="J89" s="19">
        <v>0</v>
      </c>
      <c r="K89" s="19">
        <v>0</v>
      </c>
      <c r="L89" s="19">
        <v>0</v>
      </c>
      <c r="M89" s="35">
        <f t="shared" ref="M89" si="21">+D86</f>
        <v>0</v>
      </c>
      <c r="N89" s="95">
        <v>1</v>
      </c>
      <c r="O89" s="115"/>
      <c r="P89" s="38">
        <v>0</v>
      </c>
      <c r="Q89" s="19">
        <v>0</v>
      </c>
      <c r="R89" s="19">
        <v>0</v>
      </c>
      <c r="S89" s="12">
        <v>0</v>
      </c>
      <c r="T89" s="12">
        <v>0</v>
      </c>
      <c r="U89" s="12">
        <v>0</v>
      </c>
      <c r="V89" s="13">
        <v>1</v>
      </c>
      <c r="W89" s="12">
        <v>0</v>
      </c>
      <c r="X89" s="12">
        <v>0</v>
      </c>
      <c r="Y89" s="19">
        <v>0</v>
      </c>
      <c r="Z89" s="19">
        <v>0</v>
      </c>
      <c r="AA89" s="35">
        <v>0</v>
      </c>
      <c r="AB89" s="95">
        <v>1</v>
      </c>
    </row>
    <row r="90" spans="1:28" ht="15.75" customHeight="1" x14ac:dyDescent="0.2">
      <c r="A90" s="14"/>
      <c r="B90" s="38">
        <v>0</v>
      </c>
      <c r="C90" s="13">
        <v>-5801.1100284440517</v>
      </c>
      <c r="D90" s="19">
        <v>0</v>
      </c>
      <c r="E90" s="12">
        <v>0</v>
      </c>
      <c r="F90" s="12">
        <v>0</v>
      </c>
      <c r="G90" s="13">
        <v>-8266.5817905327731</v>
      </c>
      <c r="H90" s="12">
        <f t="array" ref="H90:H94">+TRANSPOSE(I89:M89)</f>
        <v>0</v>
      </c>
      <c r="I90" s="13">
        <f>+C84</f>
        <v>5801.1100284440517</v>
      </c>
      <c r="J90" s="19">
        <v>0</v>
      </c>
      <c r="K90" s="19">
        <v>0</v>
      </c>
      <c r="L90" s="19">
        <v>0</v>
      </c>
      <c r="M90" s="39">
        <f>-M84</f>
        <v>-8266.5817905327731</v>
      </c>
      <c r="N90" s="95">
        <v>2</v>
      </c>
      <c r="O90" s="14"/>
      <c r="P90" s="38">
        <v>0</v>
      </c>
      <c r="Q90" s="19">
        <v>0</v>
      </c>
      <c r="R90" s="19">
        <v>0</v>
      </c>
      <c r="S90" s="12">
        <v>0</v>
      </c>
      <c r="T90" s="12">
        <v>0</v>
      </c>
      <c r="U90" s="12">
        <v>0</v>
      </c>
      <c r="V90" s="12">
        <v>0</v>
      </c>
      <c r="W90" s="13">
        <v>1</v>
      </c>
      <c r="X90" s="12">
        <v>0</v>
      </c>
      <c r="Y90" s="19">
        <v>0</v>
      </c>
      <c r="Z90" s="19">
        <v>0</v>
      </c>
      <c r="AA90" s="39">
        <f>-S47</f>
        <v>-0.15</v>
      </c>
      <c r="AB90" s="95">
        <v>2</v>
      </c>
    </row>
    <row r="91" spans="1:28" ht="15.75" customHeight="1" x14ac:dyDescent="0.2">
      <c r="A91" s="14"/>
      <c r="B91" s="38">
        <v>0</v>
      </c>
      <c r="C91" s="19">
        <v>0</v>
      </c>
      <c r="D91" s="13">
        <v>-14329.092733642607</v>
      </c>
      <c r="E91" s="12">
        <v>0</v>
      </c>
      <c r="F91" s="13">
        <v>20418.957145440716</v>
      </c>
      <c r="G91" s="12">
        <v>0</v>
      </c>
      <c r="H91" s="12">
        <v>0</v>
      </c>
      <c r="I91" s="12">
        <f t="array" ref="I91:I94">+TRANSPOSE(J90:M90)</f>
        <v>0</v>
      </c>
      <c r="J91" s="13">
        <f>+D85</f>
        <v>14329.092733642607</v>
      </c>
      <c r="K91" s="19">
        <f t="array" ref="K91">+TRANSPOSE(L90:M90)</f>
        <v>0</v>
      </c>
      <c r="L91" s="13">
        <f>-L85</f>
        <v>20418.957145440716</v>
      </c>
      <c r="M91" s="35">
        <f t="shared" ref="M91:M93" si="22">+D88</f>
        <v>0</v>
      </c>
      <c r="N91" s="95">
        <v>3</v>
      </c>
      <c r="O91" s="14"/>
      <c r="P91" s="38">
        <v>0</v>
      </c>
      <c r="Q91" s="19">
        <v>0</v>
      </c>
      <c r="R91" s="19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3">
        <v>1</v>
      </c>
      <c r="Y91" s="19">
        <v>0</v>
      </c>
      <c r="Z91" s="19">
        <v>0</v>
      </c>
      <c r="AA91" s="35">
        <v>0</v>
      </c>
      <c r="AB91" s="95">
        <v>3</v>
      </c>
    </row>
    <row r="92" spans="1:28" ht="15.75" customHeight="1" x14ac:dyDescent="0.2">
      <c r="A92" s="14"/>
      <c r="B92" s="38">
        <v>0</v>
      </c>
      <c r="C92" s="19">
        <v>0</v>
      </c>
      <c r="D92" s="19">
        <v>0</v>
      </c>
      <c r="E92" s="13">
        <v>-3608.1129974789087</v>
      </c>
      <c r="F92" s="12">
        <v>0</v>
      </c>
      <c r="G92" s="12">
        <v>0</v>
      </c>
      <c r="H92" s="12">
        <v>0</v>
      </c>
      <c r="I92" s="12">
        <v>0</v>
      </c>
      <c r="J92" s="12">
        <f t="array" ref="J92:J94">+TRANSPOSE(K91:M91)</f>
        <v>0</v>
      </c>
      <c r="K92" s="13">
        <f>+E86</f>
        <v>3608.1129974789087</v>
      </c>
      <c r="L92" s="19" cm="1">
        <f t="array" ref="L92">+TRANSPOSE(M91)</f>
        <v>0</v>
      </c>
      <c r="M92" s="35">
        <f t="shared" si="22"/>
        <v>0</v>
      </c>
      <c r="N92" s="95">
        <v>4</v>
      </c>
      <c r="O92" s="14"/>
      <c r="P92" s="38">
        <v>0</v>
      </c>
      <c r="Q92" s="19">
        <v>0</v>
      </c>
      <c r="R92" s="19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3">
        <v>1</v>
      </c>
      <c r="Z92" s="19">
        <v>0</v>
      </c>
      <c r="AA92" s="35">
        <v>0</v>
      </c>
      <c r="AB92" s="95">
        <v>4</v>
      </c>
    </row>
    <row r="93" spans="1:28" ht="15.75" customHeight="1" x14ac:dyDescent="0.2">
      <c r="A93" s="14"/>
      <c r="B93" s="38">
        <v>0</v>
      </c>
      <c r="C93" s="19">
        <v>0</v>
      </c>
      <c r="D93" s="13">
        <v>-20418.957145440716</v>
      </c>
      <c r="E93" s="12">
        <v>0</v>
      </c>
      <c r="F93" s="13">
        <v>18804.616271434305</v>
      </c>
      <c r="G93" s="12">
        <v>0</v>
      </c>
      <c r="H93" s="12">
        <v>0</v>
      </c>
      <c r="I93" s="12">
        <v>0</v>
      </c>
      <c r="J93" s="13">
        <v>20418.957145440716</v>
      </c>
      <c r="K93" s="19">
        <f t="array" ref="K93:K94">+TRANSPOSE(L92:M92)</f>
        <v>0</v>
      </c>
      <c r="L93" s="13">
        <f>+F87</f>
        <v>39389.411593071731</v>
      </c>
      <c r="M93" s="35">
        <f t="shared" si="22"/>
        <v>0</v>
      </c>
      <c r="N93" s="95">
        <v>5</v>
      </c>
      <c r="O93" s="14"/>
      <c r="P93" s="38">
        <v>0</v>
      </c>
      <c r="Q93" s="19">
        <v>0</v>
      </c>
      <c r="R93" s="19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9">
        <v>0</v>
      </c>
      <c r="Z93" s="13">
        <v>1</v>
      </c>
      <c r="AA93" s="35">
        <v>0</v>
      </c>
      <c r="AB93" s="95">
        <v>5</v>
      </c>
    </row>
    <row r="94" spans="1:28" ht="15.75" customHeight="1" x14ac:dyDescent="0.2">
      <c r="A94" s="14"/>
      <c r="B94" s="38">
        <v>0</v>
      </c>
      <c r="C94" s="13">
        <v>8266.5817905327731</v>
      </c>
      <c r="D94" s="19">
        <v>0</v>
      </c>
      <c r="E94" s="12">
        <v>0</v>
      </c>
      <c r="F94" s="12">
        <v>0</v>
      </c>
      <c r="G94" s="13">
        <v>7759.4112152518928</v>
      </c>
      <c r="H94" s="12">
        <v>0</v>
      </c>
      <c r="I94" s="13">
        <v>-8266.5817905327731</v>
      </c>
      <c r="J94" s="12">
        <v>0</v>
      </c>
      <c r="K94" s="19">
        <v>0</v>
      </c>
      <c r="L94" s="19">
        <f t="array" ref="L94">+TRANSPOSE(M93)</f>
        <v>0</v>
      </c>
      <c r="M94" s="39">
        <f>+G88</f>
        <v>15800.346887766511</v>
      </c>
      <c r="N94" s="95">
        <v>6</v>
      </c>
      <c r="O94" s="14"/>
      <c r="P94" s="38">
        <v>0</v>
      </c>
      <c r="Q94" s="19">
        <v>0</v>
      </c>
      <c r="R94" s="19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9">
        <v>0</v>
      </c>
      <c r="Z94" s="19">
        <v>0</v>
      </c>
      <c r="AA94" s="39">
        <v>1</v>
      </c>
      <c r="AB94" s="95">
        <v>6</v>
      </c>
    </row>
    <row r="95" spans="1:28" ht="15.75" customHeight="1" x14ac:dyDescent="0.2">
      <c r="A95" s="14"/>
      <c r="B95" s="41"/>
      <c r="C95" s="41"/>
      <c r="D95" s="125"/>
      <c r="N95" s="44"/>
      <c r="AB95" s="44"/>
    </row>
    <row r="96" spans="1:28" ht="15" customHeight="1" x14ac:dyDescent="0.25">
      <c r="A96" s="4"/>
      <c r="B96" s="100">
        <v>13</v>
      </c>
      <c r="C96" s="101">
        <v>14</v>
      </c>
      <c r="D96" s="96">
        <v>15</v>
      </c>
      <c r="E96" s="101">
        <v>16</v>
      </c>
      <c r="F96" s="101">
        <v>17</v>
      </c>
      <c r="G96" s="101">
        <v>18</v>
      </c>
      <c r="H96" s="102">
        <v>1</v>
      </c>
      <c r="I96" s="103">
        <v>2</v>
      </c>
      <c r="J96" s="103">
        <v>3</v>
      </c>
      <c r="K96" s="103">
        <v>4</v>
      </c>
      <c r="L96" s="103">
        <v>5</v>
      </c>
      <c r="M96" s="103">
        <v>6</v>
      </c>
      <c r="N96" s="44"/>
      <c r="P96" s="100">
        <v>13</v>
      </c>
      <c r="Q96" s="101">
        <v>14</v>
      </c>
      <c r="R96" s="101">
        <v>15</v>
      </c>
      <c r="S96" s="101">
        <v>16</v>
      </c>
      <c r="T96" s="101">
        <v>17</v>
      </c>
      <c r="U96" s="101">
        <v>18</v>
      </c>
      <c r="V96" s="102">
        <v>1</v>
      </c>
      <c r="W96" s="103">
        <v>2</v>
      </c>
      <c r="X96" s="103">
        <v>3</v>
      </c>
      <c r="Y96" s="103">
        <v>4</v>
      </c>
      <c r="Z96" s="103">
        <v>5</v>
      </c>
      <c r="AA96" s="103">
        <v>6</v>
      </c>
      <c r="AB96" s="44"/>
    </row>
    <row r="97" spans="1:28" ht="15.75" customHeight="1" x14ac:dyDescent="0.2">
      <c r="A97" s="14"/>
      <c r="B97" s="34">
        <f>+F62/(N48)</f>
        <v>880000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3">
        <f>-B97</f>
        <v>-880000</v>
      </c>
      <c r="I97" s="12">
        <v>0</v>
      </c>
      <c r="J97" s="12">
        <v>0</v>
      </c>
      <c r="K97" s="19">
        <v>0</v>
      </c>
      <c r="L97" s="19">
        <v>0</v>
      </c>
      <c r="M97" s="35">
        <v>0</v>
      </c>
      <c r="N97" s="100">
        <v>13</v>
      </c>
      <c r="O97" s="14"/>
      <c r="P97" s="34">
        <v>1</v>
      </c>
      <c r="Q97" s="19">
        <v>0</v>
      </c>
      <c r="R97" s="19">
        <v>0</v>
      </c>
      <c r="S97" s="37">
        <v>0</v>
      </c>
      <c r="T97" s="37">
        <v>0</v>
      </c>
      <c r="U97" s="12">
        <v>0</v>
      </c>
      <c r="V97" s="12">
        <v>0</v>
      </c>
      <c r="W97" s="12">
        <v>0</v>
      </c>
      <c r="X97" s="12">
        <v>0</v>
      </c>
      <c r="Y97" s="19">
        <v>0</v>
      </c>
      <c r="Z97" s="19">
        <v>0</v>
      </c>
      <c r="AA97" s="35">
        <v>0</v>
      </c>
      <c r="AB97" s="100">
        <v>13</v>
      </c>
    </row>
    <row r="98" spans="1:28" ht="15.75" customHeight="1" x14ac:dyDescent="0.25">
      <c r="A98" s="14"/>
      <c r="B98" s="38">
        <f t="array" ref="B98:B108">+TRANSPOSE(C97:M97)</f>
        <v>0</v>
      </c>
      <c r="C98" s="13">
        <f>12*G62/((1+I62)*(N48-SUM(R48:S48))^3)</f>
        <v>18095.023062284305</v>
      </c>
      <c r="D98" s="19">
        <v>0</v>
      </c>
      <c r="E98" s="19">
        <v>0</v>
      </c>
      <c r="F98" s="19">
        <v>0</v>
      </c>
      <c r="G98" s="13">
        <f>6*G62/((1+I62)*(N48-SUM(R48:S48))^2)</f>
        <v>25333.032287198028</v>
      </c>
      <c r="H98" s="12">
        <v>0</v>
      </c>
      <c r="I98" s="13">
        <f>-C98</f>
        <v>-18095.023062284305</v>
      </c>
      <c r="J98" s="19">
        <v>0</v>
      </c>
      <c r="K98" s="19">
        <v>0</v>
      </c>
      <c r="L98" s="19">
        <v>0</v>
      </c>
      <c r="M98" s="39">
        <f>+G98</f>
        <v>25333.032287198028</v>
      </c>
      <c r="N98" s="101">
        <v>14</v>
      </c>
      <c r="O98" s="14"/>
      <c r="P98" s="38">
        <v>0</v>
      </c>
      <c r="Q98" s="13">
        <v>1</v>
      </c>
      <c r="R98" s="19">
        <v>0</v>
      </c>
      <c r="S98" s="37">
        <v>0</v>
      </c>
      <c r="T98" s="37">
        <v>0</v>
      </c>
      <c r="U98" s="13">
        <f>+R48</f>
        <v>0</v>
      </c>
      <c r="V98" s="12">
        <v>0</v>
      </c>
      <c r="W98" s="12">
        <v>0</v>
      </c>
      <c r="X98" s="12">
        <v>0</v>
      </c>
      <c r="Y98" s="19">
        <v>0</v>
      </c>
      <c r="Z98" s="19">
        <v>0</v>
      </c>
      <c r="AA98" s="35">
        <v>0</v>
      </c>
      <c r="AB98" s="101">
        <v>14</v>
      </c>
    </row>
    <row r="99" spans="1:28" ht="15.75" customHeight="1" x14ac:dyDescent="0.25">
      <c r="B99" s="38">
        <v>0</v>
      </c>
      <c r="C99" s="19">
        <f t="array" ref="C99:C108">+TRANSPOSE(D98:M98)</f>
        <v>0</v>
      </c>
      <c r="D99" s="13">
        <f>12*J62/((1+L62)*(N48-SUM(R48:S48))^3)</f>
        <v>10450.992730464161</v>
      </c>
      <c r="E99" s="19">
        <v>0</v>
      </c>
      <c r="F99" s="13">
        <f>-6*J62/((1+L62)*(N48-SUM(R48:S48))^2)</f>
        <v>-14631.389822649824</v>
      </c>
      <c r="G99" s="19">
        <v>0</v>
      </c>
      <c r="H99" s="19">
        <v>0</v>
      </c>
      <c r="I99" s="19">
        <v>0</v>
      </c>
      <c r="J99" s="13">
        <f>-D99</f>
        <v>-10450.992730464161</v>
      </c>
      <c r="K99" s="19">
        <f t="shared" ref="K99" si="23">-E99</f>
        <v>0</v>
      </c>
      <c r="L99" s="13">
        <f>+F99</f>
        <v>-14631.389822649824</v>
      </c>
      <c r="M99" s="35">
        <v>0</v>
      </c>
      <c r="N99" s="101">
        <v>15</v>
      </c>
      <c r="P99" s="38">
        <v>0</v>
      </c>
      <c r="Q99" s="19">
        <v>0</v>
      </c>
      <c r="R99" s="13">
        <v>1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9">
        <v>0</v>
      </c>
      <c r="Z99" s="19">
        <v>0</v>
      </c>
      <c r="AA99" s="35">
        <v>0</v>
      </c>
      <c r="AB99" s="101">
        <v>15</v>
      </c>
    </row>
    <row r="100" spans="1:28" ht="15.75" customHeight="1" x14ac:dyDescent="0.25">
      <c r="B100" s="38">
        <v>0</v>
      </c>
      <c r="C100" s="19">
        <v>0</v>
      </c>
      <c r="D100" s="19">
        <f t="array" ref="D100:D108">+TRANSPOSE(E99:M99)</f>
        <v>0</v>
      </c>
      <c r="E100" s="13">
        <f>+M62/N48</f>
        <v>5507.57666015625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3">
        <f>-E100</f>
        <v>-5507.57666015625</v>
      </c>
      <c r="L100" s="19">
        <v>0</v>
      </c>
      <c r="M100" s="35">
        <v>0</v>
      </c>
      <c r="N100" s="101">
        <v>16</v>
      </c>
      <c r="P100" s="38">
        <v>0</v>
      </c>
      <c r="Q100" s="19">
        <v>0</v>
      </c>
      <c r="R100" s="19">
        <v>0</v>
      </c>
      <c r="S100" s="13">
        <v>1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9">
        <v>0</v>
      </c>
      <c r="Z100" s="19">
        <v>0</v>
      </c>
      <c r="AA100" s="35">
        <v>0</v>
      </c>
      <c r="AB100" s="101">
        <v>16</v>
      </c>
    </row>
    <row r="101" spans="1:28" ht="15.75" customHeight="1" x14ac:dyDescent="0.25">
      <c r="A101" s="14"/>
      <c r="B101" s="38">
        <v>0</v>
      </c>
      <c r="C101" s="19">
        <v>0</v>
      </c>
      <c r="D101" s="13">
        <v>-14631.389822649824</v>
      </c>
      <c r="E101" s="19">
        <f t="array" ref="E101:E108">+TRANSPOSE(F100:M100)</f>
        <v>0</v>
      </c>
      <c r="F101" s="19">
        <f>(4+L62)*J62/((1+L62)*(N48-SUM(R48:S48)))</f>
        <v>27555.374323138323</v>
      </c>
      <c r="G101" s="19">
        <v>0</v>
      </c>
      <c r="H101" s="19">
        <v>0</v>
      </c>
      <c r="I101" s="19">
        <v>0</v>
      </c>
      <c r="J101" s="13">
        <f>-L99</f>
        <v>14631.389822649824</v>
      </c>
      <c r="K101" s="19">
        <v>0</v>
      </c>
      <c r="L101" s="19">
        <f>(2-L62)*J62/((1+L62)*(N48-SUM(R48:S48)))</f>
        <v>13412.51718028118</v>
      </c>
      <c r="M101" s="35">
        <v>0</v>
      </c>
      <c r="N101" s="101">
        <v>17</v>
      </c>
      <c r="O101" s="14"/>
      <c r="P101" s="38">
        <v>0</v>
      </c>
      <c r="Q101" s="19">
        <v>0</v>
      </c>
      <c r="R101" s="19">
        <v>0</v>
      </c>
      <c r="S101" s="12">
        <v>0</v>
      </c>
      <c r="T101" s="13">
        <v>1</v>
      </c>
      <c r="U101" s="12">
        <v>0</v>
      </c>
      <c r="V101" s="12">
        <v>0</v>
      </c>
      <c r="W101" s="12">
        <v>0</v>
      </c>
      <c r="X101" s="12">
        <v>0</v>
      </c>
      <c r="Y101" s="19">
        <v>0</v>
      </c>
      <c r="Z101" s="19">
        <v>0</v>
      </c>
      <c r="AA101" s="35">
        <v>0</v>
      </c>
      <c r="AB101" s="101">
        <v>17</v>
      </c>
    </row>
    <row r="102" spans="1:28" ht="15.75" customHeight="1" x14ac:dyDescent="0.25">
      <c r="A102" s="115" t="s">
        <v>69</v>
      </c>
      <c r="B102" s="38">
        <v>0</v>
      </c>
      <c r="C102" s="13">
        <v>25333.032287198028</v>
      </c>
      <c r="D102" s="13">
        <v>0</v>
      </c>
      <c r="E102" s="19">
        <v>0</v>
      </c>
      <c r="F102" s="19">
        <f t="array" ref="F102:F108">+TRANSPOSE(G101:M101)</f>
        <v>0</v>
      </c>
      <c r="G102" s="13">
        <f>(4+I62)*G62/((1+I62)*(N48-SUM(R48:S48)))</f>
        <v>48037.673773505805</v>
      </c>
      <c r="H102" s="19">
        <v>0</v>
      </c>
      <c r="I102" s="13">
        <f>-M98</f>
        <v>-25333.032287198028</v>
      </c>
      <c r="J102" s="19">
        <v>0</v>
      </c>
      <c r="K102" s="19">
        <v>0</v>
      </c>
      <c r="L102" s="19">
        <v>0</v>
      </c>
      <c r="M102" s="39">
        <f>(2-I62)*G62/((1+I62)*(N48-SUM(R48:S48)))</f>
        <v>22894.816630648653</v>
      </c>
      <c r="N102" s="101">
        <v>18</v>
      </c>
      <c r="O102" s="115" t="s">
        <v>70</v>
      </c>
      <c r="P102" s="38">
        <v>0</v>
      </c>
      <c r="Q102" s="19">
        <v>0</v>
      </c>
      <c r="R102" s="19">
        <v>0</v>
      </c>
      <c r="S102" s="12">
        <v>0</v>
      </c>
      <c r="T102" s="12">
        <v>0</v>
      </c>
      <c r="U102" s="13">
        <v>1</v>
      </c>
      <c r="V102" s="12">
        <v>0</v>
      </c>
      <c r="W102" s="12">
        <v>0</v>
      </c>
      <c r="X102" s="12">
        <v>0</v>
      </c>
      <c r="Y102" s="19">
        <v>0</v>
      </c>
      <c r="Z102" s="19">
        <v>0</v>
      </c>
      <c r="AA102" s="35">
        <v>0</v>
      </c>
      <c r="AB102" s="101">
        <v>18</v>
      </c>
    </row>
    <row r="103" spans="1:28" ht="15.75" customHeight="1" x14ac:dyDescent="0.2">
      <c r="A103" s="115"/>
      <c r="B103" s="34">
        <v>-880000</v>
      </c>
      <c r="C103" s="19">
        <v>0</v>
      </c>
      <c r="D103" s="19">
        <v>0</v>
      </c>
      <c r="E103" s="19">
        <v>0</v>
      </c>
      <c r="F103" s="12">
        <v>0</v>
      </c>
      <c r="G103" s="19">
        <f t="array" ref="G103:G108">+TRANSPOSE(H102:M102)</f>
        <v>0</v>
      </c>
      <c r="H103" s="13">
        <f>+B97</f>
        <v>880000</v>
      </c>
      <c r="I103" s="19">
        <v>0</v>
      </c>
      <c r="J103" s="19">
        <v>0</v>
      </c>
      <c r="K103" s="19">
        <v>0</v>
      </c>
      <c r="L103" s="19">
        <v>0</v>
      </c>
      <c r="M103" s="35">
        <f t="shared" ref="M103" si="24">+D100</f>
        <v>0</v>
      </c>
      <c r="N103" s="102">
        <v>1</v>
      </c>
      <c r="O103" s="115"/>
      <c r="P103" s="38">
        <v>0</v>
      </c>
      <c r="Q103" s="19">
        <v>0</v>
      </c>
      <c r="R103" s="19">
        <v>0</v>
      </c>
      <c r="S103" s="12">
        <v>0</v>
      </c>
      <c r="T103" s="12">
        <v>0</v>
      </c>
      <c r="U103" s="12">
        <v>0</v>
      </c>
      <c r="V103" s="13">
        <v>1</v>
      </c>
      <c r="W103" s="12">
        <v>0</v>
      </c>
      <c r="X103" s="12">
        <v>0</v>
      </c>
      <c r="Y103" s="19">
        <v>0</v>
      </c>
      <c r="Z103" s="19">
        <v>0</v>
      </c>
      <c r="AA103" s="35">
        <v>0</v>
      </c>
      <c r="AB103" s="102">
        <v>1</v>
      </c>
    </row>
    <row r="104" spans="1:28" ht="15.75" customHeight="1" x14ac:dyDescent="0.25">
      <c r="A104" s="14"/>
      <c r="B104" s="38">
        <v>0</v>
      </c>
      <c r="C104" s="13">
        <v>-18095.023062284305</v>
      </c>
      <c r="D104" s="19">
        <v>0</v>
      </c>
      <c r="E104" s="12">
        <v>0</v>
      </c>
      <c r="F104" s="12">
        <v>0</v>
      </c>
      <c r="G104" s="13">
        <v>-25333.032287198028</v>
      </c>
      <c r="H104" s="12">
        <f t="array" ref="H104:H108">+TRANSPOSE(I103:M103)</f>
        <v>0</v>
      </c>
      <c r="I104" s="13">
        <f>+C98</f>
        <v>18095.023062284305</v>
      </c>
      <c r="J104" s="19">
        <v>0</v>
      </c>
      <c r="K104" s="19">
        <v>0</v>
      </c>
      <c r="L104" s="19">
        <v>0</v>
      </c>
      <c r="M104" s="39">
        <f>-M98</f>
        <v>-25333.032287198028</v>
      </c>
      <c r="N104" s="103">
        <v>2</v>
      </c>
      <c r="P104" s="38">
        <v>0</v>
      </c>
      <c r="Q104" s="19">
        <v>0</v>
      </c>
      <c r="R104" s="19">
        <v>0</v>
      </c>
      <c r="S104" s="12">
        <v>0</v>
      </c>
      <c r="T104" s="12">
        <v>0</v>
      </c>
      <c r="U104" s="12">
        <v>0</v>
      </c>
      <c r="V104" s="12">
        <v>0</v>
      </c>
      <c r="W104" s="13">
        <v>1</v>
      </c>
      <c r="X104" s="12">
        <v>0</v>
      </c>
      <c r="Y104" s="19">
        <v>0</v>
      </c>
      <c r="Z104" s="19">
        <v>0</v>
      </c>
      <c r="AA104" s="39">
        <f>-S48</f>
        <v>-0.2</v>
      </c>
      <c r="AB104" s="103">
        <v>2</v>
      </c>
    </row>
    <row r="105" spans="1:28" ht="15.75" customHeight="1" x14ac:dyDescent="0.25">
      <c r="A105" s="14"/>
      <c r="B105" s="38">
        <v>0</v>
      </c>
      <c r="C105" s="19">
        <v>0</v>
      </c>
      <c r="D105" s="13">
        <v>-10450.992730464161</v>
      </c>
      <c r="E105" s="12">
        <v>0</v>
      </c>
      <c r="F105" s="13">
        <v>14631.389822649824</v>
      </c>
      <c r="G105" s="12">
        <v>0</v>
      </c>
      <c r="H105" s="12">
        <v>0</v>
      </c>
      <c r="I105" s="12">
        <f t="array" ref="I105:I108">+TRANSPOSE(J104:M104)</f>
        <v>0</v>
      </c>
      <c r="J105" s="13">
        <f>+D99</f>
        <v>10450.992730464161</v>
      </c>
      <c r="K105" s="19">
        <f t="array" ref="K105">+TRANSPOSE(L104:M104)</f>
        <v>0</v>
      </c>
      <c r="L105" s="13">
        <f>-L99</f>
        <v>14631.389822649824</v>
      </c>
      <c r="M105" s="35">
        <f t="shared" ref="M105:M107" si="25">+D102</f>
        <v>0</v>
      </c>
      <c r="N105" s="103">
        <v>3</v>
      </c>
      <c r="P105" s="38">
        <v>0</v>
      </c>
      <c r="Q105" s="19">
        <v>0</v>
      </c>
      <c r="R105" s="19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3">
        <v>1</v>
      </c>
      <c r="Y105" s="19">
        <v>0</v>
      </c>
      <c r="Z105" s="19">
        <v>0</v>
      </c>
      <c r="AA105" s="35">
        <v>0</v>
      </c>
      <c r="AB105" s="103">
        <v>3</v>
      </c>
    </row>
    <row r="106" spans="1:28" ht="15.75" customHeight="1" x14ac:dyDescent="0.25">
      <c r="A106" s="14"/>
      <c r="B106" s="38">
        <v>0</v>
      </c>
      <c r="C106" s="19">
        <v>0</v>
      </c>
      <c r="D106" s="19">
        <v>0</v>
      </c>
      <c r="E106" s="13">
        <v>-5507.57666015625</v>
      </c>
      <c r="F106" s="12">
        <v>0</v>
      </c>
      <c r="G106" s="12">
        <v>0</v>
      </c>
      <c r="H106" s="12">
        <v>0</v>
      </c>
      <c r="I106" s="12">
        <v>0</v>
      </c>
      <c r="J106" s="12">
        <f t="array" ref="J106:J108">+TRANSPOSE(K105:M105)</f>
        <v>0</v>
      </c>
      <c r="K106" s="13">
        <f>+E100</f>
        <v>5507.57666015625</v>
      </c>
      <c r="L106" s="19" cm="1">
        <f t="array" ref="L106">+TRANSPOSE(M105)</f>
        <v>0</v>
      </c>
      <c r="M106" s="35">
        <f t="shared" si="25"/>
        <v>0</v>
      </c>
      <c r="N106" s="103">
        <v>4</v>
      </c>
      <c r="P106" s="38">
        <v>0</v>
      </c>
      <c r="Q106" s="19">
        <v>0</v>
      </c>
      <c r="R106" s="19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3">
        <v>1</v>
      </c>
      <c r="Z106" s="19">
        <v>0</v>
      </c>
      <c r="AA106" s="35">
        <v>0</v>
      </c>
      <c r="AB106" s="103">
        <v>4</v>
      </c>
    </row>
    <row r="107" spans="1:28" ht="15.75" customHeight="1" x14ac:dyDescent="0.25">
      <c r="A107" s="14"/>
      <c r="B107" s="38">
        <v>0</v>
      </c>
      <c r="C107" s="19">
        <v>0</v>
      </c>
      <c r="D107" s="13">
        <v>-14631.389822649824</v>
      </c>
      <c r="E107" s="12">
        <v>0</v>
      </c>
      <c r="F107" s="13">
        <v>13412.51718028118</v>
      </c>
      <c r="G107" s="12">
        <v>0</v>
      </c>
      <c r="H107" s="12">
        <v>0</v>
      </c>
      <c r="I107" s="12">
        <v>0</v>
      </c>
      <c r="J107" s="13">
        <v>14631.389822649824</v>
      </c>
      <c r="K107" s="19">
        <f t="array" ref="K107:K108">+TRANSPOSE(L106:M106)</f>
        <v>0</v>
      </c>
      <c r="L107" s="13">
        <f>+F101</f>
        <v>27555.374323138323</v>
      </c>
      <c r="M107" s="35">
        <f t="shared" si="25"/>
        <v>0</v>
      </c>
      <c r="N107" s="103">
        <v>5</v>
      </c>
      <c r="P107" s="38">
        <v>0</v>
      </c>
      <c r="Q107" s="19">
        <v>0</v>
      </c>
      <c r="R107" s="19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9">
        <v>0</v>
      </c>
      <c r="Z107" s="13">
        <v>1</v>
      </c>
      <c r="AA107" s="35">
        <v>0</v>
      </c>
      <c r="AB107" s="103">
        <v>5</v>
      </c>
    </row>
    <row r="108" spans="1:28" ht="15.75" customHeight="1" x14ac:dyDescent="0.25">
      <c r="A108" s="14"/>
      <c r="B108" s="38">
        <v>0</v>
      </c>
      <c r="C108" s="13">
        <v>25333.032287198028</v>
      </c>
      <c r="D108" s="19">
        <v>0</v>
      </c>
      <c r="E108" s="12">
        <v>0</v>
      </c>
      <c r="F108" s="12">
        <v>0</v>
      </c>
      <c r="G108" s="13">
        <v>22894.816630648653</v>
      </c>
      <c r="H108" s="12">
        <v>0</v>
      </c>
      <c r="I108" s="13">
        <v>-25333.032287198028</v>
      </c>
      <c r="J108" s="12">
        <v>0</v>
      </c>
      <c r="K108" s="19">
        <v>0</v>
      </c>
      <c r="L108" s="19">
        <f t="array" ref="L108">+TRANSPOSE(M107)</f>
        <v>0</v>
      </c>
      <c r="M108" s="39">
        <f>+G102</f>
        <v>48037.673773505805</v>
      </c>
      <c r="N108" s="103">
        <v>6</v>
      </c>
      <c r="P108" s="38">
        <v>0</v>
      </c>
      <c r="Q108" s="19">
        <v>0</v>
      </c>
      <c r="R108" s="19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9">
        <v>0</v>
      </c>
      <c r="Z108" s="19">
        <v>0</v>
      </c>
      <c r="AA108" s="39">
        <v>1</v>
      </c>
      <c r="AB108" s="103">
        <v>6</v>
      </c>
    </row>
    <row r="109" spans="1:28" ht="15.75" customHeight="1" x14ac:dyDescent="0.2">
      <c r="A109" s="14"/>
      <c r="B109" s="41"/>
      <c r="C109" s="41"/>
      <c r="D109" s="125"/>
      <c r="E109" s="41"/>
      <c r="F109" s="41"/>
      <c r="G109" s="41"/>
      <c r="H109" s="43"/>
      <c r="I109" s="14"/>
      <c r="J109" s="14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</row>
    <row r="111" spans="1:28" ht="15" customHeight="1" x14ac:dyDescent="0.25">
      <c r="A111" s="4" t="s">
        <v>161</v>
      </c>
      <c r="B111"/>
    </row>
    <row r="113" spans="2:15" ht="15" customHeight="1" x14ac:dyDescent="0.2">
      <c r="C113" s="95">
        <v>1</v>
      </c>
      <c r="D113" s="95">
        <v>2</v>
      </c>
      <c r="E113" s="95">
        <v>3</v>
      </c>
      <c r="F113" s="95">
        <v>4</v>
      </c>
      <c r="G113" s="95">
        <v>5</v>
      </c>
      <c r="H113" s="95">
        <v>6</v>
      </c>
      <c r="I113" s="96">
        <v>7</v>
      </c>
      <c r="J113" s="96">
        <v>8</v>
      </c>
      <c r="K113" s="96">
        <v>9</v>
      </c>
      <c r="L113" s="96">
        <v>10</v>
      </c>
      <c r="M113" s="96">
        <v>11</v>
      </c>
      <c r="N113" s="96">
        <v>12</v>
      </c>
    </row>
    <row r="114" spans="2:15" ht="15" customHeight="1" x14ac:dyDescent="0.2">
      <c r="B114" s="97"/>
      <c r="C114" s="12" cm="1">
        <f t="array" ref="C114:N125">MMULT(MMULT(TRANSPOSE(P69:AA80),B69:M80),P69:AA80)</f>
        <v>528000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-528000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95">
        <v>1</v>
      </c>
    </row>
    <row r="115" spans="2:15" ht="15" customHeight="1" x14ac:dyDescent="0.2">
      <c r="B115" s="97"/>
      <c r="C115" s="12">
        <v>0</v>
      </c>
      <c r="D115" s="12">
        <v>3738.8035828534889</v>
      </c>
      <c r="E115" s="12">
        <v>0</v>
      </c>
      <c r="F115" s="12">
        <v>0</v>
      </c>
      <c r="G115" s="12">
        <v>0</v>
      </c>
      <c r="H115" s="12">
        <v>9720.8893154190719</v>
      </c>
      <c r="I115" s="12">
        <v>0</v>
      </c>
      <c r="J115" s="12">
        <v>-3738.8035828534889</v>
      </c>
      <c r="K115" s="12">
        <v>0</v>
      </c>
      <c r="L115" s="12">
        <v>0</v>
      </c>
      <c r="M115" s="12">
        <v>0</v>
      </c>
      <c r="N115" s="12">
        <v>8973.1285988483742</v>
      </c>
      <c r="O115" s="95">
        <v>2</v>
      </c>
    </row>
    <row r="116" spans="2:15" ht="15" customHeight="1" x14ac:dyDescent="0.2">
      <c r="B116" s="98"/>
      <c r="C116" s="12">
        <v>0</v>
      </c>
      <c r="D116" s="12">
        <v>0</v>
      </c>
      <c r="E116" s="12">
        <v>2122.6843443516168</v>
      </c>
      <c r="F116" s="12">
        <v>0</v>
      </c>
      <c r="G116" s="12">
        <v>-5094.4424264438812</v>
      </c>
      <c r="H116" s="12">
        <v>0</v>
      </c>
      <c r="I116" s="12">
        <v>0</v>
      </c>
      <c r="J116" s="12">
        <v>0</v>
      </c>
      <c r="K116" s="12">
        <v>-2122.6843443516168</v>
      </c>
      <c r="L116" s="12">
        <v>0</v>
      </c>
      <c r="M116" s="12">
        <v>-5094.4424264438812</v>
      </c>
      <c r="N116" s="12">
        <v>0</v>
      </c>
      <c r="O116" s="95">
        <v>3</v>
      </c>
    </row>
    <row r="117" spans="2:15" ht="15" customHeight="1" x14ac:dyDescent="0.2">
      <c r="B117" s="98"/>
      <c r="C117" s="12">
        <v>0</v>
      </c>
      <c r="D117" s="12">
        <v>0</v>
      </c>
      <c r="E117" s="12">
        <v>0</v>
      </c>
      <c r="F117" s="12">
        <v>3304.5459960937501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-3304.5459960937501</v>
      </c>
      <c r="M117" s="12">
        <v>0</v>
      </c>
      <c r="N117" s="12">
        <v>0</v>
      </c>
      <c r="O117" s="95">
        <v>4</v>
      </c>
    </row>
    <row r="118" spans="2:15" ht="15" customHeight="1" x14ac:dyDescent="0.2">
      <c r="B118" s="97"/>
      <c r="C118" s="12">
        <v>0</v>
      </c>
      <c r="D118" s="12">
        <v>0</v>
      </c>
      <c r="E118" s="12">
        <v>-5094.4424264438812</v>
      </c>
      <c r="F118" s="12">
        <v>0</v>
      </c>
      <c r="G118" s="12">
        <v>16351.661823465311</v>
      </c>
      <c r="H118" s="12">
        <v>0</v>
      </c>
      <c r="I118" s="12">
        <v>0</v>
      </c>
      <c r="J118" s="12">
        <v>0</v>
      </c>
      <c r="K118" s="12">
        <v>5094.4424264438812</v>
      </c>
      <c r="L118" s="12">
        <v>0</v>
      </c>
      <c r="M118" s="12">
        <v>8101.6618234653115</v>
      </c>
      <c r="N118" s="12">
        <v>0</v>
      </c>
      <c r="O118" s="95">
        <v>5</v>
      </c>
    </row>
    <row r="119" spans="2:15" ht="15" customHeight="1" x14ac:dyDescent="0.2">
      <c r="B119" s="114" t="s">
        <v>162</v>
      </c>
      <c r="C119" s="12">
        <v>0</v>
      </c>
      <c r="D119" s="12">
        <v>9720.8893154190719</v>
      </c>
      <c r="E119" s="12">
        <v>0</v>
      </c>
      <c r="F119" s="12">
        <v>0</v>
      </c>
      <c r="G119" s="12">
        <v>0</v>
      </c>
      <c r="H119" s="12">
        <v>32607.645553422924</v>
      </c>
      <c r="I119" s="12">
        <v>0</v>
      </c>
      <c r="J119" s="12">
        <v>-9720.8893154190719</v>
      </c>
      <c r="K119" s="12">
        <v>0</v>
      </c>
      <c r="L119" s="12">
        <v>0</v>
      </c>
      <c r="M119" s="12">
        <v>0</v>
      </c>
      <c r="N119" s="12">
        <v>15996.801023672433</v>
      </c>
      <c r="O119" s="95">
        <v>6</v>
      </c>
    </row>
    <row r="120" spans="2:15" ht="15" customHeight="1" x14ac:dyDescent="0.2">
      <c r="B120" s="114"/>
      <c r="C120" s="12">
        <v>-528000</v>
      </c>
      <c r="D120" s="12">
        <v>0</v>
      </c>
      <c r="E120" s="12">
        <v>0</v>
      </c>
      <c r="F120" s="12">
        <v>0</v>
      </c>
      <c r="G120" s="12">
        <v>0</v>
      </c>
      <c r="H120" s="12">
        <v>0</v>
      </c>
      <c r="I120" s="12">
        <v>528000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96">
        <v>7</v>
      </c>
    </row>
    <row r="121" spans="2:15" ht="15" customHeight="1" x14ac:dyDescent="0.2">
      <c r="B121" s="97"/>
      <c r="C121" s="12">
        <v>0</v>
      </c>
      <c r="D121" s="12">
        <v>-3738.8035828534889</v>
      </c>
      <c r="E121" s="12">
        <v>0</v>
      </c>
      <c r="F121" s="12">
        <v>0</v>
      </c>
      <c r="G121" s="12">
        <v>0</v>
      </c>
      <c r="H121" s="12">
        <v>-9720.8893154190719</v>
      </c>
      <c r="I121" s="12">
        <v>0</v>
      </c>
      <c r="J121" s="12">
        <v>3738.8035828534889</v>
      </c>
      <c r="K121" s="12">
        <v>0</v>
      </c>
      <c r="L121" s="12">
        <v>0</v>
      </c>
      <c r="M121" s="12">
        <v>0</v>
      </c>
      <c r="N121" s="12">
        <v>-8973.1285988483742</v>
      </c>
      <c r="O121" s="96">
        <v>8</v>
      </c>
    </row>
    <row r="122" spans="2:15" ht="15" customHeight="1" x14ac:dyDescent="0.2">
      <c r="B122" s="97"/>
      <c r="C122" s="12">
        <v>0</v>
      </c>
      <c r="D122" s="12">
        <v>0</v>
      </c>
      <c r="E122" s="12">
        <v>-2122.6843443516168</v>
      </c>
      <c r="F122" s="12">
        <v>0</v>
      </c>
      <c r="G122" s="12">
        <v>5094.4424264438812</v>
      </c>
      <c r="H122" s="12">
        <v>0</v>
      </c>
      <c r="I122" s="12">
        <v>0</v>
      </c>
      <c r="J122" s="12">
        <v>0</v>
      </c>
      <c r="K122" s="12">
        <v>2122.6843443516168</v>
      </c>
      <c r="L122" s="12">
        <v>0</v>
      </c>
      <c r="M122" s="12">
        <v>5094.4424264438812</v>
      </c>
      <c r="N122" s="12">
        <v>0</v>
      </c>
      <c r="O122" s="96">
        <v>9</v>
      </c>
    </row>
    <row r="123" spans="2:15" ht="15" customHeight="1" x14ac:dyDescent="0.2">
      <c r="B123" s="97"/>
      <c r="C123" s="12">
        <v>0</v>
      </c>
      <c r="D123" s="12">
        <v>0</v>
      </c>
      <c r="E123" s="12">
        <v>0</v>
      </c>
      <c r="F123" s="12">
        <v>-3304.5459960937501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3304.5459960937501</v>
      </c>
      <c r="M123" s="12">
        <v>0</v>
      </c>
      <c r="N123" s="12">
        <v>0</v>
      </c>
      <c r="O123" s="96">
        <v>10</v>
      </c>
    </row>
    <row r="124" spans="2:15" ht="15" customHeight="1" x14ac:dyDescent="0.2">
      <c r="B124" s="97"/>
      <c r="C124" s="12">
        <v>0</v>
      </c>
      <c r="D124" s="12">
        <v>0</v>
      </c>
      <c r="E124" s="12">
        <v>-5094.4424264438812</v>
      </c>
      <c r="F124" s="12">
        <v>0</v>
      </c>
      <c r="G124" s="12">
        <v>8101.6618234653115</v>
      </c>
      <c r="H124" s="12">
        <v>0</v>
      </c>
      <c r="I124" s="12">
        <v>0</v>
      </c>
      <c r="J124" s="12">
        <v>0</v>
      </c>
      <c r="K124" s="12">
        <v>5094.4424264438812</v>
      </c>
      <c r="L124" s="12">
        <v>0</v>
      </c>
      <c r="M124" s="12">
        <v>16351.661823465311</v>
      </c>
      <c r="N124" s="12">
        <v>0</v>
      </c>
      <c r="O124" s="96">
        <v>11</v>
      </c>
    </row>
    <row r="125" spans="2:15" ht="15" customHeight="1" x14ac:dyDescent="0.2">
      <c r="B125" s="97"/>
      <c r="C125" s="12">
        <v>0</v>
      </c>
      <c r="D125" s="12">
        <v>8973.1285988483742</v>
      </c>
      <c r="E125" s="12">
        <v>0</v>
      </c>
      <c r="F125" s="12">
        <v>0</v>
      </c>
      <c r="G125" s="12">
        <v>0</v>
      </c>
      <c r="H125" s="12">
        <v>15996.801023672433</v>
      </c>
      <c r="I125" s="12">
        <v>0</v>
      </c>
      <c r="J125" s="12">
        <v>-8973.1285988483742</v>
      </c>
      <c r="K125" s="12">
        <v>0</v>
      </c>
      <c r="L125" s="12">
        <v>0</v>
      </c>
      <c r="M125" s="12">
        <v>0</v>
      </c>
      <c r="N125" s="12">
        <v>28868.841970569432</v>
      </c>
      <c r="O125" s="96">
        <v>12</v>
      </c>
    </row>
    <row r="126" spans="2:15" ht="15" customHeight="1" x14ac:dyDescent="0.2">
      <c r="B126" s="14"/>
      <c r="O126" s="42"/>
    </row>
    <row r="127" spans="2:15" ht="15" customHeight="1" x14ac:dyDescent="0.2">
      <c r="B127" s="4"/>
      <c r="C127" s="96">
        <v>19</v>
      </c>
      <c r="D127" s="96">
        <v>20</v>
      </c>
      <c r="E127" s="96">
        <v>21</v>
      </c>
      <c r="F127" s="96">
        <v>22</v>
      </c>
      <c r="G127" s="96">
        <v>23</v>
      </c>
      <c r="H127" s="96">
        <v>24</v>
      </c>
      <c r="I127" s="95">
        <v>1</v>
      </c>
      <c r="J127" s="95">
        <v>2</v>
      </c>
      <c r="K127" s="95">
        <v>3</v>
      </c>
      <c r="L127" s="95">
        <v>4</v>
      </c>
      <c r="M127" s="95">
        <v>5</v>
      </c>
      <c r="N127" s="95">
        <v>6</v>
      </c>
      <c r="O127" s="44"/>
    </row>
    <row r="128" spans="2:15" ht="15" customHeight="1" x14ac:dyDescent="0.2">
      <c r="B128" s="97"/>
      <c r="C128" s="125" cm="1">
        <f t="array" ref="C128:N139">MMULT(MMULT(TRANSPOSE(P83:AA94),B83:M94),P83:AA94)</f>
        <v>733333.33333333337</v>
      </c>
      <c r="D128" s="126">
        <v>0</v>
      </c>
      <c r="E128" s="12">
        <v>0</v>
      </c>
      <c r="F128" s="12">
        <v>0</v>
      </c>
      <c r="G128" s="3">
        <v>0</v>
      </c>
      <c r="H128" s="3">
        <v>0</v>
      </c>
      <c r="I128" s="3">
        <v>-733333.33333333337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99">
        <v>19</v>
      </c>
    </row>
    <row r="129" spans="2:15" ht="15" customHeight="1" x14ac:dyDescent="0.2">
      <c r="B129" s="97"/>
      <c r="C129" s="125">
        <v>0</v>
      </c>
      <c r="D129" s="126">
        <v>5801.1100284440517</v>
      </c>
      <c r="E129" s="12">
        <v>0</v>
      </c>
      <c r="F129" s="12">
        <v>0</v>
      </c>
      <c r="G129" s="3">
        <v>0</v>
      </c>
      <c r="H129" s="3">
        <v>8266.5817905327731</v>
      </c>
      <c r="I129" s="3">
        <v>0</v>
      </c>
      <c r="J129" s="3">
        <v>-5801.1100284440517</v>
      </c>
      <c r="K129" s="3">
        <v>0</v>
      </c>
      <c r="L129" s="3">
        <v>0</v>
      </c>
      <c r="M129" s="3">
        <v>0</v>
      </c>
      <c r="N129" s="3">
        <v>9136.7482947993813</v>
      </c>
      <c r="O129" s="99">
        <v>20</v>
      </c>
    </row>
    <row r="130" spans="2:15" ht="15" customHeight="1" x14ac:dyDescent="0.2">
      <c r="B130" s="98"/>
      <c r="C130" s="125">
        <v>0</v>
      </c>
      <c r="D130" s="126">
        <v>0</v>
      </c>
      <c r="E130" s="12">
        <v>14329.092733642607</v>
      </c>
      <c r="F130" s="12">
        <v>0</v>
      </c>
      <c r="G130" s="3">
        <v>-20418.957145440716</v>
      </c>
      <c r="H130" s="3">
        <v>0</v>
      </c>
      <c r="I130" s="3">
        <v>0</v>
      </c>
      <c r="J130" s="3">
        <v>0</v>
      </c>
      <c r="K130" s="3">
        <v>-14329.092733642607</v>
      </c>
      <c r="L130" s="3">
        <v>0</v>
      </c>
      <c r="M130" s="3">
        <v>-20418.957145440716</v>
      </c>
      <c r="N130" s="3">
        <v>0</v>
      </c>
      <c r="O130" s="99">
        <v>21</v>
      </c>
    </row>
    <row r="131" spans="2:15" ht="15" customHeight="1" x14ac:dyDescent="0.2">
      <c r="B131" s="98"/>
      <c r="C131" s="125">
        <v>0</v>
      </c>
      <c r="D131" s="126">
        <v>0</v>
      </c>
      <c r="E131" s="12">
        <v>0</v>
      </c>
      <c r="F131" s="12">
        <v>3608.1129974789087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-3608.1129974789087</v>
      </c>
      <c r="M131" s="3">
        <v>0</v>
      </c>
      <c r="N131" s="3">
        <v>0</v>
      </c>
      <c r="O131" s="99">
        <v>22</v>
      </c>
    </row>
    <row r="132" spans="2:15" ht="15" customHeight="1" x14ac:dyDescent="0.2">
      <c r="B132" s="97"/>
      <c r="C132" s="125">
        <v>0</v>
      </c>
      <c r="D132" s="126">
        <v>0</v>
      </c>
      <c r="E132" s="12">
        <v>-20418.957145440716</v>
      </c>
      <c r="F132" s="12">
        <v>0</v>
      </c>
      <c r="G132" s="3">
        <v>39389.411593071731</v>
      </c>
      <c r="H132" s="3">
        <v>0</v>
      </c>
      <c r="I132" s="3">
        <v>0</v>
      </c>
      <c r="J132" s="3">
        <v>0</v>
      </c>
      <c r="K132" s="3">
        <v>20418.957145440716</v>
      </c>
      <c r="L132" s="3">
        <v>0</v>
      </c>
      <c r="M132" s="3">
        <v>18804.616271434305</v>
      </c>
      <c r="N132" s="3">
        <v>0</v>
      </c>
      <c r="O132" s="99">
        <v>23</v>
      </c>
    </row>
    <row r="133" spans="2:15" ht="15" customHeight="1" x14ac:dyDescent="0.2">
      <c r="B133" s="114" t="s">
        <v>163</v>
      </c>
      <c r="C133" s="125">
        <v>0</v>
      </c>
      <c r="D133" s="126">
        <v>8266.5817905327731</v>
      </c>
      <c r="E133" s="12">
        <v>0</v>
      </c>
      <c r="F133" s="12">
        <v>0</v>
      </c>
      <c r="G133" s="3">
        <v>0</v>
      </c>
      <c r="H133" s="3">
        <v>15800.346887766511</v>
      </c>
      <c r="I133" s="3">
        <v>0</v>
      </c>
      <c r="J133" s="3">
        <v>-8266.5817905327731</v>
      </c>
      <c r="K133" s="3">
        <v>0</v>
      </c>
      <c r="L133" s="3">
        <v>0</v>
      </c>
      <c r="M133" s="3">
        <v>0</v>
      </c>
      <c r="N133" s="3">
        <v>8999.3984838318083</v>
      </c>
      <c r="O133" s="99">
        <v>24</v>
      </c>
    </row>
    <row r="134" spans="2:15" ht="15" customHeight="1" x14ac:dyDescent="0.2">
      <c r="B134" s="114"/>
      <c r="C134" s="125">
        <v>-733333.33333333337</v>
      </c>
      <c r="D134" s="126">
        <v>0</v>
      </c>
      <c r="E134" s="12">
        <v>0</v>
      </c>
      <c r="F134" s="12">
        <v>0</v>
      </c>
      <c r="G134" s="3">
        <v>0</v>
      </c>
      <c r="H134" s="3">
        <v>0</v>
      </c>
      <c r="I134" s="3">
        <v>733333.33333333337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104">
        <v>1</v>
      </c>
    </row>
    <row r="135" spans="2:15" ht="15" customHeight="1" x14ac:dyDescent="0.2">
      <c r="B135" s="97"/>
      <c r="C135" s="125">
        <v>0</v>
      </c>
      <c r="D135" s="126">
        <v>-5801.1100284440517</v>
      </c>
      <c r="E135" s="12">
        <v>0</v>
      </c>
      <c r="F135" s="12">
        <v>0</v>
      </c>
      <c r="G135" s="3">
        <v>0</v>
      </c>
      <c r="H135" s="3">
        <v>-8266.5817905327731</v>
      </c>
      <c r="I135" s="3">
        <v>0</v>
      </c>
      <c r="J135" s="3">
        <v>5801.1100284440517</v>
      </c>
      <c r="K135" s="3">
        <v>0</v>
      </c>
      <c r="L135" s="3">
        <v>0</v>
      </c>
      <c r="M135" s="3">
        <v>0</v>
      </c>
      <c r="N135" s="3">
        <v>-9136.7482947993813</v>
      </c>
      <c r="O135" s="104">
        <v>2</v>
      </c>
    </row>
    <row r="136" spans="2:15" ht="15" customHeight="1" x14ac:dyDescent="0.2">
      <c r="B136" s="97"/>
      <c r="C136" s="125">
        <v>0</v>
      </c>
      <c r="D136" s="126">
        <v>0</v>
      </c>
      <c r="E136" s="12">
        <v>-14329.092733642607</v>
      </c>
      <c r="F136" s="12">
        <v>0</v>
      </c>
      <c r="G136" s="3">
        <v>20418.957145440716</v>
      </c>
      <c r="H136" s="3">
        <v>0</v>
      </c>
      <c r="I136" s="3">
        <v>0</v>
      </c>
      <c r="J136" s="3">
        <v>0</v>
      </c>
      <c r="K136" s="3">
        <v>14329.092733642607</v>
      </c>
      <c r="L136" s="3">
        <v>0</v>
      </c>
      <c r="M136" s="3">
        <v>20418.957145440716</v>
      </c>
      <c r="N136" s="3">
        <v>0</v>
      </c>
      <c r="O136" s="104">
        <v>3</v>
      </c>
    </row>
    <row r="137" spans="2:15" ht="15" customHeight="1" x14ac:dyDescent="0.2">
      <c r="B137" s="97"/>
      <c r="C137" s="125">
        <v>0</v>
      </c>
      <c r="D137" s="126">
        <v>0</v>
      </c>
      <c r="E137" s="12">
        <v>0</v>
      </c>
      <c r="F137" s="12">
        <v>-3608.1129974789087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3608.1129974789087</v>
      </c>
      <c r="M137" s="3">
        <v>0</v>
      </c>
      <c r="N137" s="3">
        <v>0</v>
      </c>
      <c r="O137" s="104">
        <v>4</v>
      </c>
    </row>
    <row r="138" spans="2:15" ht="15" customHeight="1" x14ac:dyDescent="0.2">
      <c r="B138" s="97"/>
      <c r="C138" s="125">
        <v>0</v>
      </c>
      <c r="D138" s="126">
        <v>0</v>
      </c>
      <c r="E138" s="12">
        <v>-20418.957145440716</v>
      </c>
      <c r="F138" s="12">
        <v>0</v>
      </c>
      <c r="G138" s="3">
        <v>18804.616271434305</v>
      </c>
      <c r="H138" s="3">
        <v>0</v>
      </c>
      <c r="I138" s="3">
        <v>0</v>
      </c>
      <c r="J138" s="3">
        <v>0</v>
      </c>
      <c r="K138" s="3">
        <v>20418.957145440716</v>
      </c>
      <c r="L138" s="3">
        <v>0</v>
      </c>
      <c r="M138" s="3">
        <v>39389.411593071731</v>
      </c>
      <c r="N138" s="3">
        <v>0</v>
      </c>
      <c r="O138" s="104">
        <v>5</v>
      </c>
    </row>
    <row r="139" spans="2:15" ht="15" customHeight="1" x14ac:dyDescent="0.2">
      <c r="B139" s="97"/>
      <c r="C139" s="125">
        <v>0</v>
      </c>
      <c r="D139" s="126">
        <v>9136.7482947993813</v>
      </c>
      <c r="E139" s="12">
        <v>0</v>
      </c>
      <c r="F139" s="12">
        <v>0</v>
      </c>
      <c r="G139" s="3">
        <v>0</v>
      </c>
      <c r="H139" s="3">
        <v>8999.3984838318083</v>
      </c>
      <c r="I139" s="3">
        <v>0</v>
      </c>
      <c r="J139" s="3">
        <v>-9136.7482947993813</v>
      </c>
      <c r="K139" s="3">
        <v>0</v>
      </c>
      <c r="L139" s="3">
        <v>0</v>
      </c>
      <c r="M139" s="3">
        <v>0</v>
      </c>
      <c r="N139" s="3">
        <v>18410.846400566334</v>
      </c>
      <c r="O139" s="104">
        <v>6</v>
      </c>
    </row>
    <row r="140" spans="2:15" ht="15" customHeight="1" x14ac:dyDescent="0.2">
      <c r="B140" s="14"/>
    </row>
    <row r="141" spans="2:15" ht="15" customHeight="1" x14ac:dyDescent="0.25">
      <c r="B141" s="4"/>
      <c r="C141" s="100">
        <v>13</v>
      </c>
      <c r="D141" s="96">
        <v>14</v>
      </c>
      <c r="E141" s="101">
        <v>15</v>
      </c>
      <c r="F141" s="101">
        <v>16</v>
      </c>
      <c r="G141" s="101">
        <v>17</v>
      </c>
      <c r="H141" s="101">
        <v>18</v>
      </c>
      <c r="I141" s="102">
        <v>1</v>
      </c>
      <c r="J141" s="103">
        <v>2</v>
      </c>
      <c r="K141" s="103">
        <v>3</v>
      </c>
      <c r="L141" s="103">
        <v>4</v>
      </c>
      <c r="M141" s="103">
        <v>5</v>
      </c>
      <c r="N141" s="103">
        <v>6</v>
      </c>
      <c r="O141" s="44"/>
    </row>
    <row r="142" spans="2:15" ht="15" customHeight="1" x14ac:dyDescent="0.2">
      <c r="B142" s="97"/>
      <c r="C142" s="12" cm="1">
        <f t="array" ref="C142:N153">MMULT(MMULT(TRANSPOSE(P97:AA108),B97:M108),P97:AA108)</f>
        <v>880000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-880000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05">
        <v>13</v>
      </c>
    </row>
    <row r="143" spans="2:15" ht="15" customHeight="1" x14ac:dyDescent="0.25">
      <c r="B143" s="97"/>
      <c r="C143" s="12">
        <v>0</v>
      </c>
      <c r="D143" s="12">
        <v>18095.023062284305</v>
      </c>
      <c r="E143" s="12">
        <v>0</v>
      </c>
      <c r="F143" s="12">
        <v>0</v>
      </c>
      <c r="G143" s="12">
        <v>0</v>
      </c>
      <c r="H143" s="12">
        <v>25333.032287198028</v>
      </c>
      <c r="I143" s="12">
        <v>0</v>
      </c>
      <c r="J143" s="12">
        <v>-18095.023062284305</v>
      </c>
      <c r="K143" s="12">
        <v>0</v>
      </c>
      <c r="L143" s="12">
        <v>0</v>
      </c>
      <c r="M143" s="12">
        <v>0</v>
      </c>
      <c r="N143" s="12">
        <v>28952.03689965489</v>
      </c>
      <c r="O143" s="106">
        <v>14</v>
      </c>
    </row>
    <row r="144" spans="2:15" ht="15" customHeight="1" x14ac:dyDescent="0.25">
      <c r="B144" s="98"/>
      <c r="C144" s="12">
        <v>0</v>
      </c>
      <c r="D144" s="12">
        <v>0</v>
      </c>
      <c r="E144" s="12">
        <v>10450.992730464161</v>
      </c>
      <c r="F144" s="12">
        <v>0</v>
      </c>
      <c r="G144" s="12">
        <v>-14631.389822649824</v>
      </c>
      <c r="H144" s="12">
        <v>0</v>
      </c>
      <c r="I144" s="12">
        <v>0</v>
      </c>
      <c r="J144" s="12">
        <v>0</v>
      </c>
      <c r="K144" s="12">
        <v>-10450.992730464161</v>
      </c>
      <c r="L144" s="12">
        <v>0</v>
      </c>
      <c r="M144" s="12">
        <v>-14631.389822649824</v>
      </c>
      <c r="N144" s="12">
        <v>0</v>
      </c>
      <c r="O144" s="106">
        <v>15</v>
      </c>
    </row>
    <row r="145" spans="1:15" ht="15" customHeight="1" x14ac:dyDescent="0.25">
      <c r="B145" s="98"/>
      <c r="C145" s="12">
        <v>0</v>
      </c>
      <c r="D145" s="12">
        <v>0</v>
      </c>
      <c r="E145" s="12">
        <v>0</v>
      </c>
      <c r="F145" s="12">
        <v>5507.57666015625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-5507.57666015625</v>
      </c>
      <c r="M145" s="12">
        <v>0</v>
      </c>
      <c r="N145" s="12">
        <v>0</v>
      </c>
      <c r="O145" s="106">
        <v>16</v>
      </c>
    </row>
    <row r="146" spans="1:15" ht="15" customHeight="1" x14ac:dyDescent="0.25">
      <c r="B146" s="97"/>
      <c r="C146" s="12">
        <v>0</v>
      </c>
      <c r="D146" s="12">
        <v>0</v>
      </c>
      <c r="E146" s="12">
        <v>-14631.389822649824</v>
      </c>
      <c r="F146" s="12">
        <v>0</v>
      </c>
      <c r="G146" s="12">
        <v>27555.374323138323</v>
      </c>
      <c r="H146" s="12">
        <v>0</v>
      </c>
      <c r="I146" s="12">
        <v>0</v>
      </c>
      <c r="J146" s="12">
        <v>0</v>
      </c>
      <c r="K146" s="12">
        <v>14631.389822649824</v>
      </c>
      <c r="L146" s="12">
        <v>0</v>
      </c>
      <c r="M146" s="12">
        <v>13412.51718028118</v>
      </c>
      <c r="N146" s="12">
        <v>0</v>
      </c>
      <c r="O146" s="106">
        <v>17</v>
      </c>
    </row>
    <row r="147" spans="1:15" ht="15" customHeight="1" x14ac:dyDescent="0.25">
      <c r="B147" s="114" t="s">
        <v>164</v>
      </c>
      <c r="C147" s="12">
        <v>0</v>
      </c>
      <c r="D147" s="12">
        <v>25333.032287198028</v>
      </c>
      <c r="E147" s="12">
        <v>0</v>
      </c>
      <c r="F147" s="12">
        <v>0</v>
      </c>
      <c r="G147" s="12">
        <v>0</v>
      </c>
      <c r="H147" s="12">
        <v>48037.673773505805</v>
      </c>
      <c r="I147" s="12">
        <v>0</v>
      </c>
      <c r="J147" s="12">
        <v>-25333.032287198028</v>
      </c>
      <c r="K147" s="12">
        <v>0</v>
      </c>
      <c r="L147" s="12">
        <v>0</v>
      </c>
      <c r="M147" s="12">
        <v>0</v>
      </c>
      <c r="N147" s="12">
        <v>27961.423088088261</v>
      </c>
      <c r="O147" s="106">
        <v>18</v>
      </c>
    </row>
    <row r="148" spans="1:15" ht="15" customHeight="1" x14ac:dyDescent="0.2">
      <c r="B148" s="114"/>
      <c r="C148" s="12">
        <v>-880000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880000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07">
        <v>1</v>
      </c>
    </row>
    <row r="149" spans="1:15" ht="15" customHeight="1" x14ac:dyDescent="0.25">
      <c r="B149" s="97"/>
      <c r="C149" s="12">
        <v>0</v>
      </c>
      <c r="D149" s="12">
        <v>-18095.023062284305</v>
      </c>
      <c r="E149" s="12">
        <v>0</v>
      </c>
      <c r="F149" s="12">
        <v>0</v>
      </c>
      <c r="G149" s="12">
        <v>0</v>
      </c>
      <c r="H149" s="12">
        <v>-25333.032287198028</v>
      </c>
      <c r="I149" s="12">
        <v>0</v>
      </c>
      <c r="J149" s="12">
        <v>18095.023062284305</v>
      </c>
      <c r="K149" s="12">
        <v>0</v>
      </c>
      <c r="L149" s="12">
        <v>0</v>
      </c>
      <c r="M149" s="12">
        <v>0</v>
      </c>
      <c r="N149" s="12">
        <v>-28952.03689965489</v>
      </c>
      <c r="O149" s="108">
        <v>2</v>
      </c>
    </row>
    <row r="150" spans="1:15" ht="15" customHeight="1" x14ac:dyDescent="0.25">
      <c r="B150" s="97"/>
      <c r="C150" s="12">
        <v>0</v>
      </c>
      <c r="D150" s="12">
        <v>0</v>
      </c>
      <c r="E150" s="12">
        <v>-10450.992730464161</v>
      </c>
      <c r="F150" s="12">
        <v>0</v>
      </c>
      <c r="G150" s="12">
        <v>14631.389822649824</v>
      </c>
      <c r="H150" s="12">
        <v>0</v>
      </c>
      <c r="I150" s="12">
        <v>0</v>
      </c>
      <c r="J150" s="12">
        <v>0</v>
      </c>
      <c r="K150" s="12">
        <v>10450.992730464161</v>
      </c>
      <c r="L150" s="12">
        <v>0</v>
      </c>
      <c r="M150" s="12">
        <v>14631.389822649824</v>
      </c>
      <c r="N150" s="12">
        <v>0</v>
      </c>
      <c r="O150" s="108">
        <v>3</v>
      </c>
    </row>
    <row r="151" spans="1:15" ht="15" customHeight="1" x14ac:dyDescent="0.25">
      <c r="B151" s="97"/>
      <c r="C151" s="12">
        <v>0</v>
      </c>
      <c r="D151" s="12">
        <v>0</v>
      </c>
      <c r="E151" s="12">
        <v>0</v>
      </c>
      <c r="F151" s="12">
        <v>-5507.57666015625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5507.57666015625</v>
      </c>
      <c r="M151" s="12">
        <v>0</v>
      </c>
      <c r="N151" s="12">
        <v>0</v>
      </c>
      <c r="O151" s="108">
        <v>4</v>
      </c>
    </row>
    <row r="152" spans="1:15" ht="15" customHeight="1" x14ac:dyDescent="0.25">
      <c r="B152" s="97"/>
      <c r="C152" s="12">
        <v>0</v>
      </c>
      <c r="D152" s="12">
        <v>0</v>
      </c>
      <c r="E152" s="12">
        <v>-14631.389822649824</v>
      </c>
      <c r="F152" s="12">
        <v>0</v>
      </c>
      <c r="G152" s="12">
        <v>13412.51718028118</v>
      </c>
      <c r="H152" s="12">
        <v>0</v>
      </c>
      <c r="I152" s="12">
        <v>0</v>
      </c>
      <c r="J152" s="12">
        <v>0</v>
      </c>
      <c r="K152" s="12">
        <v>14631.389822649824</v>
      </c>
      <c r="L152" s="12">
        <v>0</v>
      </c>
      <c r="M152" s="12">
        <v>27555.374323138323</v>
      </c>
      <c r="N152" s="12">
        <v>0</v>
      </c>
      <c r="O152" s="108">
        <v>5</v>
      </c>
    </row>
    <row r="153" spans="1:15" ht="15" customHeight="1" x14ac:dyDescent="0.25">
      <c r="B153" s="97"/>
      <c r="C153" s="12">
        <v>0</v>
      </c>
      <c r="D153" s="12">
        <v>28952.03689965489</v>
      </c>
      <c r="E153" s="12">
        <v>0</v>
      </c>
      <c r="F153" s="12">
        <v>0</v>
      </c>
      <c r="G153" s="12">
        <v>0</v>
      </c>
      <c r="H153" s="12">
        <v>27961.423088088261</v>
      </c>
      <c r="I153" s="12">
        <v>0</v>
      </c>
      <c r="J153" s="12">
        <v>-28952.03689965489</v>
      </c>
      <c r="K153" s="12">
        <v>0</v>
      </c>
      <c r="L153" s="12">
        <v>0</v>
      </c>
      <c r="M153" s="12">
        <v>0</v>
      </c>
      <c r="N153" s="12">
        <v>58894.68761087639</v>
      </c>
      <c r="O153" s="108">
        <v>6</v>
      </c>
    </row>
    <row r="160" spans="1:15" ht="15.75" customHeight="1" x14ac:dyDescent="0.2">
      <c r="A160" s="32" t="s">
        <v>71</v>
      </c>
      <c r="B160" s="14"/>
      <c r="C160" s="14"/>
      <c r="E160" s="14"/>
      <c r="F160" s="14"/>
      <c r="G160" s="14"/>
      <c r="H160" s="14"/>
      <c r="J160" s="14"/>
      <c r="O160" s="32" t="s">
        <v>72</v>
      </c>
    </row>
    <row r="161" spans="1:55" ht="15.75" customHeight="1" x14ac:dyDescent="0.2">
      <c r="A161" s="14"/>
      <c r="B161" s="14"/>
      <c r="C161" s="14"/>
      <c r="E161" s="14"/>
      <c r="F161" s="14"/>
      <c r="G161" s="14"/>
      <c r="H161" s="14"/>
      <c r="I161" s="14"/>
      <c r="J161" s="14"/>
    </row>
    <row r="162" spans="1:55" ht="15" customHeight="1" x14ac:dyDescent="0.2">
      <c r="A162" s="4"/>
      <c r="B162" s="95">
        <v>1</v>
      </c>
      <c r="C162" s="95">
        <v>2</v>
      </c>
      <c r="D162" s="95">
        <v>3</v>
      </c>
      <c r="E162" s="95">
        <v>4</v>
      </c>
      <c r="F162" s="95">
        <v>5</v>
      </c>
      <c r="G162" s="95">
        <v>6</v>
      </c>
      <c r="H162" s="96">
        <v>7</v>
      </c>
      <c r="I162" s="96">
        <v>8</v>
      </c>
      <c r="J162" s="96">
        <v>9</v>
      </c>
      <c r="K162" s="96">
        <v>10</v>
      </c>
      <c r="L162" s="96">
        <v>11</v>
      </c>
      <c r="M162" s="96">
        <v>12</v>
      </c>
      <c r="N162" s="14"/>
      <c r="O162" s="4"/>
      <c r="Q162" s="95">
        <v>1</v>
      </c>
      <c r="R162" s="95">
        <v>2</v>
      </c>
      <c r="S162" s="95">
        <v>3</v>
      </c>
      <c r="T162" s="95">
        <v>4</v>
      </c>
      <c r="U162" s="95">
        <v>5</v>
      </c>
      <c r="V162" s="95">
        <v>6</v>
      </c>
      <c r="W162" s="96">
        <v>7</v>
      </c>
      <c r="X162" s="96">
        <v>8</v>
      </c>
      <c r="Y162" s="96">
        <v>9</v>
      </c>
      <c r="Z162" s="96">
        <v>10</v>
      </c>
      <c r="AA162" s="96">
        <v>11</v>
      </c>
      <c r="AB162" s="96">
        <v>12</v>
      </c>
      <c r="AC162" s="14"/>
    </row>
    <row r="163" spans="1:55" ht="15.75" customHeight="1" x14ac:dyDescent="0.2">
      <c r="A163" s="14"/>
      <c r="B163" s="45" cm="1">
        <f t="array" ref="B163:D163">+O46:Q46</f>
        <v>1</v>
      </c>
      <c r="C163" s="20">
        <v>0</v>
      </c>
      <c r="D163" s="127">
        <v>0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46">
        <v>0</v>
      </c>
      <c r="N163" s="95">
        <v>1</v>
      </c>
      <c r="O163" s="14"/>
      <c r="P163" s="95">
        <v>1</v>
      </c>
      <c r="Q163" s="34">
        <f t="array" ref="Q163:AB174">+MMULT(MMULT(TRANSPOSE(B163:M174),MMULT(MMULT(TRANSPOSE(P69:AA80),B69:M80),P69:AA80)),B163:M174)</f>
        <v>528000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-528000</v>
      </c>
      <c r="X163" s="13">
        <v>0</v>
      </c>
      <c r="Y163" s="13">
        <v>0</v>
      </c>
      <c r="Z163" s="13">
        <v>0</v>
      </c>
      <c r="AA163" s="13">
        <v>0</v>
      </c>
      <c r="AB163" s="39">
        <v>0</v>
      </c>
      <c r="AC163" s="95"/>
      <c r="AE163" s="47">
        <f t="array" ref="AE163:AP174">+MMULT(MMULT(TRANSPOSE(B163:M174),MMULT(MMULT(TRANSPOSE(P69:AA80),B69:M80),P69:AA80)),B163:M174)</f>
        <v>528000</v>
      </c>
      <c r="AF163" s="48">
        <v>0</v>
      </c>
      <c r="AG163" s="48">
        <v>0</v>
      </c>
      <c r="AH163" s="49">
        <v>0</v>
      </c>
      <c r="AI163" s="49">
        <v>0</v>
      </c>
      <c r="AJ163" s="49">
        <v>0</v>
      </c>
      <c r="AK163" s="49">
        <v>-528000</v>
      </c>
      <c r="AL163" s="49">
        <v>0</v>
      </c>
      <c r="AM163" s="49">
        <v>0</v>
      </c>
      <c r="AN163" s="49">
        <v>0</v>
      </c>
      <c r="AO163" s="49">
        <v>0</v>
      </c>
      <c r="AP163" s="50">
        <v>0</v>
      </c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</row>
    <row r="164" spans="1:55" ht="15.75" customHeight="1" x14ac:dyDescent="0.2">
      <c r="A164" s="14"/>
      <c r="B164" s="45" cm="1">
        <f t="array" ref="B164:D164">+M52:O52</f>
        <v>0</v>
      </c>
      <c r="C164" s="20">
        <v>1</v>
      </c>
      <c r="D164" s="127">
        <v>0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46">
        <v>0</v>
      </c>
      <c r="N164" s="95">
        <v>2</v>
      </c>
      <c r="O164" s="14"/>
      <c r="P164" s="95">
        <v>2</v>
      </c>
      <c r="Q164" s="34">
        <v>0</v>
      </c>
      <c r="R164" s="13">
        <v>3738.8035828534889</v>
      </c>
      <c r="S164" s="13">
        <v>0</v>
      </c>
      <c r="T164" s="13">
        <v>0</v>
      </c>
      <c r="U164" s="13">
        <v>0</v>
      </c>
      <c r="V164" s="13">
        <v>9720.8893154190719</v>
      </c>
      <c r="W164" s="13">
        <v>0</v>
      </c>
      <c r="X164" s="13">
        <v>-3738.8035828534889</v>
      </c>
      <c r="Y164" s="13">
        <v>0</v>
      </c>
      <c r="Z164" s="13">
        <v>0</v>
      </c>
      <c r="AA164" s="13">
        <v>0</v>
      </c>
      <c r="AB164" s="39">
        <v>8973.1285988483742</v>
      </c>
      <c r="AC164" s="95"/>
      <c r="AE164" s="51">
        <v>0</v>
      </c>
      <c r="AF164" s="48">
        <v>3738.8035828534889</v>
      </c>
      <c r="AG164" s="48">
        <v>0</v>
      </c>
      <c r="AH164" s="49">
        <v>0</v>
      </c>
      <c r="AI164" s="49">
        <v>0</v>
      </c>
      <c r="AJ164" s="49">
        <v>9720.8893154190719</v>
      </c>
      <c r="AK164" s="49">
        <v>0</v>
      </c>
      <c r="AL164" s="49">
        <v>-3738.8035828534889</v>
      </c>
      <c r="AM164" s="49">
        <v>0</v>
      </c>
      <c r="AN164" s="49">
        <v>0</v>
      </c>
      <c r="AO164" s="49">
        <v>0</v>
      </c>
      <c r="AP164" s="50">
        <v>8973.1285988483742</v>
      </c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</row>
    <row r="165" spans="1:55" ht="15.75" customHeight="1" x14ac:dyDescent="0.2">
      <c r="B165" s="45" cm="1">
        <f t="array" ref="B165:D165">+P52:R52</f>
        <v>0</v>
      </c>
      <c r="C165" s="20">
        <v>0</v>
      </c>
      <c r="D165" s="127">
        <v>1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46">
        <v>0</v>
      </c>
      <c r="N165" s="95">
        <v>3</v>
      </c>
      <c r="P165" s="95">
        <v>3</v>
      </c>
      <c r="Q165" s="34">
        <v>0</v>
      </c>
      <c r="R165" s="13">
        <v>0</v>
      </c>
      <c r="S165" s="13">
        <v>2122.6843443516168</v>
      </c>
      <c r="T165" s="13">
        <v>0</v>
      </c>
      <c r="U165" s="13">
        <v>-5094.4424264438812</v>
      </c>
      <c r="V165" s="13">
        <v>0</v>
      </c>
      <c r="W165" s="13">
        <v>0</v>
      </c>
      <c r="X165" s="13">
        <v>0</v>
      </c>
      <c r="Y165" s="13">
        <v>-2122.6843443516168</v>
      </c>
      <c r="Z165" s="13">
        <v>0</v>
      </c>
      <c r="AA165" s="13">
        <v>-5094.4424264438812</v>
      </c>
      <c r="AB165" s="39">
        <v>0</v>
      </c>
      <c r="AC165" s="95"/>
      <c r="AE165" s="51">
        <v>0</v>
      </c>
      <c r="AF165" s="48">
        <v>0</v>
      </c>
      <c r="AG165" s="52">
        <v>2122.6843443516168</v>
      </c>
      <c r="AH165" s="49">
        <v>0</v>
      </c>
      <c r="AI165" s="49">
        <v>-5094.4424264438812</v>
      </c>
      <c r="AJ165" s="49">
        <v>0</v>
      </c>
      <c r="AK165" s="49">
        <v>0</v>
      </c>
      <c r="AL165" s="49">
        <v>0</v>
      </c>
      <c r="AM165" s="49">
        <v>-2122.6843443516168</v>
      </c>
      <c r="AN165" s="49">
        <v>0</v>
      </c>
      <c r="AO165" s="49">
        <v>-5094.4424264438812</v>
      </c>
      <c r="AP165" s="50">
        <v>0</v>
      </c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</row>
    <row r="166" spans="1:55" ht="15.75" customHeight="1" x14ac:dyDescent="0.2">
      <c r="B166" s="55">
        <v>0</v>
      </c>
      <c r="C166" s="28">
        <v>0</v>
      </c>
      <c r="D166" s="19">
        <v>0</v>
      </c>
      <c r="E166" s="20" cm="1">
        <f t="array" ref="E166:G168">+B163:D165</f>
        <v>1</v>
      </c>
      <c r="F166" s="20">
        <v>0</v>
      </c>
      <c r="G166" s="20">
        <v>0</v>
      </c>
      <c r="H166" s="28">
        <v>0</v>
      </c>
      <c r="I166" s="28">
        <v>0</v>
      </c>
      <c r="J166" s="28">
        <v>0</v>
      </c>
      <c r="K166" s="28">
        <v>0</v>
      </c>
      <c r="L166" s="28">
        <v>0</v>
      </c>
      <c r="M166" s="46">
        <v>0</v>
      </c>
      <c r="N166" s="95">
        <v>4</v>
      </c>
      <c r="P166" s="95">
        <v>4</v>
      </c>
      <c r="Q166" s="34">
        <v>0</v>
      </c>
      <c r="R166" s="13">
        <v>0</v>
      </c>
      <c r="S166" s="13">
        <v>0</v>
      </c>
      <c r="T166" s="13">
        <v>3304.5459960937501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-3304.5459960937501</v>
      </c>
      <c r="AA166" s="13">
        <v>0</v>
      </c>
      <c r="AB166" s="39">
        <v>0</v>
      </c>
      <c r="AC166" s="95"/>
      <c r="AE166" s="53">
        <v>0</v>
      </c>
      <c r="AF166" s="49">
        <v>0</v>
      </c>
      <c r="AG166" s="49">
        <v>0</v>
      </c>
      <c r="AH166" s="52">
        <v>3304.5459960937501</v>
      </c>
      <c r="AI166" s="52">
        <v>0</v>
      </c>
      <c r="AJ166" s="52">
        <v>0</v>
      </c>
      <c r="AK166" s="49">
        <v>0</v>
      </c>
      <c r="AL166" s="49">
        <v>0</v>
      </c>
      <c r="AM166" s="49">
        <v>0</v>
      </c>
      <c r="AN166" s="49">
        <v>-3304.5459960937501</v>
      </c>
      <c r="AO166" s="49">
        <v>0</v>
      </c>
      <c r="AP166" s="50">
        <v>0</v>
      </c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</row>
    <row r="167" spans="1:55" ht="15.75" customHeight="1" x14ac:dyDescent="0.2">
      <c r="A167" s="14"/>
      <c r="B167" s="55">
        <v>0</v>
      </c>
      <c r="C167" s="28">
        <v>0</v>
      </c>
      <c r="D167" s="19">
        <v>0</v>
      </c>
      <c r="E167" s="20">
        <v>0</v>
      </c>
      <c r="F167" s="20">
        <v>1</v>
      </c>
      <c r="G167" s="20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46">
        <v>0</v>
      </c>
      <c r="N167" s="95">
        <v>5</v>
      </c>
      <c r="O167" s="14"/>
      <c r="P167" s="95">
        <v>5</v>
      </c>
      <c r="Q167" s="34">
        <v>0</v>
      </c>
      <c r="R167" s="13">
        <v>0</v>
      </c>
      <c r="S167" s="13">
        <v>-5094.4424264438812</v>
      </c>
      <c r="T167" s="13">
        <v>0</v>
      </c>
      <c r="U167" s="13">
        <v>16351.661823465311</v>
      </c>
      <c r="V167" s="13">
        <v>0</v>
      </c>
      <c r="W167" s="13">
        <v>0</v>
      </c>
      <c r="X167" s="13">
        <v>0</v>
      </c>
      <c r="Y167" s="13">
        <v>5094.4424264438812</v>
      </c>
      <c r="Z167" s="13">
        <v>0</v>
      </c>
      <c r="AA167" s="13">
        <v>8101.6618234653115</v>
      </c>
      <c r="AB167" s="39">
        <v>0</v>
      </c>
      <c r="AC167" s="95"/>
      <c r="AE167" s="53">
        <v>0</v>
      </c>
      <c r="AF167" s="49">
        <v>0</v>
      </c>
      <c r="AG167" s="49">
        <v>-5094.4424264438812</v>
      </c>
      <c r="AH167" s="52">
        <v>0</v>
      </c>
      <c r="AI167" s="52">
        <v>16351.661823465311</v>
      </c>
      <c r="AJ167" s="52">
        <v>0</v>
      </c>
      <c r="AK167" s="49">
        <v>0</v>
      </c>
      <c r="AL167" s="49">
        <v>0</v>
      </c>
      <c r="AM167" s="49">
        <v>5094.4424264438812</v>
      </c>
      <c r="AN167" s="49">
        <v>0</v>
      </c>
      <c r="AO167" s="49">
        <v>8101.6618234653115</v>
      </c>
      <c r="AP167" s="50">
        <v>0</v>
      </c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</row>
    <row r="168" spans="1:55" ht="15.75" customHeight="1" x14ac:dyDescent="0.2">
      <c r="A168" s="115" t="s">
        <v>73</v>
      </c>
      <c r="B168" s="55">
        <v>0</v>
      </c>
      <c r="C168" s="28">
        <v>0</v>
      </c>
      <c r="D168" s="19">
        <v>0</v>
      </c>
      <c r="E168" s="20">
        <v>0</v>
      </c>
      <c r="F168" s="20">
        <v>0</v>
      </c>
      <c r="G168" s="20">
        <v>1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46">
        <v>0</v>
      </c>
      <c r="N168" s="95">
        <v>6</v>
      </c>
      <c r="O168" s="115" t="s">
        <v>74</v>
      </c>
      <c r="P168" s="95">
        <v>6</v>
      </c>
      <c r="Q168" s="34">
        <v>0</v>
      </c>
      <c r="R168" s="13">
        <v>9720.8893154190719</v>
      </c>
      <c r="S168" s="13">
        <v>0</v>
      </c>
      <c r="T168" s="13">
        <v>0</v>
      </c>
      <c r="U168" s="13">
        <v>0</v>
      </c>
      <c r="V168" s="13">
        <v>32607.645553422924</v>
      </c>
      <c r="W168" s="13">
        <v>0</v>
      </c>
      <c r="X168" s="13">
        <v>-9720.8893154190719</v>
      </c>
      <c r="Y168" s="13">
        <v>0</v>
      </c>
      <c r="Z168" s="13">
        <v>0</v>
      </c>
      <c r="AA168" s="13">
        <v>0</v>
      </c>
      <c r="AB168" s="39">
        <v>15996.801023672433</v>
      </c>
      <c r="AC168" s="95"/>
      <c r="AE168" s="53">
        <v>0</v>
      </c>
      <c r="AF168" s="49">
        <v>9720.8893154190719</v>
      </c>
      <c r="AG168" s="49">
        <v>0</v>
      </c>
      <c r="AH168" s="52">
        <v>0</v>
      </c>
      <c r="AI168" s="52">
        <v>0</v>
      </c>
      <c r="AJ168" s="52">
        <v>32607.645553422924</v>
      </c>
      <c r="AK168" s="49">
        <v>0</v>
      </c>
      <c r="AL168" s="49">
        <v>-9720.8893154190719</v>
      </c>
      <c r="AM168" s="49">
        <v>0</v>
      </c>
      <c r="AN168" s="49">
        <v>0</v>
      </c>
      <c r="AO168" s="49">
        <v>0</v>
      </c>
      <c r="AP168" s="50">
        <v>15996.801023672433</v>
      </c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</row>
    <row r="169" spans="1:55" ht="15.75" customHeight="1" x14ac:dyDescent="0.2">
      <c r="A169" s="115"/>
      <c r="B169" s="55">
        <v>0</v>
      </c>
      <c r="C169" s="28">
        <v>0</v>
      </c>
      <c r="D169" s="19">
        <v>0</v>
      </c>
      <c r="E169" s="28">
        <v>0</v>
      </c>
      <c r="F169" s="28">
        <v>0</v>
      </c>
      <c r="G169" s="28">
        <v>0</v>
      </c>
      <c r="H169" s="20" cm="1">
        <f t="array" ref="H169:J171">+E166:G168</f>
        <v>1</v>
      </c>
      <c r="I169" s="20">
        <v>0</v>
      </c>
      <c r="J169" s="20">
        <v>0</v>
      </c>
      <c r="K169" s="28">
        <v>0</v>
      </c>
      <c r="L169" s="28">
        <v>0</v>
      </c>
      <c r="M169" s="46">
        <v>0</v>
      </c>
      <c r="N169" s="96">
        <v>7</v>
      </c>
      <c r="O169" s="115"/>
      <c r="P169" s="96">
        <v>7</v>
      </c>
      <c r="Q169" s="34">
        <v>-528000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528000</v>
      </c>
      <c r="X169" s="13">
        <v>0</v>
      </c>
      <c r="Y169" s="13">
        <v>0</v>
      </c>
      <c r="Z169" s="13">
        <v>0</v>
      </c>
      <c r="AA169" s="13">
        <v>0</v>
      </c>
      <c r="AB169" s="39">
        <v>0</v>
      </c>
      <c r="AC169" s="96"/>
      <c r="AE169" s="53">
        <v>-528000</v>
      </c>
      <c r="AF169" s="49">
        <v>0</v>
      </c>
      <c r="AG169" s="49">
        <v>0</v>
      </c>
      <c r="AH169" s="49">
        <v>0</v>
      </c>
      <c r="AI169" s="49">
        <v>0</v>
      </c>
      <c r="AJ169" s="49">
        <v>0</v>
      </c>
      <c r="AK169" s="49">
        <v>528000</v>
      </c>
      <c r="AL169" s="49">
        <v>0</v>
      </c>
      <c r="AM169" s="49">
        <v>0</v>
      </c>
      <c r="AN169" s="49">
        <v>0</v>
      </c>
      <c r="AO169" s="49">
        <v>0</v>
      </c>
      <c r="AP169" s="50">
        <v>0</v>
      </c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</row>
    <row r="170" spans="1:55" ht="15.75" customHeight="1" x14ac:dyDescent="0.2">
      <c r="A170" s="14"/>
      <c r="B170" s="55">
        <v>0</v>
      </c>
      <c r="C170" s="28">
        <v>0</v>
      </c>
      <c r="D170" s="19">
        <v>0</v>
      </c>
      <c r="E170" s="28">
        <v>0</v>
      </c>
      <c r="F170" s="28">
        <v>0</v>
      </c>
      <c r="G170" s="28">
        <v>0</v>
      </c>
      <c r="H170" s="20">
        <v>0</v>
      </c>
      <c r="I170" s="20">
        <v>1</v>
      </c>
      <c r="J170" s="20">
        <v>0</v>
      </c>
      <c r="K170" s="28">
        <v>0</v>
      </c>
      <c r="L170" s="28">
        <v>0</v>
      </c>
      <c r="M170" s="46">
        <v>0</v>
      </c>
      <c r="N170" s="96">
        <v>8</v>
      </c>
      <c r="O170" s="14"/>
      <c r="P170" s="96">
        <v>8</v>
      </c>
      <c r="Q170" s="34">
        <v>0</v>
      </c>
      <c r="R170" s="13">
        <v>-3738.8035828534889</v>
      </c>
      <c r="S170" s="13">
        <v>0</v>
      </c>
      <c r="T170" s="13">
        <v>0</v>
      </c>
      <c r="U170" s="13">
        <v>0</v>
      </c>
      <c r="V170" s="13">
        <v>-9720.8893154190719</v>
      </c>
      <c r="W170" s="13">
        <v>0</v>
      </c>
      <c r="X170" s="13">
        <v>3738.8035828534889</v>
      </c>
      <c r="Y170" s="13">
        <v>0</v>
      </c>
      <c r="Z170" s="13">
        <v>0</v>
      </c>
      <c r="AA170" s="13">
        <v>0</v>
      </c>
      <c r="AB170" s="39">
        <v>-8973.1285988483742</v>
      </c>
      <c r="AC170" s="96"/>
      <c r="AE170" s="53">
        <v>0</v>
      </c>
      <c r="AF170" s="49">
        <v>-3738.8035828534889</v>
      </c>
      <c r="AG170" s="49">
        <v>0</v>
      </c>
      <c r="AH170" s="49">
        <v>0</v>
      </c>
      <c r="AI170" s="49">
        <v>0</v>
      </c>
      <c r="AJ170" s="49">
        <v>-9720.8893154190719</v>
      </c>
      <c r="AK170" s="49">
        <v>0</v>
      </c>
      <c r="AL170" s="49">
        <v>3738.8035828534889</v>
      </c>
      <c r="AM170" s="49">
        <v>0</v>
      </c>
      <c r="AN170" s="49">
        <v>0</v>
      </c>
      <c r="AO170" s="49">
        <v>0</v>
      </c>
      <c r="AP170" s="50">
        <v>-8973.1285988483742</v>
      </c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</row>
    <row r="171" spans="1:55" ht="15.75" customHeight="1" x14ac:dyDescent="0.2">
      <c r="A171" s="14"/>
      <c r="B171" s="55">
        <v>0</v>
      </c>
      <c r="C171" s="28">
        <v>0</v>
      </c>
      <c r="D171" s="19">
        <v>0</v>
      </c>
      <c r="E171" s="28">
        <v>0</v>
      </c>
      <c r="F171" s="28">
        <v>0</v>
      </c>
      <c r="G171" s="28">
        <v>0</v>
      </c>
      <c r="H171" s="20">
        <v>0</v>
      </c>
      <c r="I171" s="20">
        <v>0</v>
      </c>
      <c r="J171" s="20">
        <v>1</v>
      </c>
      <c r="K171" s="28">
        <v>0</v>
      </c>
      <c r="L171" s="28">
        <v>0</v>
      </c>
      <c r="M171" s="46">
        <v>0</v>
      </c>
      <c r="N171" s="96">
        <v>9</v>
      </c>
      <c r="O171" s="14"/>
      <c r="P171" s="96">
        <v>9</v>
      </c>
      <c r="Q171" s="34">
        <v>0</v>
      </c>
      <c r="R171" s="13">
        <v>0</v>
      </c>
      <c r="S171" s="13">
        <v>-2122.6843443516168</v>
      </c>
      <c r="T171" s="13">
        <v>0</v>
      </c>
      <c r="U171" s="13">
        <v>5094.4424264438812</v>
      </c>
      <c r="V171" s="13">
        <v>0</v>
      </c>
      <c r="W171" s="13">
        <v>0</v>
      </c>
      <c r="X171" s="13">
        <v>0</v>
      </c>
      <c r="Y171" s="13">
        <v>2122.6843443516168</v>
      </c>
      <c r="Z171" s="13">
        <v>0</v>
      </c>
      <c r="AA171" s="13">
        <v>5094.4424264438812</v>
      </c>
      <c r="AB171" s="39">
        <v>0</v>
      </c>
      <c r="AC171" s="96"/>
      <c r="AE171" s="53">
        <v>0</v>
      </c>
      <c r="AF171" s="49">
        <v>0</v>
      </c>
      <c r="AG171" s="49">
        <v>-2122.6843443516168</v>
      </c>
      <c r="AH171" s="49">
        <v>0</v>
      </c>
      <c r="AI171" s="49">
        <v>5094.4424264438812</v>
      </c>
      <c r="AJ171" s="49">
        <v>0</v>
      </c>
      <c r="AK171" s="49">
        <v>0</v>
      </c>
      <c r="AL171" s="49">
        <v>0</v>
      </c>
      <c r="AM171" s="49">
        <v>2122.6843443516168</v>
      </c>
      <c r="AN171" s="49">
        <v>0</v>
      </c>
      <c r="AO171" s="49">
        <v>5094.4424264438812</v>
      </c>
      <c r="AP171" s="50">
        <v>0</v>
      </c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</row>
    <row r="172" spans="1:55" ht="15.75" customHeight="1" x14ac:dyDescent="0.2">
      <c r="A172" s="14"/>
      <c r="B172" s="55">
        <v>0</v>
      </c>
      <c r="C172" s="28">
        <v>0</v>
      </c>
      <c r="D172" s="19">
        <v>0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0" cm="1">
        <f t="array" ref="K172:M174">+H169:J171</f>
        <v>1</v>
      </c>
      <c r="L172" s="20">
        <v>0</v>
      </c>
      <c r="M172" s="56">
        <v>0</v>
      </c>
      <c r="N172" s="96">
        <v>10</v>
      </c>
      <c r="O172" s="14"/>
      <c r="P172" s="96">
        <v>10</v>
      </c>
      <c r="Q172" s="34">
        <v>0</v>
      </c>
      <c r="R172" s="13">
        <v>0</v>
      </c>
      <c r="S172" s="13">
        <v>0</v>
      </c>
      <c r="T172" s="13">
        <v>-3304.5459960937501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3304.5459960937501</v>
      </c>
      <c r="AA172" s="13">
        <v>0</v>
      </c>
      <c r="AB172" s="39">
        <v>0</v>
      </c>
      <c r="AC172" s="96"/>
      <c r="AE172" s="53">
        <v>0</v>
      </c>
      <c r="AF172" s="49">
        <v>0</v>
      </c>
      <c r="AG172" s="49">
        <v>0</v>
      </c>
      <c r="AH172" s="49">
        <v>-3304.5459960937501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3304.5459960937501</v>
      </c>
      <c r="AO172" s="49">
        <v>0</v>
      </c>
      <c r="AP172" s="50">
        <v>0</v>
      </c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</row>
    <row r="173" spans="1:55" ht="15.75" customHeight="1" x14ac:dyDescent="0.2">
      <c r="A173" s="14"/>
      <c r="B173" s="55">
        <v>0</v>
      </c>
      <c r="C173" s="28">
        <v>0</v>
      </c>
      <c r="D173" s="19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0">
        <v>0</v>
      </c>
      <c r="L173" s="20">
        <v>1</v>
      </c>
      <c r="M173" s="56">
        <v>0</v>
      </c>
      <c r="N173" s="96">
        <v>11</v>
      </c>
      <c r="O173" s="14"/>
      <c r="P173" s="96">
        <v>11</v>
      </c>
      <c r="Q173" s="34">
        <v>0</v>
      </c>
      <c r="R173" s="13">
        <v>0</v>
      </c>
      <c r="S173" s="13">
        <v>-5094.4424264438812</v>
      </c>
      <c r="T173" s="13">
        <v>0</v>
      </c>
      <c r="U173" s="13">
        <v>8101.6618234653115</v>
      </c>
      <c r="V173" s="13">
        <v>0</v>
      </c>
      <c r="W173" s="13">
        <v>0</v>
      </c>
      <c r="X173" s="13">
        <v>0</v>
      </c>
      <c r="Y173" s="13">
        <v>5094.4424264438812</v>
      </c>
      <c r="Z173" s="13">
        <v>0</v>
      </c>
      <c r="AA173" s="13">
        <v>16351.661823465311</v>
      </c>
      <c r="AB173" s="39">
        <v>0</v>
      </c>
      <c r="AC173" s="96"/>
      <c r="AE173" s="53">
        <v>0</v>
      </c>
      <c r="AF173" s="49">
        <v>0</v>
      </c>
      <c r="AG173" s="49">
        <v>-5094.4424264438812</v>
      </c>
      <c r="AH173" s="49">
        <v>0</v>
      </c>
      <c r="AI173" s="49">
        <v>8101.6618234653115</v>
      </c>
      <c r="AJ173" s="49">
        <v>0</v>
      </c>
      <c r="AK173" s="49">
        <v>0</v>
      </c>
      <c r="AL173" s="49">
        <v>0</v>
      </c>
      <c r="AM173" s="49">
        <v>5094.4424264438812</v>
      </c>
      <c r="AN173" s="49">
        <v>0</v>
      </c>
      <c r="AO173" s="49">
        <v>16351.661823465311</v>
      </c>
      <c r="AP173" s="50">
        <v>0</v>
      </c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</row>
    <row r="174" spans="1:55" ht="15.75" customHeight="1" x14ac:dyDescent="0.2">
      <c r="A174" s="14"/>
      <c r="B174" s="55">
        <v>0</v>
      </c>
      <c r="C174" s="28">
        <v>0</v>
      </c>
      <c r="D174" s="19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0">
        <v>0</v>
      </c>
      <c r="L174" s="20">
        <v>0</v>
      </c>
      <c r="M174" s="56">
        <v>1</v>
      </c>
      <c r="N174" s="96">
        <v>12</v>
      </c>
      <c r="O174" s="14"/>
      <c r="P174" s="96">
        <v>12</v>
      </c>
      <c r="Q174" s="34">
        <v>0</v>
      </c>
      <c r="R174" s="13">
        <v>8973.1285988483742</v>
      </c>
      <c r="S174" s="13">
        <v>0</v>
      </c>
      <c r="T174" s="13">
        <v>0</v>
      </c>
      <c r="U174" s="13">
        <v>0</v>
      </c>
      <c r="V174" s="13">
        <v>15996.801023672433</v>
      </c>
      <c r="W174" s="13">
        <v>0</v>
      </c>
      <c r="X174" s="13">
        <v>-8973.1285988483742</v>
      </c>
      <c r="Y174" s="13">
        <v>0</v>
      </c>
      <c r="Z174" s="13">
        <v>0</v>
      </c>
      <c r="AA174" s="13">
        <v>0</v>
      </c>
      <c r="AB174" s="39">
        <v>28868.841970569432</v>
      </c>
      <c r="AC174" s="96"/>
      <c r="AE174" s="53">
        <v>0</v>
      </c>
      <c r="AF174" s="49">
        <v>8973.1285988483742</v>
      </c>
      <c r="AG174" s="49">
        <v>0</v>
      </c>
      <c r="AH174" s="49">
        <v>0</v>
      </c>
      <c r="AI174" s="49">
        <v>0</v>
      </c>
      <c r="AJ174" s="49">
        <v>15996.801023672433</v>
      </c>
      <c r="AK174" s="49">
        <v>0</v>
      </c>
      <c r="AL174" s="49">
        <v>-8973.1285988483742</v>
      </c>
      <c r="AM174" s="49">
        <v>0</v>
      </c>
      <c r="AN174" s="49">
        <v>0</v>
      </c>
      <c r="AO174" s="49">
        <v>0</v>
      </c>
      <c r="AP174" s="50">
        <v>28868.841970569432</v>
      </c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</row>
    <row r="175" spans="1:55" ht="15.75" customHeight="1" x14ac:dyDescent="0.2">
      <c r="A175" s="14"/>
      <c r="B175" s="28"/>
      <c r="C175" s="28"/>
      <c r="D175" s="19"/>
      <c r="K175" s="28"/>
      <c r="L175" s="28"/>
      <c r="M175" s="15"/>
      <c r="N175" s="42"/>
    </row>
    <row r="176" spans="1:55" ht="15" customHeight="1" x14ac:dyDescent="0.2">
      <c r="A176" s="4"/>
      <c r="B176" s="96">
        <v>19</v>
      </c>
      <c r="C176" s="96">
        <v>20</v>
      </c>
      <c r="D176" s="96">
        <v>21</v>
      </c>
      <c r="E176" s="96">
        <v>22</v>
      </c>
      <c r="F176" s="96">
        <v>23</v>
      </c>
      <c r="G176" s="96">
        <v>24</v>
      </c>
      <c r="H176" s="95">
        <v>1</v>
      </c>
      <c r="I176" s="95">
        <v>2</v>
      </c>
      <c r="J176" s="95">
        <v>3</v>
      </c>
      <c r="K176" s="95">
        <v>4</v>
      </c>
      <c r="L176" s="95">
        <v>5</v>
      </c>
      <c r="M176" s="95">
        <v>6</v>
      </c>
      <c r="N176" s="44"/>
      <c r="O176" s="4"/>
      <c r="Q176" s="96">
        <v>19</v>
      </c>
      <c r="R176" s="96">
        <v>20</v>
      </c>
      <c r="S176" s="96">
        <v>21</v>
      </c>
      <c r="T176" s="96">
        <v>22</v>
      </c>
      <c r="U176" s="96">
        <v>23</v>
      </c>
      <c r="V176" s="96">
        <v>24</v>
      </c>
      <c r="W176" s="95">
        <v>1</v>
      </c>
      <c r="X176" s="95">
        <v>2</v>
      </c>
      <c r="Y176" s="95">
        <v>3</v>
      </c>
      <c r="Z176" s="95">
        <v>4</v>
      </c>
      <c r="AA176" s="95">
        <v>5</v>
      </c>
      <c r="AB176" s="95">
        <v>6</v>
      </c>
      <c r="AC176" s="14"/>
    </row>
    <row r="177" spans="1:61" ht="15.75" customHeight="1" x14ac:dyDescent="0.2">
      <c r="A177" s="14"/>
      <c r="B177" s="45" cm="1">
        <f t="array" ref="B177:D177">+O47:Q47</f>
        <v>0</v>
      </c>
      <c r="C177" s="20">
        <v>0</v>
      </c>
      <c r="D177" s="127">
        <v>1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46">
        <v>0</v>
      </c>
      <c r="N177" s="99">
        <v>19</v>
      </c>
      <c r="O177" s="14"/>
      <c r="P177" s="96">
        <v>19</v>
      </c>
      <c r="Q177" s="34">
        <f t="array" ref="Q177:AB188">+MMULT(MMULT(TRANSPOSE(B177:M188),MMULT(MMULT(TRANSPOSE(P83:AA94),B83:M94),P83:AA94)),B177:M188)</f>
        <v>14329.092733642607</v>
      </c>
      <c r="R177" s="13">
        <v>0</v>
      </c>
      <c r="S177" s="13">
        <v>0</v>
      </c>
      <c r="T177" s="13">
        <v>0</v>
      </c>
      <c r="U177" s="13">
        <v>20418.957145440716</v>
      </c>
      <c r="V177" s="13">
        <v>0</v>
      </c>
      <c r="W177" s="13">
        <v>-14329.092733642607</v>
      </c>
      <c r="X177" s="13">
        <v>0</v>
      </c>
      <c r="Y177" s="13">
        <v>0</v>
      </c>
      <c r="Z177" s="13">
        <v>0</v>
      </c>
      <c r="AA177" s="13">
        <v>20418.957145440716</v>
      </c>
      <c r="AB177" s="39">
        <v>0</v>
      </c>
      <c r="AE177" s="47">
        <f t="array" ref="AE177:AP188">+MMULT(MMULT(TRANSPOSE(B177:M188),MMULT(MMULT(TRANSPOSE(P83:AA94),B83:M94),P83:AA94)),B177:M188)</f>
        <v>14329.092733642607</v>
      </c>
      <c r="AF177" s="48">
        <v>0</v>
      </c>
      <c r="AG177" s="48">
        <v>0</v>
      </c>
      <c r="AH177" s="49">
        <v>0</v>
      </c>
      <c r="AI177" s="49">
        <v>20418.957145440716</v>
      </c>
      <c r="AJ177" s="49">
        <v>0</v>
      </c>
      <c r="AK177" s="49">
        <v>-14329.092733642607</v>
      </c>
      <c r="AL177" s="49">
        <v>0</v>
      </c>
      <c r="AM177" s="49">
        <v>0</v>
      </c>
      <c r="AN177" s="49">
        <v>0</v>
      </c>
      <c r="AO177" s="49">
        <v>20418.957145440716</v>
      </c>
      <c r="AP177" s="50">
        <v>0</v>
      </c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</row>
    <row r="178" spans="1:61" ht="15.75" customHeight="1" x14ac:dyDescent="0.2">
      <c r="A178" s="14"/>
      <c r="B178" s="45" cm="1">
        <f t="array" ref="B178:D178">+M53:O53</f>
        <v>0</v>
      </c>
      <c r="C178" s="20">
        <v>1</v>
      </c>
      <c r="D178" s="127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46">
        <v>0</v>
      </c>
      <c r="N178" s="96">
        <v>20</v>
      </c>
      <c r="O178" s="14"/>
      <c r="P178" s="96">
        <v>20</v>
      </c>
      <c r="Q178" s="34">
        <v>0</v>
      </c>
      <c r="R178" s="13">
        <v>5801.1100284440517</v>
      </c>
      <c r="S178" s="13">
        <v>0</v>
      </c>
      <c r="T178" s="13">
        <v>-8266.5817905327731</v>
      </c>
      <c r="U178" s="13">
        <v>0</v>
      </c>
      <c r="V178" s="13">
        <v>0</v>
      </c>
      <c r="W178" s="13">
        <v>0</v>
      </c>
      <c r="X178" s="13">
        <v>-5801.1100284440517</v>
      </c>
      <c r="Y178" s="13">
        <v>0</v>
      </c>
      <c r="Z178" s="13">
        <v>-9136.7482947993813</v>
      </c>
      <c r="AA178" s="13">
        <v>0</v>
      </c>
      <c r="AB178" s="39">
        <v>0</v>
      </c>
      <c r="AE178" s="51">
        <v>0</v>
      </c>
      <c r="AF178" s="48">
        <v>5801.1100284440517</v>
      </c>
      <c r="AG178" s="48">
        <v>0</v>
      </c>
      <c r="AH178" s="49">
        <v>-8266.5817905327731</v>
      </c>
      <c r="AI178" s="49">
        <v>0</v>
      </c>
      <c r="AJ178" s="49">
        <v>0</v>
      </c>
      <c r="AK178" s="49">
        <v>0</v>
      </c>
      <c r="AL178" s="49">
        <v>-5801.1100284440517</v>
      </c>
      <c r="AM178" s="49">
        <v>0</v>
      </c>
      <c r="AN178" s="49">
        <v>-9136.7482947993813</v>
      </c>
      <c r="AO178" s="49">
        <v>0</v>
      </c>
      <c r="AP178" s="50">
        <v>0</v>
      </c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</row>
    <row r="179" spans="1:61" ht="15.75" customHeight="1" x14ac:dyDescent="0.2">
      <c r="B179" s="45" cm="1">
        <f t="array" ref="B179:D179">+P53:R53</f>
        <v>-1</v>
      </c>
      <c r="C179" s="20">
        <v>0</v>
      </c>
      <c r="D179" s="127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46">
        <v>0</v>
      </c>
      <c r="N179" s="96">
        <v>21</v>
      </c>
      <c r="O179" s="12"/>
      <c r="P179" s="96">
        <v>21</v>
      </c>
      <c r="Q179" s="34">
        <v>0</v>
      </c>
      <c r="R179" s="13">
        <v>0</v>
      </c>
      <c r="S179" s="13">
        <v>733333.33333333337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-733333.33333333337</v>
      </c>
      <c r="Z179" s="13">
        <v>0</v>
      </c>
      <c r="AA179" s="13">
        <v>0</v>
      </c>
      <c r="AB179" s="39">
        <v>0</v>
      </c>
      <c r="AE179" s="51">
        <v>0</v>
      </c>
      <c r="AF179" s="48">
        <v>0</v>
      </c>
      <c r="AG179" s="52">
        <v>733333.33333333337</v>
      </c>
      <c r="AH179" s="49">
        <v>0</v>
      </c>
      <c r="AI179" s="49">
        <v>0</v>
      </c>
      <c r="AJ179" s="49">
        <v>0</v>
      </c>
      <c r="AK179" s="49">
        <v>0</v>
      </c>
      <c r="AL179" s="49">
        <v>0</v>
      </c>
      <c r="AM179" s="49">
        <v>-733333.33333333337</v>
      </c>
      <c r="AN179" s="49">
        <v>0</v>
      </c>
      <c r="AO179" s="49">
        <v>0</v>
      </c>
      <c r="AP179" s="50">
        <v>0</v>
      </c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</row>
    <row r="180" spans="1:61" ht="15.75" customHeight="1" x14ac:dyDescent="0.2">
      <c r="B180" s="55">
        <v>0</v>
      </c>
      <c r="C180" s="28">
        <v>0</v>
      </c>
      <c r="D180" s="19">
        <v>0</v>
      </c>
      <c r="E180" s="20" cm="1">
        <f t="array" ref="E180:G182">+B177:D179</f>
        <v>0</v>
      </c>
      <c r="F180" s="20">
        <v>0</v>
      </c>
      <c r="G180" s="20">
        <v>1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46">
        <v>0</v>
      </c>
      <c r="N180" s="96">
        <v>22</v>
      </c>
      <c r="O180" s="12"/>
      <c r="P180" s="96">
        <v>22</v>
      </c>
      <c r="Q180" s="34">
        <v>0</v>
      </c>
      <c r="R180" s="13">
        <v>-8266.5817905327731</v>
      </c>
      <c r="S180" s="13">
        <v>0</v>
      </c>
      <c r="T180" s="13">
        <v>15800.346887766511</v>
      </c>
      <c r="U180" s="13">
        <v>0</v>
      </c>
      <c r="V180" s="13">
        <v>0</v>
      </c>
      <c r="W180" s="13">
        <v>0</v>
      </c>
      <c r="X180" s="13">
        <v>8266.5817905327731</v>
      </c>
      <c r="Y180" s="13">
        <v>0</v>
      </c>
      <c r="Z180" s="13">
        <v>8999.3984838318083</v>
      </c>
      <c r="AA180" s="13">
        <v>0</v>
      </c>
      <c r="AB180" s="39">
        <v>0</v>
      </c>
      <c r="AE180" s="53">
        <v>0</v>
      </c>
      <c r="AF180" s="49">
        <v>-8266.5817905327731</v>
      </c>
      <c r="AG180" s="49">
        <v>0</v>
      </c>
      <c r="AH180" s="52">
        <v>15800.346887766511</v>
      </c>
      <c r="AI180" s="52">
        <v>0</v>
      </c>
      <c r="AJ180" s="52">
        <v>0</v>
      </c>
      <c r="AK180" s="49">
        <v>0</v>
      </c>
      <c r="AL180" s="49">
        <v>8266.5817905327731</v>
      </c>
      <c r="AM180" s="49">
        <v>0</v>
      </c>
      <c r="AN180" s="49">
        <v>8999.3984838318083</v>
      </c>
      <c r="AO180" s="49">
        <v>0</v>
      </c>
      <c r="AP180" s="50">
        <v>0</v>
      </c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</row>
    <row r="181" spans="1:61" ht="15.75" customHeight="1" x14ac:dyDescent="0.2">
      <c r="A181" s="14"/>
      <c r="B181" s="55">
        <v>0</v>
      </c>
      <c r="C181" s="28">
        <v>0</v>
      </c>
      <c r="D181" s="19">
        <v>0</v>
      </c>
      <c r="E181" s="20">
        <v>0</v>
      </c>
      <c r="F181" s="20">
        <v>1</v>
      </c>
      <c r="G181" s="20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46">
        <v>0</v>
      </c>
      <c r="N181" s="96">
        <v>23</v>
      </c>
      <c r="O181" s="14"/>
      <c r="P181" s="96">
        <v>23</v>
      </c>
      <c r="Q181" s="34">
        <v>20418.957145440716</v>
      </c>
      <c r="R181" s="13">
        <v>0</v>
      </c>
      <c r="S181" s="13">
        <v>0</v>
      </c>
      <c r="T181" s="13">
        <v>0</v>
      </c>
      <c r="U181" s="13">
        <v>39389.411593071731</v>
      </c>
      <c r="V181" s="13">
        <v>0</v>
      </c>
      <c r="W181" s="13">
        <v>-20418.957145440716</v>
      </c>
      <c r="X181" s="13">
        <v>0</v>
      </c>
      <c r="Y181" s="13">
        <v>0</v>
      </c>
      <c r="Z181" s="13">
        <v>0</v>
      </c>
      <c r="AA181" s="13">
        <v>18804.616271434305</v>
      </c>
      <c r="AB181" s="39">
        <v>0</v>
      </c>
      <c r="AE181" s="53">
        <v>20418.957145440716</v>
      </c>
      <c r="AF181" s="49">
        <v>0</v>
      </c>
      <c r="AG181" s="49">
        <v>0</v>
      </c>
      <c r="AH181" s="52">
        <v>0</v>
      </c>
      <c r="AI181" s="52">
        <v>39389.411593071731</v>
      </c>
      <c r="AJ181" s="52">
        <v>0</v>
      </c>
      <c r="AK181" s="49">
        <v>-20418.957145440716</v>
      </c>
      <c r="AL181" s="49">
        <v>0</v>
      </c>
      <c r="AM181" s="49">
        <v>0</v>
      </c>
      <c r="AN181" s="49">
        <v>0</v>
      </c>
      <c r="AO181" s="49">
        <v>18804.616271434305</v>
      </c>
      <c r="AP181" s="50">
        <v>0</v>
      </c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</row>
    <row r="182" spans="1:61" ht="15.75" customHeight="1" x14ac:dyDescent="0.2">
      <c r="A182" s="115" t="s">
        <v>75</v>
      </c>
      <c r="B182" s="55">
        <v>0</v>
      </c>
      <c r="C182" s="28">
        <v>0</v>
      </c>
      <c r="D182" s="19">
        <v>0</v>
      </c>
      <c r="E182" s="20">
        <v>-1</v>
      </c>
      <c r="F182" s="20">
        <v>0</v>
      </c>
      <c r="G182" s="20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46">
        <v>0</v>
      </c>
      <c r="N182" s="96">
        <v>24</v>
      </c>
      <c r="O182" s="115" t="s">
        <v>76</v>
      </c>
      <c r="P182" s="96">
        <v>24</v>
      </c>
      <c r="Q182" s="34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3608.1129974789087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39">
        <v>-3608.1129974789087</v>
      </c>
      <c r="AE182" s="53">
        <v>0</v>
      </c>
      <c r="AF182" s="49">
        <v>0</v>
      </c>
      <c r="AG182" s="49">
        <v>0</v>
      </c>
      <c r="AH182" s="52">
        <v>0</v>
      </c>
      <c r="AI182" s="52">
        <v>0</v>
      </c>
      <c r="AJ182" s="52">
        <v>3608.1129974789087</v>
      </c>
      <c r="AK182" s="49">
        <v>0</v>
      </c>
      <c r="AL182" s="49">
        <v>0</v>
      </c>
      <c r="AM182" s="49">
        <v>0</v>
      </c>
      <c r="AN182" s="49">
        <v>0</v>
      </c>
      <c r="AO182" s="49">
        <v>0</v>
      </c>
      <c r="AP182" s="50">
        <v>-3608.1129974789087</v>
      </c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</row>
    <row r="183" spans="1:61" ht="15.75" customHeight="1" x14ac:dyDescent="0.2">
      <c r="A183" s="115"/>
      <c r="B183" s="55">
        <v>0</v>
      </c>
      <c r="C183" s="28">
        <v>0</v>
      </c>
      <c r="D183" s="19">
        <v>0</v>
      </c>
      <c r="E183" s="28">
        <v>0</v>
      </c>
      <c r="F183" s="28">
        <v>0</v>
      </c>
      <c r="G183" s="28">
        <v>0</v>
      </c>
      <c r="H183" s="20" cm="1">
        <f t="array" ref="H183:J185">+E180:G182</f>
        <v>0</v>
      </c>
      <c r="I183" s="20">
        <v>0</v>
      </c>
      <c r="J183" s="20">
        <v>1</v>
      </c>
      <c r="K183" s="28">
        <v>0</v>
      </c>
      <c r="L183" s="28">
        <v>0</v>
      </c>
      <c r="M183" s="46">
        <v>0</v>
      </c>
      <c r="N183" s="95">
        <v>1</v>
      </c>
      <c r="O183" s="115"/>
      <c r="P183" s="95">
        <v>1</v>
      </c>
      <c r="Q183" s="34">
        <v>-14329.092733642607</v>
      </c>
      <c r="R183" s="13">
        <v>0</v>
      </c>
      <c r="S183" s="13">
        <v>0</v>
      </c>
      <c r="T183" s="13">
        <v>0</v>
      </c>
      <c r="U183" s="13">
        <v>-20418.957145440716</v>
      </c>
      <c r="V183" s="13">
        <v>0</v>
      </c>
      <c r="W183" s="13">
        <v>14329.092733642607</v>
      </c>
      <c r="X183" s="13">
        <v>0</v>
      </c>
      <c r="Y183" s="13">
        <v>0</v>
      </c>
      <c r="Z183" s="13">
        <v>0</v>
      </c>
      <c r="AA183" s="13">
        <v>-20418.957145440716</v>
      </c>
      <c r="AB183" s="39">
        <v>0</v>
      </c>
      <c r="AE183" s="53">
        <v>-14329.092733642607</v>
      </c>
      <c r="AF183" s="49">
        <v>0</v>
      </c>
      <c r="AG183" s="49">
        <v>0</v>
      </c>
      <c r="AH183" s="49">
        <v>0</v>
      </c>
      <c r="AI183" s="49">
        <v>-20418.957145440716</v>
      </c>
      <c r="AJ183" s="49">
        <v>0</v>
      </c>
      <c r="AK183" s="49">
        <v>14329.092733642607</v>
      </c>
      <c r="AL183" s="49">
        <v>0</v>
      </c>
      <c r="AM183" s="49">
        <v>0</v>
      </c>
      <c r="AN183" s="49">
        <v>0</v>
      </c>
      <c r="AO183" s="49">
        <v>-20418.957145440716</v>
      </c>
      <c r="AP183" s="50">
        <v>0</v>
      </c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</row>
    <row r="184" spans="1:61" ht="15.75" customHeight="1" x14ac:dyDescent="0.2">
      <c r="A184" s="14"/>
      <c r="B184" s="55">
        <v>0</v>
      </c>
      <c r="C184" s="28">
        <v>0</v>
      </c>
      <c r="D184" s="19">
        <v>0</v>
      </c>
      <c r="E184" s="28">
        <v>0</v>
      </c>
      <c r="F184" s="28">
        <v>0</v>
      </c>
      <c r="G184" s="28">
        <v>0</v>
      </c>
      <c r="H184" s="20">
        <v>0</v>
      </c>
      <c r="I184" s="20">
        <v>1</v>
      </c>
      <c r="J184" s="20">
        <v>0</v>
      </c>
      <c r="K184" s="28">
        <v>0</v>
      </c>
      <c r="L184" s="28">
        <v>0</v>
      </c>
      <c r="M184" s="46">
        <v>0</v>
      </c>
      <c r="N184" s="95">
        <v>2</v>
      </c>
      <c r="O184" s="14"/>
      <c r="P184" s="95">
        <v>2</v>
      </c>
      <c r="Q184" s="34">
        <v>0</v>
      </c>
      <c r="R184" s="13">
        <v>-5801.1100284440517</v>
      </c>
      <c r="S184" s="13">
        <v>0</v>
      </c>
      <c r="T184" s="13">
        <v>8266.5817905327731</v>
      </c>
      <c r="U184" s="13">
        <v>0</v>
      </c>
      <c r="V184" s="13">
        <v>0</v>
      </c>
      <c r="W184" s="13">
        <v>0</v>
      </c>
      <c r="X184" s="13">
        <v>5801.1100284440517</v>
      </c>
      <c r="Y184" s="13">
        <v>0</v>
      </c>
      <c r="Z184" s="13">
        <v>9136.7482947993813</v>
      </c>
      <c r="AA184" s="13">
        <v>0</v>
      </c>
      <c r="AB184" s="39">
        <v>0</v>
      </c>
      <c r="AE184" s="53">
        <v>0</v>
      </c>
      <c r="AF184" s="49">
        <v>-5801.1100284440517</v>
      </c>
      <c r="AG184" s="49">
        <v>0</v>
      </c>
      <c r="AH184" s="49">
        <v>8266.5817905327731</v>
      </c>
      <c r="AI184" s="49">
        <v>0</v>
      </c>
      <c r="AJ184" s="49">
        <v>0</v>
      </c>
      <c r="AK184" s="49">
        <v>0</v>
      </c>
      <c r="AL184" s="49">
        <v>5801.1100284440517</v>
      </c>
      <c r="AM184" s="49">
        <v>0</v>
      </c>
      <c r="AN184" s="49">
        <v>9136.7482947993813</v>
      </c>
      <c r="AO184" s="49">
        <v>0</v>
      </c>
      <c r="AP184" s="50">
        <v>0</v>
      </c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</row>
    <row r="185" spans="1:61" ht="15.75" customHeight="1" x14ac:dyDescent="0.2">
      <c r="A185" s="14"/>
      <c r="B185" s="55">
        <v>0</v>
      </c>
      <c r="C185" s="28">
        <v>0</v>
      </c>
      <c r="D185" s="19">
        <v>0</v>
      </c>
      <c r="E185" s="28">
        <v>0</v>
      </c>
      <c r="F185" s="28">
        <v>0</v>
      </c>
      <c r="G185" s="28">
        <v>0</v>
      </c>
      <c r="H185" s="20">
        <v>-1</v>
      </c>
      <c r="I185" s="20">
        <v>0</v>
      </c>
      <c r="J185" s="20">
        <v>0</v>
      </c>
      <c r="K185" s="28">
        <v>0</v>
      </c>
      <c r="L185" s="28">
        <v>0</v>
      </c>
      <c r="M185" s="46">
        <v>0</v>
      </c>
      <c r="N185" s="95">
        <v>3</v>
      </c>
      <c r="O185" s="14"/>
      <c r="P185" s="95">
        <v>3</v>
      </c>
      <c r="Q185" s="34">
        <v>0</v>
      </c>
      <c r="R185" s="13">
        <v>0</v>
      </c>
      <c r="S185" s="13">
        <v>-733333.33333333337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733333.33333333337</v>
      </c>
      <c r="Z185" s="13">
        <v>0</v>
      </c>
      <c r="AA185" s="13">
        <v>0</v>
      </c>
      <c r="AB185" s="39">
        <v>0</v>
      </c>
      <c r="AE185" s="53">
        <v>0</v>
      </c>
      <c r="AF185" s="49">
        <v>0</v>
      </c>
      <c r="AG185" s="49">
        <v>-733333.33333333337</v>
      </c>
      <c r="AH185" s="49">
        <v>0</v>
      </c>
      <c r="AI185" s="49">
        <v>0</v>
      </c>
      <c r="AJ185" s="49">
        <v>0</v>
      </c>
      <c r="AK185" s="49">
        <v>0</v>
      </c>
      <c r="AL185" s="49">
        <v>0</v>
      </c>
      <c r="AM185" s="49">
        <v>733333.33333333337</v>
      </c>
      <c r="AN185" s="49">
        <v>0</v>
      </c>
      <c r="AO185" s="49">
        <v>0</v>
      </c>
      <c r="AP185" s="50">
        <v>0</v>
      </c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</row>
    <row r="186" spans="1:61" ht="15.75" customHeight="1" x14ac:dyDescent="0.2">
      <c r="A186" s="14"/>
      <c r="B186" s="55">
        <v>0</v>
      </c>
      <c r="C186" s="28">
        <v>0</v>
      </c>
      <c r="D186" s="19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0" cm="1">
        <f t="array" ref="K186:M188">+H183:J185</f>
        <v>0</v>
      </c>
      <c r="L186" s="20">
        <v>0</v>
      </c>
      <c r="M186" s="56">
        <v>1</v>
      </c>
      <c r="N186" s="95">
        <v>4</v>
      </c>
      <c r="O186" s="14"/>
      <c r="P186" s="95">
        <v>4</v>
      </c>
      <c r="Q186" s="34">
        <v>0</v>
      </c>
      <c r="R186" s="13">
        <v>-9136.7482947993813</v>
      </c>
      <c r="S186" s="13">
        <v>0</v>
      </c>
      <c r="T186" s="13">
        <v>8999.3984838318083</v>
      </c>
      <c r="U186" s="13">
        <v>0</v>
      </c>
      <c r="V186" s="13">
        <v>0</v>
      </c>
      <c r="W186" s="13">
        <v>0</v>
      </c>
      <c r="X186" s="13">
        <v>9136.7482947993813</v>
      </c>
      <c r="Y186" s="13">
        <v>0</v>
      </c>
      <c r="Z186" s="13">
        <v>18410.846400566334</v>
      </c>
      <c r="AA186" s="13">
        <v>0</v>
      </c>
      <c r="AB186" s="39">
        <v>0</v>
      </c>
      <c r="AE186" s="53">
        <v>0</v>
      </c>
      <c r="AF186" s="49">
        <v>-9136.7482947993813</v>
      </c>
      <c r="AG186" s="49">
        <v>0</v>
      </c>
      <c r="AH186" s="49">
        <v>8999.3984838318083</v>
      </c>
      <c r="AI186" s="49">
        <v>0</v>
      </c>
      <c r="AJ186" s="49">
        <v>0</v>
      </c>
      <c r="AK186" s="49">
        <v>0</v>
      </c>
      <c r="AL186" s="49">
        <v>9136.7482947993813</v>
      </c>
      <c r="AM186" s="49">
        <v>0</v>
      </c>
      <c r="AN186" s="49">
        <v>18410.846400566334</v>
      </c>
      <c r="AO186" s="49">
        <v>0</v>
      </c>
      <c r="AP186" s="50">
        <v>0</v>
      </c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</row>
    <row r="187" spans="1:61" ht="15.75" customHeight="1" x14ac:dyDescent="0.2">
      <c r="A187" s="14"/>
      <c r="B187" s="55">
        <v>0</v>
      </c>
      <c r="C187" s="28">
        <v>0</v>
      </c>
      <c r="D187" s="19">
        <v>0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0">
        <v>0</v>
      </c>
      <c r="L187" s="20">
        <v>1</v>
      </c>
      <c r="M187" s="56">
        <v>0</v>
      </c>
      <c r="N187" s="95">
        <v>5</v>
      </c>
      <c r="O187" s="14"/>
      <c r="P187" s="95">
        <v>5</v>
      </c>
      <c r="Q187" s="34">
        <v>20418.957145440716</v>
      </c>
      <c r="R187" s="13">
        <v>0</v>
      </c>
      <c r="S187" s="13">
        <v>0</v>
      </c>
      <c r="T187" s="13">
        <v>0</v>
      </c>
      <c r="U187" s="13">
        <v>18804.616271434305</v>
      </c>
      <c r="V187" s="13">
        <v>0</v>
      </c>
      <c r="W187" s="13">
        <v>-20418.957145440716</v>
      </c>
      <c r="X187" s="13">
        <v>0</v>
      </c>
      <c r="Y187" s="13">
        <v>0</v>
      </c>
      <c r="Z187" s="13">
        <v>0</v>
      </c>
      <c r="AA187" s="13">
        <v>39389.411593071731</v>
      </c>
      <c r="AB187" s="39">
        <v>0</v>
      </c>
      <c r="AE187" s="53">
        <v>20418.957145440716</v>
      </c>
      <c r="AF187" s="49">
        <v>0</v>
      </c>
      <c r="AG187" s="49">
        <v>0</v>
      </c>
      <c r="AH187" s="49">
        <v>0</v>
      </c>
      <c r="AI187" s="49">
        <v>18804.616271434305</v>
      </c>
      <c r="AJ187" s="49">
        <v>0</v>
      </c>
      <c r="AK187" s="49">
        <v>-20418.957145440716</v>
      </c>
      <c r="AL187" s="49">
        <v>0</v>
      </c>
      <c r="AM187" s="49">
        <v>0</v>
      </c>
      <c r="AN187" s="49">
        <v>0</v>
      </c>
      <c r="AO187" s="49">
        <v>39389.411593071731</v>
      </c>
      <c r="AP187" s="50">
        <v>0</v>
      </c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</row>
    <row r="188" spans="1:61" ht="15.75" customHeight="1" x14ac:dyDescent="0.2">
      <c r="A188" s="14"/>
      <c r="B188" s="55">
        <v>0</v>
      </c>
      <c r="C188" s="28">
        <v>0</v>
      </c>
      <c r="D188" s="19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0">
        <v>-1</v>
      </c>
      <c r="L188" s="20">
        <v>0</v>
      </c>
      <c r="M188" s="56">
        <v>0</v>
      </c>
      <c r="N188" s="95">
        <v>6</v>
      </c>
      <c r="O188" s="14"/>
      <c r="P188" s="95">
        <v>6</v>
      </c>
      <c r="Q188" s="34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-3608.1129974789087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39">
        <v>3608.1129974789087</v>
      </c>
      <c r="AE188" s="53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-3608.1129974789087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50">
        <v>3608.1129974789087</v>
      </c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</row>
    <row r="189" spans="1:61" ht="15.75" customHeight="1" x14ac:dyDescent="0.2">
      <c r="N189" s="44"/>
      <c r="AB189" s="44"/>
      <c r="AD189" s="14"/>
      <c r="AE189" s="28"/>
      <c r="AF189" s="28"/>
      <c r="AG189" s="28"/>
      <c r="AH189" s="28"/>
      <c r="AI189" s="28"/>
      <c r="AJ189" s="28"/>
    </row>
    <row r="190" spans="1:61" ht="15" customHeight="1" x14ac:dyDescent="0.25">
      <c r="A190" s="4"/>
      <c r="B190" s="100">
        <v>13</v>
      </c>
      <c r="C190" s="101">
        <v>14</v>
      </c>
      <c r="D190" s="96">
        <v>15</v>
      </c>
      <c r="E190" s="101">
        <v>16</v>
      </c>
      <c r="F190" s="101">
        <v>17</v>
      </c>
      <c r="G190" s="101">
        <v>18</v>
      </c>
      <c r="H190" s="102">
        <v>1</v>
      </c>
      <c r="I190" s="103">
        <v>2</v>
      </c>
      <c r="J190" s="103">
        <v>3</v>
      </c>
      <c r="K190" s="103">
        <v>4</v>
      </c>
      <c r="L190" s="103">
        <v>5</v>
      </c>
      <c r="M190" s="103">
        <v>6</v>
      </c>
      <c r="N190" s="44"/>
      <c r="Q190" s="100">
        <v>13</v>
      </c>
      <c r="R190" s="101">
        <v>14</v>
      </c>
      <c r="S190" s="101">
        <v>15</v>
      </c>
      <c r="T190" s="101">
        <v>16</v>
      </c>
      <c r="U190" s="101">
        <v>17</v>
      </c>
      <c r="V190" s="101">
        <v>18</v>
      </c>
      <c r="W190" s="102">
        <v>1</v>
      </c>
      <c r="X190" s="103">
        <v>2</v>
      </c>
      <c r="Y190" s="103">
        <v>3</v>
      </c>
      <c r="Z190" s="103">
        <v>4</v>
      </c>
      <c r="AA190" s="103">
        <v>5</v>
      </c>
      <c r="AB190" s="103">
        <v>6</v>
      </c>
      <c r="AC190" s="44"/>
      <c r="AD190" s="4"/>
      <c r="AE190" s="33">
        <v>1</v>
      </c>
      <c r="AF190" s="33">
        <v>2</v>
      </c>
      <c r="AG190" s="33">
        <v>3</v>
      </c>
      <c r="AH190" s="33">
        <v>4</v>
      </c>
      <c r="AI190" s="33">
        <v>5</v>
      </c>
      <c r="AJ190" s="33">
        <v>6</v>
      </c>
      <c r="AK190" s="14"/>
    </row>
    <row r="191" spans="1:61" ht="15.75" customHeight="1" x14ac:dyDescent="0.2">
      <c r="A191" s="14"/>
      <c r="B191" s="45" cm="1">
        <f t="array" ref="B191:D191">+O48:Q48</f>
        <v>0</v>
      </c>
      <c r="C191" s="20">
        <v>1</v>
      </c>
      <c r="D191" s="127">
        <v>0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46">
        <v>0</v>
      </c>
      <c r="N191" s="100">
        <v>13</v>
      </c>
      <c r="O191" s="14"/>
      <c r="P191" s="100">
        <v>13</v>
      </c>
      <c r="Q191" s="34">
        <f t="array" ref="Q191:AB202">+MMULT(MMULT(TRANSPOSE(B191:M202),MMULT(MMULT(TRANSPOSE(P97:AA108),B97:M108),P97:AA108)),B191:M202)</f>
        <v>10450.992730464161</v>
      </c>
      <c r="R191" s="13">
        <v>0</v>
      </c>
      <c r="S191" s="13">
        <v>0</v>
      </c>
      <c r="T191" s="13">
        <v>0</v>
      </c>
      <c r="U191" s="13">
        <v>0</v>
      </c>
      <c r="V191" s="13">
        <v>14631.389822649824</v>
      </c>
      <c r="W191" s="13">
        <v>-10450.992730464161</v>
      </c>
      <c r="X191" s="13">
        <v>0</v>
      </c>
      <c r="Y191" s="13">
        <v>0</v>
      </c>
      <c r="Z191" s="13">
        <v>0</v>
      </c>
      <c r="AA191" s="13">
        <v>0</v>
      </c>
      <c r="AB191" s="39">
        <v>14631.389822649824</v>
      </c>
      <c r="AD191" s="14"/>
      <c r="AE191" s="47">
        <f t="array" ref="AE191:AP202">+MMULT(MMULT(TRANSPOSE(B191:M202),MMULT(MMULT(TRANSPOSE(P97:AA108),B97:M108),P97:AA108)),B191:M202)</f>
        <v>10450.992730464161</v>
      </c>
      <c r="AF191" s="48">
        <v>0</v>
      </c>
      <c r="AG191" s="48">
        <v>0</v>
      </c>
      <c r="AH191" s="49">
        <v>0</v>
      </c>
      <c r="AI191" s="49">
        <v>0</v>
      </c>
      <c r="AJ191" s="49">
        <v>14631.389822649824</v>
      </c>
      <c r="AK191" s="49">
        <v>-10450.992730464161</v>
      </c>
      <c r="AL191" s="49">
        <v>0</v>
      </c>
      <c r="AM191" s="49">
        <v>0</v>
      </c>
      <c r="AN191" s="49">
        <v>0</v>
      </c>
      <c r="AO191" s="49">
        <v>0</v>
      </c>
      <c r="AP191" s="50">
        <v>14631.389822649824</v>
      </c>
    </row>
    <row r="192" spans="1:61" ht="15.75" customHeight="1" x14ac:dyDescent="0.25">
      <c r="A192" s="14"/>
      <c r="B192" s="45" cm="1">
        <f t="array" ref="B192:D192">+M54:O54</f>
        <v>0</v>
      </c>
      <c r="C192" s="20">
        <v>0</v>
      </c>
      <c r="D192" s="127">
        <v>-1</v>
      </c>
      <c r="E192" s="28">
        <v>0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46">
        <v>0</v>
      </c>
      <c r="N192" s="101">
        <v>14</v>
      </c>
      <c r="O192" s="14"/>
      <c r="P192" s="101">
        <v>14</v>
      </c>
      <c r="Q192" s="34">
        <v>0</v>
      </c>
      <c r="R192" s="13">
        <v>880000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-880000</v>
      </c>
      <c r="Y192" s="13">
        <v>0</v>
      </c>
      <c r="Z192" s="13">
        <v>0</v>
      </c>
      <c r="AA192" s="13">
        <v>0</v>
      </c>
      <c r="AB192" s="39">
        <v>0</v>
      </c>
      <c r="AD192" s="14"/>
      <c r="AE192" s="51">
        <v>0</v>
      </c>
      <c r="AF192" s="48">
        <v>880000</v>
      </c>
      <c r="AG192" s="48">
        <v>0</v>
      </c>
      <c r="AH192" s="49">
        <v>0</v>
      </c>
      <c r="AI192" s="49">
        <v>0</v>
      </c>
      <c r="AJ192" s="49">
        <v>0</v>
      </c>
      <c r="AK192" s="49">
        <v>0</v>
      </c>
      <c r="AL192" s="49">
        <v>-880000</v>
      </c>
      <c r="AM192" s="49">
        <v>0</v>
      </c>
      <c r="AN192" s="49">
        <v>0</v>
      </c>
      <c r="AO192" s="49">
        <v>0</v>
      </c>
      <c r="AP192" s="50">
        <v>0</v>
      </c>
    </row>
    <row r="193" spans="1:42" ht="15.75" customHeight="1" x14ac:dyDescent="0.25">
      <c r="B193" s="45" cm="1">
        <f t="array" ref="B193:D193">+P54:R54</f>
        <v>1</v>
      </c>
      <c r="C193" s="20">
        <v>0</v>
      </c>
      <c r="D193" s="127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46">
        <v>0</v>
      </c>
      <c r="N193" s="101">
        <v>15</v>
      </c>
      <c r="O193" s="12"/>
      <c r="P193" s="101">
        <v>15</v>
      </c>
      <c r="Q193" s="34">
        <v>0</v>
      </c>
      <c r="R193" s="13">
        <v>0</v>
      </c>
      <c r="S193" s="13">
        <v>18095.023062284305</v>
      </c>
      <c r="T193" s="13">
        <v>-25333.032287198028</v>
      </c>
      <c r="U193" s="13">
        <v>0</v>
      </c>
      <c r="V193" s="13">
        <v>0</v>
      </c>
      <c r="W193" s="13">
        <v>0</v>
      </c>
      <c r="X193" s="13">
        <v>0</v>
      </c>
      <c r="Y193" s="13">
        <v>-18095.023062284305</v>
      </c>
      <c r="Z193" s="13">
        <v>-28952.03689965489</v>
      </c>
      <c r="AA193" s="13">
        <v>0</v>
      </c>
      <c r="AB193" s="39">
        <v>0</v>
      </c>
      <c r="AE193" s="51">
        <v>0</v>
      </c>
      <c r="AF193" s="48">
        <v>0</v>
      </c>
      <c r="AG193" s="52">
        <v>18095.023062284305</v>
      </c>
      <c r="AH193" s="49">
        <v>-25333.032287198028</v>
      </c>
      <c r="AI193" s="49">
        <v>0</v>
      </c>
      <c r="AJ193" s="49">
        <v>0</v>
      </c>
      <c r="AK193" s="49">
        <v>0</v>
      </c>
      <c r="AL193" s="49">
        <v>0</v>
      </c>
      <c r="AM193" s="49">
        <v>-18095.023062284305</v>
      </c>
      <c r="AN193" s="49">
        <v>-28952.03689965489</v>
      </c>
      <c r="AO193" s="49">
        <v>0</v>
      </c>
      <c r="AP193" s="50">
        <v>0</v>
      </c>
    </row>
    <row r="194" spans="1:42" ht="15.75" customHeight="1" x14ac:dyDescent="0.25">
      <c r="B194" s="55">
        <v>0</v>
      </c>
      <c r="C194" s="28">
        <v>0</v>
      </c>
      <c r="D194" s="19">
        <v>0</v>
      </c>
      <c r="E194" s="20" cm="1">
        <f t="array" ref="E194:G196">+B191:D193</f>
        <v>0</v>
      </c>
      <c r="F194" s="20">
        <v>1</v>
      </c>
      <c r="G194" s="20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46">
        <v>0</v>
      </c>
      <c r="N194" s="101">
        <v>16</v>
      </c>
      <c r="O194" s="12"/>
      <c r="P194" s="101">
        <v>16</v>
      </c>
      <c r="Q194" s="34">
        <v>0</v>
      </c>
      <c r="R194" s="13">
        <v>0</v>
      </c>
      <c r="S194" s="13">
        <v>-25333.032287198028</v>
      </c>
      <c r="T194" s="13">
        <v>48037.673773505805</v>
      </c>
      <c r="U194" s="13">
        <v>0</v>
      </c>
      <c r="V194" s="13">
        <v>0</v>
      </c>
      <c r="W194" s="13">
        <v>0</v>
      </c>
      <c r="X194" s="13">
        <v>0</v>
      </c>
      <c r="Y194" s="13">
        <v>25333.032287198028</v>
      </c>
      <c r="Z194" s="13">
        <v>27961.423088088261</v>
      </c>
      <c r="AA194" s="13">
        <v>0</v>
      </c>
      <c r="AB194" s="39">
        <v>0</v>
      </c>
      <c r="AE194" s="53">
        <v>0</v>
      </c>
      <c r="AF194" s="49">
        <v>0</v>
      </c>
      <c r="AG194" s="49">
        <v>-25333.032287198028</v>
      </c>
      <c r="AH194" s="52">
        <v>48037.673773505805</v>
      </c>
      <c r="AI194" s="52">
        <v>0</v>
      </c>
      <c r="AJ194" s="52">
        <v>0</v>
      </c>
      <c r="AK194" s="49">
        <v>0</v>
      </c>
      <c r="AL194" s="49">
        <v>0</v>
      </c>
      <c r="AM194" s="49">
        <v>25333.032287198028</v>
      </c>
      <c r="AN194" s="49">
        <v>27961.423088088261</v>
      </c>
      <c r="AO194" s="49">
        <v>0</v>
      </c>
      <c r="AP194" s="50">
        <v>0</v>
      </c>
    </row>
    <row r="195" spans="1:42" ht="15.75" customHeight="1" x14ac:dyDescent="0.25">
      <c r="A195" s="14"/>
      <c r="B195" s="55">
        <v>0</v>
      </c>
      <c r="C195" s="28">
        <v>0</v>
      </c>
      <c r="D195" s="19">
        <v>0</v>
      </c>
      <c r="E195" s="20">
        <v>0</v>
      </c>
      <c r="F195" s="20">
        <v>0</v>
      </c>
      <c r="G195" s="20">
        <v>-1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46">
        <v>0</v>
      </c>
      <c r="N195" s="101">
        <v>17</v>
      </c>
      <c r="O195" s="14"/>
      <c r="P195" s="101">
        <v>17</v>
      </c>
      <c r="Q195" s="34">
        <v>0</v>
      </c>
      <c r="R195" s="13">
        <v>0</v>
      </c>
      <c r="S195" s="13">
        <v>0</v>
      </c>
      <c r="T195" s="13">
        <v>0</v>
      </c>
      <c r="U195" s="13">
        <v>5507.57666015625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-5507.57666015625</v>
      </c>
      <c r="AB195" s="39">
        <v>0</v>
      </c>
      <c r="AD195" s="14"/>
      <c r="AE195" s="53">
        <v>0</v>
      </c>
      <c r="AF195" s="49">
        <v>0</v>
      </c>
      <c r="AG195" s="49">
        <v>0</v>
      </c>
      <c r="AH195" s="52">
        <v>0</v>
      </c>
      <c r="AI195" s="52">
        <v>5507.57666015625</v>
      </c>
      <c r="AJ195" s="52">
        <v>0</v>
      </c>
      <c r="AK195" s="49">
        <v>0</v>
      </c>
      <c r="AL195" s="49">
        <v>0</v>
      </c>
      <c r="AM195" s="49">
        <v>0</v>
      </c>
      <c r="AN195" s="49">
        <v>0</v>
      </c>
      <c r="AO195" s="49">
        <v>-5507.57666015625</v>
      </c>
      <c r="AP195" s="50">
        <v>0</v>
      </c>
    </row>
    <row r="196" spans="1:42" ht="15.75" customHeight="1" x14ac:dyDescent="0.25">
      <c r="A196" s="115" t="s">
        <v>77</v>
      </c>
      <c r="B196" s="55">
        <v>0</v>
      </c>
      <c r="C196" s="28">
        <v>0</v>
      </c>
      <c r="D196" s="19">
        <v>0</v>
      </c>
      <c r="E196" s="20">
        <v>1</v>
      </c>
      <c r="F196" s="20">
        <v>0</v>
      </c>
      <c r="G196" s="20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46">
        <v>0</v>
      </c>
      <c r="N196" s="101">
        <v>18</v>
      </c>
      <c r="O196" s="115" t="s">
        <v>76</v>
      </c>
      <c r="P196" s="101">
        <v>18</v>
      </c>
      <c r="Q196" s="34">
        <v>14631.389822649824</v>
      </c>
      <c r="R196" s="13">
        <v>0</v>
      </c>
      <c r="S196" s="13">
        <v>0</v>
      </c>
      <c r="T196" s="13">
        <v>0</v>
      </c>
      <c r="U196" s="13">
        <v>0</v>
      </c>
      <c r="V196" s="13">
        <v>27555.374323138323</v>
      </c>
      <c r="W196" s="13">
        <v>-14631.389822649824</v>
      </c>
      <c r="X196" s="13">
        <v>0</v>
      </c>
      <c r="Y196" s="13">
        <v>0</v>
      </c>
      <c r="Z196" s="13">
        <v>0</v>
      </c>
      <c r="AA196" s="13">
        <v>0</v>
      </c>
      <c r="AB196" s="39">
        <v>13412.51718028118</v>
      </c>
      <c r="AD196" s="115" t="s">
        <v>78</v>
      </c>
      <c r="AE196" s="53">
        <v>14631.389822649824</v>
      </c>
      <c r="AF196" s="49">
        <v>0</v>
      </c>
      <c r="AG196" s="49">
        <v>0</v>
      </c>
      <c r="AH196" s="52">
        <v>0</v>
      </c>
      <c r="AI196" s="52">
        <v>0</v>
      </c>
      <c r="AJ196" s="52">
        <v>27555.374323138323</v>
      </c>
      <c r="AK196" s="49">
        <v>-14631.389822649824</v>
      </c>
      <c r="AL196" s="49">
        <v>0</v>
      </c>
      <c r="AM196" s="49">
        <v>0</v>
      </c>
      <c r="AN196" s="49">
        <v>0</v>
      </c>
      <c r="AO196" s="49">
        <v>0</v>
      </c>
      <c r="AP196" s="50">
        <v>13412.51718028118</v>
      </c>
    </row>
    <row r="197" spans="1:42" ht="15.75" customHeight="1" x14ac:dyDescent="0.2">
      <c r="A197" s="115"/>
      <c r="B197" s="55">
        <v>0</v>
      </c>
      <c r="C197" s="28">
        <v>0</v>
      </c>
      <c r="D197" s="19">
        <v>0</v>
      </c>
      <c r="E197" s="28">
        <v>0</v>
      </c>
      <c r="F197" s="28">
        <v>0</v>
      </c>
      <c r="G197" s="28">
        <v>0</v>
      </c>
      <c r="H197" s="20" cm="1">
        <f t="array" ref="H197:J199">+E194:G196</f>
        <v>0</v>
      </c>
      <c r="I197" s="20">
        <v>1</v>
      </c>
      <c r="J197" s="20">
        <v>0</v>
      </c>
      <c r="K197" s="28">
        <v>0</v>
      </c>
      <c r="L197" s="28">
        <v>0</v>
      </c>
      <c r="M197" s="46">
        <v>0</v>
      </c>
      <c r="N197" s="102">
        <v>1</v>
      </c>
      <c r="O197" s="115"/>
      <c r="P197" s="102">
        <v>1</v>
      </c>
      <c r="Q197" s="34">
        <v>-10450.992730464161</v>
      </c>
      <c r="R197" s="13">
        <v>0</v>
      </c>
      <c r="S197" s="13">
        <v>0</v>
      </c>
      <c r="T197" s="13">
        <v>0</v>
      </c>
      <c r="U197" s="13">
        <v>0</v>
      </c>
      <c r="V197" s="13">
        <v>-14631.389822649824</v>
      </c>
      <c r="W197" s="13">
        <v>10450.992730464161</v>
      </c>
      <c r="X197" s="13">
        <v>0</v>
      </c>
      <c r="Y197" s="13">
        <v>0</v>
      </c>
      <c r="Z197" s="13">
        <v>0</v>
      </c>
      <c r="AA197" s="13">
        <v>0</v>
      </c>
      <c r="AB197" s="39">
        <v>-14631.389822649824</v>
      </c>
      <c r="AD197" s="115"/>
      <c r="AE197" s="53">
        <v>-10450.992730464161</v>
      </c>
      <c r="AF197" s="49">
        <v>0</v>
      </c>
      <c r="AG197" s="49">
        <v>0</v>
      </c>
      <c r="AH197" s="49">
        <v>0</v>
      </c>
      <c r="AI197" s="49">
        <v>0</v>
      </c>
      <c r="AJ197" s="49">
        <v>-14631.389822649824</v>
      </c>
      <c r="AK197" s="49">
        <v>10450.992730464161</v>
      </c>
      <c r="AL197" s="49">
        <v>0</v>
      </c>
      <c r="AM197" s="49">
        <v>0</v>
      </c>
      <c r="AN197" s="49">
        <v>0</v>
      </c>
      <c r="AO197" s="49">
        <v>0</v>
      </c>
      <c r="AP197" s="50">
        <v>-14631.389822649824</v>
      </c>
    </row>
    <row r="198" spans="1:42" ht="15.75" customHeight="1" x14ac:dyDescent="0.25">
      <c r="A198" s="14"/>
      <c r="B198" s="55">
        <v>0</v>
      </c>
      <c r="C198" s="28">
        <v>0</v>
      </c>
      <c r="D198" s="19">
        <v>0</v>
      </c>
      <c r="E198" s="28">
        <v>0</v>
      </c>
      <c r="F198" s="28">
        <v>0</v>
      </c>
      <c r="G198" s="28">
        <v>0</v>
      </c>
      <c r="H198" s="20">
        <v>0</v>
      </c>
      <c r="I198" s="20">
        <v>0</v>
      </c>
      <c r="J198" s="20">
        <v>-1</v>
      </c>
      <c r="K198" s="28">
        <v>0</v>
      </c>
      <c r="L198" s="28">
        <v>0</v>
      </c>
      <c r="M198" s="46">
        <v>0</v>
      </c>
      <c r="N198" s="103">
        <v>2</v>
      </c>
      <c r="O198" s="14"/>
      <c r="P198" s="103">
        <v>2</v>
      </c>
      <c r="Q198" s="34">
        <v>0</v>
      </c>
      <c r="R198" s="13">
        <v>-880000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880000</v>
      </c>
      <c r="Y198" s="13">
        <v>0</v>
      </c>
      <c r="Z198" s="13">
        <v>0</v>
      </c>
      <c r="AA198" s="13">
        <v>0</v>
      </c>
      <c r="AB198" s="39">
        <v>0</v>
      </c>
      <c r="AE198" s="53">
        <v>0</v>
      </c>
      <c r="AF198" s="49">
        <v>-880000</v>
      </c>
      <c r="AG198" s="49">
        <v>0</v>
      </c>
      <c r="AH198" s="49">
        <v>0</v>
      </c>
      <c r="AI198" s="49">
        <v>0</v>
      </c>
      <c r="AJ198" s="49">
        <v>0</v>
      </c>
      <c r="AK198" s="49">
        <v>0</v>
      </c>
      <c r="AL198" s="49">
        <v>880000</v>
      </c>
      <c r="AM198" s="49">
        <v>0</v>
      </c>
      <c r="AN198" s="49">
        <v>0</v>
      </c>
      <c r="AO198" s="49">
        <v>0</v>
      </c>
      <c r="AP198" s="50">
        <v>0</v>
      </c>
    </row>
    <row r="199" spans="1:42" ht="15.75" customHeight="1" x14ac:dyDescent="0.25">
      <c r="A199" s="14"/>
      <c r="B199" s="55">
        <v>0</v>
      </c>
      <c r="C199" s="28">
        <v>0</v>
      </c>
      <c r="D199" s="19">
        <v>0</v>
      </c>
      <c r="E199" s="28">
        <v>0</v>
      </c>
      <c r="F199" s="28">
        <v>0</v>
      </c>
      <c r="G199" s="28">
        <v>0</v>
      </c>
      <c r="H199" s="20">
        <v>1</v>
      </c>
      <c r="I199" s="20">
        <v>0</v>
      </c>
      <c r="J199" s="20">
        <v>0</v>
      </c>
      <c r="K199" s="28">
        <v>0</v>
      </c>
      <c r="L199" s="28">
        <v>0</v>
      </c>
      <c r="M199" s="46">
        <v>0</v>
      </c>
      <c r="N199" s="103">
        <v>3</v>
      </c>
      <c r="O199" s="14"/>
      <c r="P199" s="103">
        <v>3</v>
      </c>
      <c r="Q199" s="34">
        <v>0</v>
      </c>
      <c r="R199" s="13">
        <v>0</v>
      </c>
      <c r="S199" s="13">
        <v>-18095.023062284305</v>
      </c>
      <c r="T199" s="13">
        <v>25333.032287198028</v>
      </c>
      <c r="U199" s="13">
        <v>0</v>
      </c>
      <c r="V199" s="13">
        <v>0</v>
      </c>
      <c r="W199" s="13">
        <v>0</v>
      </c>
      <c r="X199" s="13">
        <v>0</v>
      </c>
      <c r="Y199" s="13">
        <v>18095.023062284305</v>
      </c>
      <c r="Z199" s="13">
        <v>28952.03689965489</v>
      </c>
      <c r="AA199" s="13">
        <v>0</v>
      </c>
      <c r="AB199" s="39">
        <v>0</v>
      </c>
      <c r="AE199" s="53">
        <v>0</v>
      </c>
      <c r="AF199" s="49">
        <v>0</v>
      </c>
      <c r="AG199" s="49">
        <v>-18095.023062284305</v>
      </c>
      <c r="AH199" s="49">
        <v>25333.032287198028</v>
      </c>
      <c r="AI199" s="49">
        <v>0</v>
      </c>
      <c r="AJ199" s="49">
        <v>0</v>
      </c>
      <c r="AK199" s="49">
        <v>0</v>
      </c>
      <c r="AL199" s="49">
        <v>0</v>
      </c>
      <c r="AM199" s="49">
        <v>18095.023062284305</v>
      </c>
      <c r="AN199" s="49">
        <v>28952.03689965489</v>
      </c>
      <c r="AO199" s="49">
        <v>0</v>
      </c>
      <c r="AP199" s="50">
        <v>0</v>
      </c>
    </row>
    <row r="200" spans="1:42" ht="15.75" customHeight="1" x14ac:dyDescent="0.25">
      <c r="A200" s="14"/>
      <c r="B200" s="55">
        <v>0</v>
      </c>
      <c r="C200" s="28">
        <v>0</v>
      </c>
      <c r="D200" s="19">
        <v>0</v>
      </c>
      <c r="E200" s="28">
        <v>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0" cm="1">
        <f t="array" ref="K200:M202">+H197:J199</f>
        <v>0</v>
      </c>
      <c r="L200" s="20">
        <v>1</v>
      </c>
      <c r="M200" s="56">
        <v>0</v>
      </c>
      <c r="N200" s="103">
        <v>4</v>
      </c>
      <c r="O200" s="14"/>
      <c r="P200" s="103">
        <v>4</v>
      </c>
      <c r="Q200" s="34">
        <v>0</v>
      </c>
      <c r="R200" s="13">
        <v>0</v>
      </c>
      <c r="S200" s="13">
        <v>-28952.03689965489</v>
      </c>
      <c r="T200" s="13">
        <v>27961.423088088261</v>
      </c>
      <c r="U200" s="13">
        <v>0</v>
      </c>
      <c r="V200" s="13">
        <v>0</v>
      </c>
      <c r="W200" s="13">
        <v>0</v>
      </c>
      <c r="X200" s="13">
        <v>0</v>
      </c>
      <c r="Y200" s="13">
        <v>28952.03689965489</v>
      </c>
      <c r="Z200" s="13">
        <v>58894.68761087639</v>
      </c>
      <c r="AA200" s="13">
        <v>0</v>
      </c>
      <c r="AB200" s="39">
        <v>0</v>
      </c>
      <c r="AE200" s="53">
        <v>0</v>
      </c>
      <c r="AF200" s="49">
        <v>0</v>
      </c>
      <c r="AG200" s="49">
        <v>-28952.03689965489</v>
      </c>
      <c r="AH200" s="49">
        <v>27961.423088088261</v>
      </c>
      <c r="AI200" s="49">
        <v>0</v>
      </c>
      <c r="AJ200" s="49">
        <v>0</v>
      </c>
      <c r="AK200" s="49">
        <v>0</v>
      </c>
      <c r="AL200" s="49">
        <v>0</v>
      </c>
      <c r="AM200" s="49">
        <v>28952.03689965489</v>
      </c>
      <c r="AN200" s="49">
        <v>58894.68761087639</v>
      </c>
      <c r="AO200" s="49">
        <v>0</v>
      </c>
      <c r="AP200" s="50">
        <v>0</v>
      </c>
    </row>
    <row r="201" spans="1:42" ht="15.75" customHeight="1" x14ac:dyDescent="0.25">
      <c r="A201" s="14"/>
      <c r="B201" s="55">
        <v>0</v>
      </c>
      <c r="C201" s="28">
        <v>0</v>
      </c>
      <c r="D201" s="19">
        <v>0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0">
        <v>0</v>
      </c>
      <c r="L201" s="20">
        <v>0</v>
      </c>
      <c r="M201" s="56">
        <v>-1</v>
      </c>
      <c r="N201" s="103">
        <v>5</v>
      </c>
      <c r="O201" s="14"/>
      <c r="P201" s="103">
        <v>5</v>
      </c>
      <c r="Q201" s="34">
        <v>0</v>
      </c>
      <c r="R201" s="13">
        <v>0</v>
      </c>
      <c r="S201" s="13">
        <v>0</v>
      </c>
      <c r="T201" s="13">
        <v>0</v>
      </c>
      <c r="U201" s="13">
        <v>-5507.57666015625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5507.57666015625</v>
      </c>
      <c r="AB201" s="39">
        <v>0</v>
      </c>
      <c r="AE201" s="53">
        <v>0</v>
      </c>
      <c r="AF201" s="49">
        <v>0</v>
      </c>
      <c r="AG201" s="49">
        <v>0</v>
      </c>
      <c r="AH201" s="49">
        <v>0</v>
      </c>
      <c r="AI201" s="49">
        <v>-5507.57666015625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5507.57666015625</v>
      </c>
      <c r="AP201" s="50">
        <v>0</v>
      </c>
    </row>
    <row r="202" spans="1:42" ht="15.75" customHeight="1" x14ac:dyDescent="0.25">
      <c r="A202" s="14"/>
      <c r="B202" s="55">
        <v>0</v>
      </c>
      <c r="C202" s="28">
        <v>0</v>
      </c>
      <c r="D202" s="19">
        <v>0</v>
      </c>
      <c r="E202" s="28">
        <v>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0">
        <v>1</v>
      </c>
      <c r="L202" s="20">
        <v>0</v>
      </c>
      <c r="M202" s="56">
        <v>0</v>
      </c>
      <c r="N202" s="103">
        <v>6</v>
      </c>
      <c r="O202" s="14"/>
      <c r="P202" s="103">
        <v>6</v>
      </c>
      <c r="Q202" s="34">
        <v>14631.389822649824</v>
      </c>
      <c r="R202" s="13">
        <v>0</v>
      </c>
      <c r="S202" s="13">
        <v>0</v>
      </c>
      <c r="T202" s="13">
        <v>0</v>
      </c>
      <c r="U202" s="13">
        <v>0</v>
      </c>
      <c r="V202" s="13">
        <v>13412.51718028118</v>
      </c>
      <c r="W202" s="13">
        <v>-14631.389822649824</v>
      </c>
      <c r="X202" s="13">
        <v>0</v>
      </c>
      <c r="Y202" s="13">
        <v>0</v>
      </c>
      <c r="Z202" s="13">
        <v>0</v>
      </c>
      <c r="AA202" s="13">
        <v>0</v>
      </c>
      <c r="AB202" s="39">
        <v>27555.374323138323</v>
      </c>
      <c r="AE202" s="53">
        <v>14631.389822649824</v>
      </c>
      <c r="AF202" s="49">
        <v>0</v>
      </c>
      <c r="AG202" s="49">
        <v>0</v>
      </c>
      <c r="AH202" s="49">
        <v>0</v>
      </c>
      <c r="AI202" s="49">
        <v>0</v>
      </c>
      <c r="AJ202" s="49">
        <v>13412.51718028118</v>
      </c>
      <c r="AK202" s="49">
        <v>-14631.389822649824</v>
      </c>
      <c r="AL202" s="49">
        <v>0</v>
      </c>
      <c r="AM202" s="49">
        <v>0</v>
      </c>
      <c r="AN202" s="49">
        <v>0</v>
      </c>
      <c r="AO202" s="49">
        <v>0</v>
      </c>
      <c r="AP202" s="50">
        <v>27555.374323138323</v>
      </c>
    </row>
    <row r="203" spans="1:42" ht="15.75" customHeight="1" x14ac:dyDescent="0.2">
      <c r="A203" s="14"/>
      <c r="B203" s="41"/>
      <c r="C203" s="41"/>
      <c r="D203" s="125"/>
      <c r="E203" s="41"/>
      <c r="F203" s="41"/>
      <c r="G203" s="41"/>
      <c r="H203" s="43"/>
      <c r="I203" s="14"/>
      <c r="J203" s="14"/>
      <c r="AF203" s="1">
        <f>150*12</f>
        <v>1800</v>
      </c>
    </row>
    <row r="204" spans="1:42" ht="15.75" customHeight="1" x14ac:dyDescent="0.2">
      <c r="A204" s="14"/>
      <c r="B204" s="41"/>
      <c r="C204" s="41"/>
      <c r="D204" s="125"/>
      <c r="E204" s="41"/>
      <c r="F204" s="41"/>
      <c r="G204" s="41"/>
      <c r="H204" s="43"/>
      <c r="I204" s="14"/>
      <c r="J204" s="14"/>
    </row>
    <row r="205" spans="1:42" ht="15.75" customHeight="1" x14ac:dyDescent="0.2">
      <c r="A205" s="14"/>
      <c r="B205" s="41"/>
      <c r="C205" s="41"/>
      <c r="D205" s="125"/>
      <c r="E205" s="41"/>
      <c r="F205" s="41"/>
      <c r="G205" s="41"/>
      <c r="H205" s="43"/>
      <c r="I205" s="14"/>
      <c r="J205" s="14"/>
    </row>
    <row r="206" spans="1:42" ht="15.75" customHeight="1" x14ac:dyDescent="0.2">
      <c r="A206" s="14"/>
      <c r="B206" s="41"/>
      <c r="C206" s="41"/>
      <c r="D206" s="125"/>
      <c r="E206" s="41"/>
      <c r="F206" s="41"/>
    </row>
    <row r="207" spans="1:42" ht="15.75" customHeight="1" x14ac:dyDescent="0.2">
      <c r="A207" s="14"/>
      <c r="B207" s="41"/>
      <c r="C207" s="41"/>
      <c r="D207" s="125"/>
      <c r="E207" s="41"/>
      <c r="F207" s="41"/>
    </row>
    <row r="208" spans="1:42" ht="15.75" customHeight="1" x14ac:dyDescent="0.2">
      <c r="A208" s="14"/>
      <c r="B208" s="41"/>
      <c r="C208" s="41"/>
      <c r="D208" s="125"/>
      <c r="E208" s="41"/>
      <c r="F208" s="41"/>
    </row>
    <row r="209" spans="1:28" ht="15.75" customHeight="1" x14ac:dyDescent="0.2">
      <c r="A209" s="14"/>
      <c r="B209" s="41"/>
      <c r="C209" s="41"/>
      <c r="D209" s="125"/>
      <c r="E209" s="41"/>
      <c r="F209" s="41"/>
    </row>
    <row r="210" spans="1:28" ht="15.75" customHeight="1" x14ac:dyDescent="0.2">
      <c r="A210" s="14"/>
      <c r="B210" s="41"/>
      <c r="C210" s="41"/>
      <c r="D210" s="125"/>
      <c r="E210" s="41"/>
      <c r="F210" s="41"/>
    </row>
    <row r="211" spans="1:28" ht="15.75" customHeight="1" x14ac:dyDescent="0.2">
      <c r="A211" s="14"/>
      <c r="B211" s="41"/>
      <c r="C211" s="41"/>
      <c r="D211" s="125"/>
      <c r="E211" s="41"/>
      <c r="F211" s="41"/>
    </row>
    <row r="212" spans="1:28" ht="15.75" customHeight="1" x14ac:dyDescent="0.2">
      <c r="A212" s="14"/>
      <c r="B212" s="41"/>
      <c r="C212" s="41"/>
      <c r="D212" s="125"/>
      <c r="E212" s="41"/>
      <c r="F212" s="41"/>
    </row>
    <row r="213" spans="1:28" ht="15.75" customHeight="1" x14ac:dyDescent="0.2">
      <c r="A213" s="14"/>
      <c r="B213" s="41"/>
      <c r="C213" s="41"/>
      <c r="D213" s="125"/>
      <c r="E213" s="41"/>
      <c r="F213" s="41"/>
    </row>
    <row r="214" spans="1:28" ht="15.75" customHeight="1" x14ac:dyDescent="0.2">
      <c r="A214" s="14"/>
      <c r="B214" s="41"/>
      <c r="C214" s="41"/>
      <c r="D214" s="125"/>
      <c r="E214" s="41"/>
      <c r="F214" s="41"/>
    </row>
    <row r="215" spans="1:28" ht="15.75" customHeight="1" x14ac:dyDescent="0.2">
      <c r="A215" s="14"/>
      <c r="B215" s="41"/>
      <c r="C215" s="41"/>
      <c r="D215" s="125"/>
      <c r="E215" s="41"/>
      <c r="F215" s="41"/>
    </row>
    <row r="216" spans="1:28" ht="15.75" customHeight="1" x14ac:dyDescent="0.2">
      <c r="A216" s="14"/>
      <c r="B216" s="41"/>
      <c r="C216" s="41"/>
      <c r="D216" s="125"/>
      <c r="E216" s="41"/>
      <c r="F216" s="41"/>
    </row>
    <row r="217" spans="1:28" ht="15.75" customHeight="1" x14ac:dyDescent="0.2">
      <c r="A217" s="14"/>
      <c r="B217" s="41"/>
      <c r="C217" s="41"/>
      <c r="D217" s="125"/>
      <c r="E217" s="41"/>
      <c r="F217" s="41"/>
    </row>
    <row r="218" spans="1:28" ht="15.75" customHeight="1" x14ac:dyDescent="0.2">
      <c r="A218" s="136" t="s">
        <v>79</v>
      </c>
      <c r="B218" s="133"/>
      <c r="C218" s="133"/>
      <c r="D218" s="137"/>
      <c r="E218" s="133"/>
      <c r="F218" s="133"/>
      <c r="G218" s="133"/>
      <c r="H218" s="138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  <c r="AA218" s="133"/>
    </row>
    <row r="219" spans="1:28" ht="15.75" customHeight="1" x14ac:dyDescent="0.2">
      <c r="A219" s="133"/>
      <c r="B219" s="133"/>
      <c r="C219" s="133"/>
      <c r="D219" s="137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  <c r="AA219" s="133"/>
    </row>
    <row r="220" spans="1:28" ht="15.75" customHeight="1" x14ac:dyDescent="0.2">
      <c r="A220" s="133"/>
      <c r="B220" s="136"/>
      <c r="C220" s="139">
        <v>1</v>
      </c>
      <c r="D220" s="140">
        <v>2</v>
      </c>
      <c r="E220" s="139">
        <v>3</v>
      </c>
      <c r="F220" s="139">
        <v>4</v>
      </c>
      <c r="G220" s="139">
        <v>5</v>
      </c>
      <c r="H220" s="139">
        <v>6</v>
      </c>
      <c r="I220" s="141">
        <v>7</v>
      </c>
      <c r="J220" s="141">
        <v>8</v>
      </c>
      <c r="K220" s="141">
        <v>9</v>
      </c>
      <c r="L220" s="141">
        <v>10</v>
      </c>
      <c r="M220" s="141">
        <v>11</v>
      </c>
      <c r="N220" s="141">
        <v>12</v>
      </c>
      <c r="O220" s="141">
        <v>13</v>
      </c>
      <c r="P220" s="141">
        <v>14</v>
      </c>
      <c r="Q220" s="141">
        <v>15</v>
      </c>
      <c r="R220" s="141">
        <v>16</v>
      </c>
      <c r="S220" s="141">
        <v>17</v>
      </c>
      <c r="T220" s="141">
        <v>18</v>
      </c>
      <c r="U220" s="141">
        <v>19</v>
      </c>
      <c r="V220" s="141">
        <v>20</v>
      </c>
      <c r="W220" s="141">
        <v>21</v>
      </c>
      <c r="X220" s="141">
        <v>22</v>
      </c>
      <c r="Y220" s="141">
        <v>23</v>
      </c>
      <c r="Z220" s="141">
        <v>24</v>
      </c>
      <c r="AA220" s="133"/>
    </row>
    <row r="221" spans="1:28" ht="15.75" customHeight="1" x14ac:dyDescent="0.2">
      <c r="A221" s="133"/>
      <c r="B221" s="142">
        <v>1</v>
      </c>
      <c r="C221" s="143">
        <f>+Q163+W183+W197</f>
        <v>552780.08546410676</v>
      </c>
      <c r="D221" s="144">
        <f>+R163+X183+X197</f>
        <v>0</v>
      </c>
      <c r="E221" s="144">
        <f>+S163+Y183+Y197</f>
        <v>0</v>
      </c>
      <c r="F221" s="144">
        <f>+T163+Z183+Z197</f>
        <v>0</v>
      </c>
      <c r="G221" s="144">
        <f>+U163+AA183+AA197</f>
        <v>-20418.957145440716</v>
      </c>
      <c r="H221" s="144">
        <f>+V163+AB183+AB197</f>
        <v>-14631.389822649824</v>
      </c>
      <c r="I221" s="143">
        <f>+W163</f>
        <v>-528000</v>
      </c>
      <c r="J221" s="144">
        <f>+X163</f>
        <v>0</v>
      </c>
      <c r="K221" s="144">
        <f t="shared" ref="K221:N236" si="26">+Y163</f>
        <v>0</v>
      </c>
      <c r="L221" s="144">
        <f t="shared" si="26"/>
        <v>0</v>
      </c>
      <c r="M221" s="144">
        <f t="shared" si="26"/>
        <v>0</v>
      </c>
      <c r="N221" s="144">
        <f t="shared" si="26"/>
        <v>0</v>
      </c>
      <c r="O221" s="144">
        <f>+Q197</f>
        <v>-10450.992730464161</v>
      </c>
      <c r="P221" s="144">
        <f t="shared" ref="P221:T221" si="27">+R197</f>
        <v>0</v>
      </c>
      <c r="Q221" s="144">
        <f t="shared" si="27"/>
        <v>0</v>
      </c>
      <c r="R221" s="144">
        <f t="shared" si="27"/>
        <v>0</v>
      </c>
      <c r="S221" s="144">
        <f t="shared" si="27"/>
        <v>0</v>
      </c>
      <c r="T221" s="144">
        <f t="shared" si="27"/>
        <v>-14631.389822649824</v>
      </c>
      <c r="U221" s="144">
        <f>+Q183</f>
        <v>-14329.092733642607</v>
      </c>
      <c r="V221" s="144">
        <f t="shared" ref="V221:Z221" si="28">+R183</f>
        <v>0</v>
      </c>
      <c r="W221" s="144">
        <f t="shared" si="28"/>
        <v>0</v>
      </c>
      <c r="X221" s="144">
        <f t="shared" si="28"/>
        <v>0</v>
      </c>
      <c r="Y221" s="144">
        <f t="shared" si="28"/>
        <v>-20418.957145440716</v>
      </c>
      <c r="Z221" s="145">
        <f t="shared" si="28"/>
        <v>0</v>
      </c>
      <c r="AA221" s="133"/>
      <c r="AB221" s="57"/>
    </row>
    <row r="222" spans="1:28" ht="15.75" customHeight="1" x14ac:dyDescent="0.2">
      <c r="A222" s="133"/>
      <c r="B222" s="142">
        <v>2</v>
      </c>
      <c r="C222" s="146">
        <f>+Q164+W184+W198</f>
        <v>0</v>
      </c>
      <c r="D222" s="147">
        <f t="shared" ref="D222:D226" si="29">+R164+X184+X198</f>
        <v>889539.9136112975</v>
      </c>
      <c r="E222" s="147">
        <f t="shared" ref="E222:E226" si="30">+S164+Y184+Y198</f>
        <v>0</v>
      </c>
      <c r="F222" s="147">
        <f t="shared" ref="F222:F226" si="31">+T164+Z184+Z198</f>
        <v>9136.7482947993813</v>
      </c>
      <c r="G222" s="147">
        <f t="shared" ref="G222:G226" si="32">+U164+AA184+AA198</f>
        <v>0</v>
      </c>
      <c r="H222" s="147">
        <f t="shared" ref="H222:H226" si="33">+V164+AB184+AB198</f>
        <v>9720.8893154190719</v>
      </c>
      <c r="I222" s="146">
        <f t="shared" ref="I222:I226" si="34">+W164</f>
        <v>0</v>
      </c>
      <c r="J222" s="147">
        <f t="shared" ref="J222:J233" si="35">+X164</f>
        <v>-3738.8035828534889</v>
      </c>
      <c r="K222" s="147">
        <f t="shared" si="26"/>
        <v>0</v>
      </c>
      <c r="L222" s="147">
        <f t="shared" si="26"/>
        <v>0</v>
      </c>
      <c r="M222" s="147">
        <f t="shared" si="26"/>
        <v>0</v>
      </c>
      <c r="N222" s="147">
        <f t="shared" si="26"/>
        <v>8973.1285988483742</v>
      </c>
      <c r="O222" s="147">
        <f t="shared" ref="O222:O226" si="36">+Q198</f>
        <v>0</v>
      </c>
      <c r="P222" s="147">
        <f t="shared" ref="P222:P226" si="37">+R198</f>
        <v>-880000</v>
      </c>
      <c r="Q222" s="147">
        <f t="shared" ref="Q222:Q226" si="38">+S198</f>
        <v>0</v>
      </c>
      <c r="R222" s="147">
        <f t="shared" ref="R222:R226" si="39">+T198</f>
        <v>0</v>
      </c>
      <c r="S222" s="147">
        <f t="shared" ref="S222:S226" si="40">+U198</f>
        <v>0</v>
      </c>
      <c r="T222" s="147">
        <f t="shared" ref="T222:T226" si="41">+V198</f>
        <v>0</v>
      </c>
      <c r="U222" s="147">
        <f t="shared" ref="U222:U226" si="42">+Q184</f>
        <v>0</v>
      </c>
      <c r="V222" s="147">
        <f t="shared" ref="V222:V226" si="43">+R184</f>
        <v>-5801.1100284440517</v>
      </c>
      <c r="W222" s="147">
        <f t="shared" ref="W222:W226" si="44">+S184</f>
        <v>0</v>
      </c>
      <c r="X222" s="147">
        <f t="shared" ref="X222:X226" si="45">+T184</f>
        <v>8266.5817905327731</v>
      </c>
      <c r="Y222" s="147">
        <f t="shared" ref="Y222:Y226" si="46">+U184</f>
        <v>0</v>
      </c>
      <c r="Z222" s="148">
        <f t="shared" ref="Z222:Z226" si="47">+V184</f>
        <v>0</v>
      </c>
      <c r="AA222" s="133"/>
      <c r="AB222" s="57"/>
    </row>
    <row r="223" spans="1:28" ht="15.75" customHeight="1" x14ac:dyDescent="0.2">
      <c r="A223" s="133"/>
      <c r="B223" s="142">
        <v>3</v>
      </c>
      <c r="C223" s="146">
        <f t="shared" ref="C223:C226" si="48">+Q165+W185+W199</f>
        <v>0</v>
      </c>
      <c r="D223" s="147">
        <f t="shared" si="29"/>
        <v>0</v>
      </c>
      <c r="E223" s="147">
        <f t="shared" si="30"/>
        <v>753551.04073996935</v>
      </c>
      <c r="F223" s="147">
        <f t="shared" si="31"/>
        <v>28952.03689965489</v>
      </c>
      <c r="G223" s="147">
        <f t="shared" si="32"/>
        <v>-5094.4424264438812</v>
      </c>
      <c r="H223" s="147">
        <f t="shared" si="33"/>
        <v>0</v>
      </c>
      <c r="I223" s="146">
        <f t="shared" si="34"/>
        <v>0</v>
      </c>
      <c r="J223" s="147">
        <f t="shared" si="35"/>
        <v>0</v>
      </c>
      <c r="K223" s="147">
        <f t="shared" si="26"/>
        <v>-2122.6843443516168</v>
      </c>
      <c r="L223" s="147">
        <f t="shared" si="26"/>
        <v>0</v>
      </c>
      <c r="M223" s="147">
        <f t="shared" si="26"/>
        <v>-5094.4424264438812</v>
      </c>
      <c r="N223" s="147">
        <f t="shared" si="26"/>
        <v>0</v>
      </c>
      <c r="O223" s="147">
        <f t="shared" si="36"/>
        <v>0</v>
      </c>
      <c r="P223" s="147">
        <f t="shared" si="37"/>
        <v>0</v>
      </c>
      <c r="Q223" s="147">
        <f t="shared" si="38"/>
        <v>-18095.023062284305</v>
      </c>
      <c r="R223" s="147">
        <f t="shared" si="39"/>
        <v>25333.032287198028</v>
      </c>
      <c r="S223" s="147">
        <f t="shared" si="40"/>
        <v>0</v>
      </c>
      <c r="T223" s="147">
        <f t="shared" si="41"/>
        <v>0</v>
      </c>
      <c r="U223" s="147">
        <f t="shared" si="42"/>
        <v>0</v>
      </c>
      <c r="V223" s="147">
        <f t="shared" si="43"/>
        <v>0</v>
      </c>
      <c r="W223" s="147">
        <f t="shared" si="44"/>
        <v>-733333.33333333337</v>
      </c>
      <c r="X223" s="147">
        <f t="shared" si="45"/>
        <v>0</v>
      </c>
      <c r="Y223" s="147">
        <f t="shared" si="46"/>
        <v>0</v>
      </c>
      <c r="Z223" s="148">
        <f t="shared" si="47"/>
        <v>0</v>
      </c>
      <c r="AA223" s="133"/>
      <c r="AB223" s="57"/>
    </row>
    <row r="224" spans="1:28" ht="15.75" customHeight="1" x14ac:dyDescent="0.2">
      <c r="A224" s="133"/>
      <c r="B224" s="142">
        <v>4</v>
      </c>
      <c r="C224" s="146">
        <f t="shared" si="48"/>
        <v>0</v>
      </c>
      <c r="D224" s="147">
        <f t="shared" si="29"/>
        <v>9136.7482947993813</v>
      </c>
      <c r="E224" s="147">
        <f t="shared" si="30"/>
        <v>28952.03689965489</v>
      </c>
      <c r="F224" s="147">
        <f t="shared" si="31"/>
        <v>80610.080007536482</v>
      </c>
      <c r="G224" s="147">
        <f t="shared" si="32"/>
        <v>0</v>
      </c>
      <c r="H224" s="147">
        <f t="shared" si="33"/>
        <v>0</v>
      </c>
      <c r="I224" s="146">
        <f t="shared" si="34"/>
        <v>0</v>
      </c>
      <c r="J224" s="147">
        <f t="shared" si="35"/>
        <v>0</v>
      </c>
      <c r="K224" s="147">
        <f t="shared" si="26"/>
        <v>0</v>
      </c>
      <c r="L224" s="147">
        <f t="shared" si="26"/>
        <v>-3304.5459960937501</v>
      </c>
      <c r="M224" s="147">
        <f t="shared" si="26"/>
        <v>0</v>
      </c>
      <c r="N224" s="147">
        <f t="shared" si="26"/>
        <v>0</v>
      </c>
      <c r="O224" s="147">
        <f t="shared" si="36"/>
        <v>0</v>
      </c>
      <c r="P224" s="147">
        <f t="shared" si="37"/>
        <v>0</v>
      </c>
      <c r="Q224" s="147">
        <f t="shared" si="38"/>
        <v>-28952.03689965489</v>
      </c>
      <c r="R224" s="147">
        <f t="shared" si="39"/>
        <v>27961.423088088261</v>
      </c>
      <c r="S224" s="147">
        <f t="shared" si="40"/>
        <v>0</v>
      </c>
      <c r="T224" s="147">
        <f t="shared" si="41"/>
        <v>0</v>
      </c>
      <c r="U224" s="147">
        <f t="shared" si="42"/>
        <v>0</v>
      </c>
      <c r="V224" s="147">
        <f t="shared" si="43"/>
        <v>-9136.7482947993813</v>
      </c>
      <c r="W224" s="147">
        <f t="shared" si="44"/>
        <v>0</v>
      </c>
      <c r="X224" s="147">
        <f t="shared" si="45"/>
        <v>8999.3984838318083</v>
      </c>
      <c r="Y224" s="147">
        <f t="shared" si="46"/>
        <v>0</v>
      </c>
      <c r="Z224" s="148">
        <f t="shared" si="47"/>
        <v>0</v>
      </c>
      <c r="AA224" s="133"/>
      <c r="AB224" s="57"/>
    </row>
    <row r="225" spans="1:28" ht="15.75" customHeight="1" x14ac:dyDescent="0.2">
      <c r="A225" s="133"/>
      <c r="B225" s="142">
        <v>5</v>
      </c>
      <c r="C225" s="146">
        <f t="shared" si="48"/>
        <v>-20418.957145440716</v>
      </c>
      <c r="D225" s="147">
        <f t="shared" si="29"/>
        <v>0</v>
      </c>
      <c r="E225" s="147">
        <f t="shared" si="30"/>
        <v>-5094.4424264438812</v>
      </c>
      <c r="F225" s="147">
        <f t="shared" si="31"/>
        <v>0</v>
      </c>
      <c r="G225" s="147">
        <f t="shared" si="32"/>
        <v>61248.650076693288</v>
      </c>
      <c r="H225" s="147">
        <f t="shared" si="33"/>
        <v>0</v>
      </c>
      <c r="I225" s="146">
        <f t="shared" si="34"/>
        <v>0</v>
      </c>
      <c r="J225" s="147">
        <f t="shared" si="35"/>
        <v>0</v>
      </c>
      <c r="K225" s="147">
        <f t="shared" si="26"/>
        <v>5094.4424264438812</v>
      </c>
      <c r="L225" s="147">
        <f t="shared" si="26"/>
        <v>0</v>
      </c>
      <c r="M225" s="147">
        <f t="shared" si="26"/>
        <v>8101.6618234653115</v>
      </c>
      <c r="N225" s="147">
        <f t="shared" si="26"/>
        <v>0</v>
      </c>
      <c r="O225" s="147">
        <f t="shared" si="36"/>
        <v>0</v>
      </c>
      <c r="P225" s="147">
        <f t="shared" si="37"/>
        <v>0</v>
      </c>
      <c r="Q225" s="147">
        <f t="shared" si="38"/>
        <v>0</v>
      </c>
      <c r="R225" s="147">
        <f t="shared" si="39"/>
        <v>0</v>
      </c>
      <c r="S225" s="147">
        <f t="shared" si="40"/>
        <v>-5507.57666015625</v>
      </c>
      <c r="T225" s="147">
        <f t="shared" si="41"/>
        <v>0</v>
      </c>
      <c r="U225" s="147">
        <f t="shared" si="42"/>
        <v>20418.957145440716</v>
      </c>
      <c r="V225" s="147">
        <f t="shared" si="43"/>
        <v>0</v>
      </c>
      <c r="W225" s="147">
        <f t="shared" si="44"/>
        <v>0</v>
      </c>
      <c r="X225" s="147">
        <f t="shared" si="45"/>
        <v>0</v>
      </c>
      <c r="Y225" s="147">
        <f t="shared" si="46"/>
        <v>18804.616271434305</v>
      </c>
      <c r="Z225" s="148">
        <f t="shared" si="47"/>
        <v>0</v>
      </c>
      <c r="AA225" s="133"/>
      <c r="AB225" s="57"/>
    </row>
    <row r="226" spans="1:28" ht="15.75" customHeight="1" x14ac:dyDescent="0.2">
      <c r="A226" s="133"/>
      <c r="B226" s="142">
        <v>6</v>
      </c>
      <c r="C226" s="146">
        <f>+Q168+W188+W202</f>
        <v>-14631.389822649824</v>
      </c>
      <c r="D226" s="147">
        <f t="shared" si="29"/>
        <v>9720.8893154190719</v>
      </c>
      <c r="E226" s="147">
        <f t="shared" si="30"/>
        <v>0</v>
      </c>
      <c r="F226" s="147">
        <f t="shared" si="31"/>
        <v>0</v>
      </c>
      <c r="G226" s="147">
        <f t="shared" si="32"/>
        <v>0</v>
      </c>
      <c r="H226" s="147">
        <f t="shared" si="33"/>
        <v>63771.132874040151</v>
      </c>
      <c r="I226" s="149">
        <f t="shared" si="34"/>
        <v>0</v>
      </c>
      <c r="J226" s="150">
        <f t="shared" si="35"/>
        <v>-9720.8893154190719</v>
      </c>
      <c r="K226" s="150">
        <f t="shared" si="26"/>
        <v>0</v>
      </c>
      <c r="L226" s="150">
        <f t="shared" si="26"/>
        <v>0</v>
      </c>
      <c r="M226" s="150">
        <f t="shared" si="26"/>
        <v>0</v>
      </c>
      <c r="N226" s="150">
        <f t="shared" si="26"/>
        <v>15996.801023672433</v>
      </c>
      <c r="O226" s="150">
        <f t="shared" si="36"/>
        <v>14631.389822649824</v>
      </c>
      <c r="P226" s="150">
        <f t="shared" si="37"/>
        <v>0</v>
      </c>
      <c r="Q226" s="150">
        <f t="shared" si="38"/>
        <v>0</v>
      </c>
      <c r="R226" s="150">
        <f t="shared" si="39"/>
        <v>0</v>
      </c>
      <c r="S226" s="150">
        <f t="shared" si="40"/>
        <v>0</v>
      </c>
      <c r="T226" s="150">
        <f t="shared" si="41"/>
        <v>13412.51718028118</v>
      </c>
      <c r="U226" s="150">
        <f t="shared" si="42"/>
        <v>0</v>
      </c>
      <c r="V226" s="150">
        <f t="shared" si="43"/>
        <v>0</v>
      </c>
      <c r="W226" s="150">
        <f t="shared" si="44"/>
        <v>0</v>
      </c>
      <c r="X226" s="150">
        <f t="shared" si="45"/>
        <v>0</v>
      </c>
      <c r="Y226" s="150">
        <f t="shared" si="46"/>
        <v>0</v>
      </c>
      <c r="Z226" s="151">
        <f t="shared" si="47"/>
        <v>-3608.1129974789087</v>
      </c>
      <c r="AA226" s="133"/>
      <c r="AB226" s="57"/>
    </row>
    <row r="227" spans="1:28" ht="15.75" customHeight="1" x14ac:dyDescent="0.2">
      <c r="A227" s="133"/>
      <c r="B227" s="152">
        <v>7</v>
      </c>
      <c r="C227" s="143">
        <f>+Q169</f>
        <v>-528000</v>
      </c>
      <c r="D227" s="144">
        <f t="shared" ref="D227:H227" si="49">+R169</f>
        <v>0</v>
      </c>
      <c r="E227" s="144">
        <f t="shared" si="49"/>
        <v>0</v>
      </c>
      <c r="F227" s="144">
        <f t="shared" si="49"/>
        <v>0</v>
      </c>
      <c r="G227" s="144">
        <f t="shared" si="49"/>
        <v>0</v>
      </c>
      <c r="H227" s="145">
        <f t="shared" si="49"/>
        <v>0</v>
      </c>
      <c r="I227" s="147">
        <f>+W169</f>
        <v>528000</v>
      </c>
      <c r="J227" s="147">
        <f t="shared" si="35"/>
        <v>0</v>
      </c>
      <c r="K227" s="147">
        <f t="shared" si="26"/>
        <v>0</v>
      </c>
      <c r="L227" s="147">
        <f t="shared" si="26"/>
        <v>0</v>
      </c>
      <c r="M227" s="147">
        <f t="shared" si="26"/>
        <v>0</v>
      </c>
      <c r="N227" s="147">
        <f t="shared" si="26"/>
        <v>0</v>
      </c>
      <c r="O227" s="153">
        <v>0</v>
      </c>
      <c r="P227" s="153">
        <v>0</v>
      </c>
      <c r="Q227" s="153">
        <v>0</v>
      </c>
      <c r="R227" s="153">
        <v>0</v>
      </c>
      <c r="S227" s="153">
        <v>0</v>
      </c>
      <c r="T227" s="153">
        <v>0</v>
      </c>
      <c r="U227" s="153">
        <v>0</v>
      </c>
      <c r="V227" s="153">
        <v>0</v>
      </c>
      <c r="W227" s="153">
        <v>0</v>
      </c>
      <c r="X227" s="153">
        <v>0</v>
      </c>
      <c r="Y227" s="153">
        <v>0</v>
      </c>
      <c r="Z227" s="148">
        <v>0</v>
      </c>
      <c r="AA227" s="133"/>
      <c r="AB227" s="57"/>
    </row>
    <row r="228" spans="1:28" ht="15.75" customHeight="1" x14ac:dyDescent="0.2">
      <c r="A228" s="133"/>
      <c r="B228" s="152">
        <v>8</v>
      </c>
      <c r="C228" s="146">
        <f t="shared" ref="C228:C232" si="50">+Q170</f>
        <v>0</v>
      </c>
      <c r="D228" s="147">
        <f t="shared" ref="D228:D232" si="51">+R170</f>
        <v>-3738.8035828534889</v>
      </c>
      <c r="E228" s="147">
        <f t="shared" ref="E228:E232" si="52">+S170</f>
        <v>0</v>
      </c>
      <c r="F228" s="147">
        <f t="shared" ref="F228:F232" si="53">+T170</f>
        <v>0</v>
      </c>
      <c r="G228" s="147">
        <f t="shared" ref="G228:G232" si="54">+U170</f>
        <v>0</v>
      </c>
      <c r="H228" s="148">
        <f t="shared" ref="H228:H232" si="55">+V170</f>
        <v>-9720.8893154190719</v>
      </c>
      <c r="I228" s="147">
        <f>+W170</f>
        <v>0</v>
      </c>
      <c r="J228" s="147">
        <f t="shared" si="35"/>
        <v>3738.8035828534889</v>
      </c>
      <c r="K228" s="147">
        <f t="shared" si="26"/>
        <v>0</v>
      </c>
      <c r="L228" s="147">
        <f t="shared" si="26"/>
        <v>0</v>
      </c>
      <c r="M228" s="147">
        <f t="shared" si="26"/>
        <v>0</v>
      </c>
      <c r="N228" s="147">
        <f t="shared" si="26"/>
        <v>-8973.1285988483742</v>
      </c>
      <c r="O228" s="153">
        <v>0</v>
      </c>
      <c r="P228" s="153">
        <v>0</v>
      </c>
      <c r="Q228" s="153">
        <v>0</v>
      </c>
      <c r="R228" s="153">
        <v>0</v>
      </c>
      <c r="S228" s="153">
        <v>0</v>
      </c>
      <c r="T228" s="153">
        <v>0</v>
      </c>
      <c r="U228" s="153">
        <v>0</v>
      </c>
      <c r="V228" s="153">
        <v>0</v>
      </c>
      <c r="W228" s="153">
        <v>0</v>
      </c>
      <c r="X228" s="153">
        <v>0</v>
      </c>
      <c r="Y228" s="153">
        <v>0</v>
      </c>
      <c r="Z228" s="148">
        <v>0</v>
      </c>
      <c r="AA228" s="133"/>
      <c r="AB228" s="57"/>
    </row>
    <row r="229" spans="1:28" ht="15.75" customHeight="1" x14ac:dyDescent="0.2">
      <c r="A229" s="133"/>
      <c r="B229" s="152">
        <v>9</v>
      </c>
      <c r="C229" s="146">
        <f t="shared" si="50"/>
        <v>0</v>
      </c>
      <c r="D229" s="147">
        <f t="shared" si="51"/>
        <v>0</v>
      </c>
      <c r="E229" s="147">
        <f t="shared" si="52"/>
        <v>-2122.6843443516168</v>
      </c>
      <c r="F229" s="147">
        <f t="shared" si="53"/>
        <v>0</v>
      </c>
      <c r="G229" s="147">
        <f t="shared" si="54"/>
        <v>5094.4424264438812</v>
      </c>
      <c r="H229" s="148">
        <f t="shared" si="55"/>
        <v>0</v>
      </c>
      <c r="I229" s="147">
        <f t="shared" ref="I229:I233" si="56">+W171</f>
        <v>0</v>
      </c>
      <c r="J229" s="147">
        <f t="shared" si="35"/>
        <v>0</v>
      </c>
      <c r="K229" s="147">
        <f t="shared" si="26"/>
        <v>2122.6843443516168</v>
      </c>
      <c r="L229" s="147">
        <f t="shared" si="26"/>
        <v>0</v>
      </c>
      <c r="M229" s="147">
        <f t="shared" si="26"/>
        <v>5094.4424264438812</v>
      </c>
      <c r="N229" s="147">
        <f t="shared" si="26"/>
        <v>0</v>
      </c>
      <c r="O229" s="153">
        <v>0</v>
      </c>
      <c r="P229" s="153">
        <v>0</v>
      </c>
      <c r="Q229" s="153">
        <v>0</v>
      </c>
      <c r="R229" s="153">
        <v>0</v>
      </c>
      <c r="S229" s="153">
        <v>0</v>
      </c>
      <c r="T229" s="153">
        <v>0</v>
      </c>
      <c r="U229" s="153">
        <v>0</v>
      </c>
      <c r="V229" s="153">
        <v>0</v>
      </c>
      <c r="W229" s="153">
        <v>0</v>
      </c>
      <c r="X229" s="153">
        <v>0</v>
      </c>
      <c r="Y229" s="153">
        <v>0</v>
      </c>
      <c r="Z229" s="148">
        <v>0</v>
      </c>
      <c r="AA229" s="133"/>
      <c r="AB229" s="57"/>
    </row>
    <row r="230" spans="1:28" ht="15.75" customHeight="1" x14ac:dyDescent="0.2">
      <c r="A230" s="133"/>
      <c r="B230" s="152">
        <v>10</v>
      </c>
      <c r="C230" s="146">
        <f t="shared" si="50"/>
        <v>0</v>
      </c>
      <c r="D230" s="147">
        <f t="shared" si="51"/>
        <v>0</v>
      </c>
      <c r="E230" s="147">
        <f t="shared" si="52"/>
        <v>0</v>
      </c>
      <c r="F230" s="147">
        <f t="shared" si="53"/>
        <v>-3304.5459960937501</v>
      </c>
      <c r="G230" s="147">
        <f t="shared" si="54"/>
        <v>0</v>
      </c>
      <c r="H230" s="148">
        <f t="shared" si="55"/>
        <v>0</v>
      </c>
      <c r="I230" s="147">
        <f t="shared" si="56"/>
        <v>0</v>
      </c>
      <c r="J230" s="147">
        <f t="shared" si="35"/>
        <v>0</v>
      </c>
      <c r="K230" s="147">
        <f t="shared" si="26"/>
        <v>0</v>
      </c>
      <c r="L230" s="147">
        <f t="shared" si="26"/>
        <v>3304.5459960937501</v>
      </c>
      <c r="M230" s="147">
        <f t="shared" si="26"/>
        <v>0</v>
      </c>
      <c r="N230" s="147">
        <f t="shared" si="26"/>
        <v>0</v>
      </c>
      <c r="O230" s="153">
        <v>0</v>
      </c>
      <c r="P230" s="153">
        <v>0</v>
      </c>
      <c r="Q230" s="153">
        <v>0</v>
      </c>
      <c r="R230" s="153">
        <v>0</v>
      </c>
      <c r="S230" s="153">
        <v>0</v>
      </c>
      <c r="T230" s="153">
        <v>0</v>
      </c>
      <c r="U230" s="153">
        <v>0</v>
      </c>
      <c r="V230" s="153">
        <v>0</v>
      </c>
      <c r="W230" s="153">
        <v>0</v>
      </c>
      <c r="X230" s="153">
        <v>0</v>
      </c>
      <c r="Y230" s="153">
        <v>0</v>
      </c>
      <c r="Z230" s="148">
        <v>0</v>
      </c>
      <c r="AA230" s="133"/>
      <c r="AB230" s="57"/>
    </row>
    <row r="231" spans="1:28" ht="15.75" customHeight="1" x14ac:dyDescent="0.2">
      <c r="A231" s="133"/>
      <c r="B231" s="152">
        <v>11</v>
      </c>
      <c r="C231" s="146">
        <f t="shared" si="50"/>
        <v>0</v>
      </c>
      <c r="D231" s="147">
        <f t="shared" si="51"/>
        <v>0</v>
      </c>
      <c r="E231" s="147">
        <f t="shared" si="52"/>
        <v>-5094.4424264438812</v>
      </c>
      <c r="F231" s="147">
        <f t="shared" si="53"/>
        <v>0</v>
      </c>
      <c r="G231" s="147">
        <f t="shared" si="54"/>
        <v>8101.6618234653115</v>
      </c>
      <c r="H231" s="148">
        <f t="shared" si="55"/>
        <v>0</v>
      </c>
      <c r="I231" s="147">
        <f t="shared" si="56"/>
        <v>0</v>
      </c>
      <c r="J231" s="147">
        <f t="shared" si="35"/>
        <v>0</v>
      </c>
      <c r="K231" s="147">
        <f t="shared" si="26"/>
        <v>5094.4424264438812</v>
      </c>
      <c r="L231" s="147">
        <f t="shared" si="26"/>
        <v>0</v>
      </c>
      <c r="M231" s="147">
        <f t="shared" si="26"/>
        <v>16351.661823465311</v>
      </c>
      <c r="N231" s="147">
        <f t="shared" si="26"/>
        <v>0</v>
      </c>
      <c r="O231" s="153">
        <v>0</v>
      </c>
      <c r="P231" s="153">
        <v>0</v>
      </c>
      <c r="Q231" s="153">
        <v>0</v>
      </c>
      <c r="R231" s="153">
        <v>0</v>
      </c>
      <c r="S231" s="153">
        <v>0</v>
      </c>
      <c r="T231" s="153">
        <v>0</v>
      </c>
      <c r="U231" s="153">
        <v>0</v>
      </c>
      <c r="V231" s="153">
        <v>0</v>
      </c>
      <c r="W231" s="153">
        <v>0</v>
      </c>
      <c r="X231" s="153">
        <v>0</v>
      </c>
      <c r="Y231" s="153">
        <v>0</v>
      </c>
      <c r="Z231" s="148">
        <v>0</v>
      </c>
      <c r="AA231" s="133"/>
      <c r="AB231" s="57"/>
    </row>
    <row r="232" spans="1:28" ht="15" customHeight="1" x14ac:dyDescent="0.2">
      <c r="A232" s="154" t="s">
        <v>80</v>
      </c>
      <c r="B232" s="152">
        <v>12</v>
      </c>
      <c r="C232" s="146">
        <f t="shared" si="50"/>
        <v>0</v>
      </c>
      <c r="D232" s="147">
        <f t="shared" si="51"/>
        <v>8973.1285988483742</v>
      </c>
      <c r="E232" s="147">
        <f t="shared" si="52"/>
        <v>0</v>
      </c>
      <c r="F232" s="147">
        <f t="shared" si="53"/>
        <v>0</v>
      </c>
      <c r="G232" s="147">
        <f t="shared" si="54"/>
        <v>0</v>
      </c>
      <c r="H232" s="148">
        <f t="shared" si="55"/>
        <v>15996.801023672433</v>
      </c>
      <c r="I232" s="147">
        <f t="shared" si="56"/>
        <v>0</v>
      </c>
      <c r="J232" s="147">
        <f t="shared" si="35"/>
        <v>-8973.1285988483742</v>
      </c>
      <c r="K232" s="147">
        <f t="shared" si="26"/>
        <v>0</v>
      </c>
      <c r="L232" s="147">
        <f t="shared" si="26"/>
        <v>0</v>
      </c>
      <c r="M232" s="147">
        <f t="shared" si="26"/>
        <v>0</v>
      </c>
      <c r="N232" s="147">
        <f t="shared" si="26"/>
        <v>28868.841970569432</v>
      </c>
      <c r="O232" s="153">
        <v>0</v>
      </c>
      <c r="P232" s="153">
        <v>0</v>
      </c>
      <c r="Q232" s="153">
        <v>0</v>
      </c>
      <c r="R232" s="153">
        <v>0</v>
      </c>
      <c r="S232" s="153">
        <v>0</v>
      </c>
      <c r="T232" s="153">
        <v>0</v>
      </c>
      <c r="U232" s="153">
        <v>0</v>
      </c>
      <c r="V232" s="153">
        <v>0</v>
      </c>
      <c r="W232" s="153">
        <v>0</v>
      </c>
      <c r="X232" s="153">
        <v>0</v>
      </c>
      <c r="Y232" s="153">
        <v>0</v>
      </c>
      <c r="Z232" s="148">
        <v>0</v>
      </c>
      <c r="AA232" s="133"/>
    </row>
    <row r="233" spans="1:28" ht="15" customHeight="1" x14ac:dyDescent="0.2">
      <c r="A233" s="154"/>
      <c r="B233" s="152">
        <v>13</v>
      </c>
      <c r="C233" s="146">
        <f>+W191</f>
        <v>-10450.992730464161</v>
      </c>
      <c r="D233" s="147">
        <f t="shared" ref="D233:H238" si="57">+X191</f>
        <v>0</v>
      </c>
      <c r="E233" s="147">
        <f t="shared" si="57"/>
        <v>0</v>
      </c>
      <c r="F233" s="147">
        <f t="shared" si="57"/>
        <v>0</v>
      </c>
      <c r="G233" s="147">
        <f t="shared" si="57"/>
        <v>0</v>
      </c>
      <c r="H233" s="148">
        <f t="shared" si="57"/>
        <v>14631.389822649824</v>
      </c>
      <c r="I233" s="147">
        <v>0</v>
      </c>
      <c r="J233" s="147">
        <f t="shared" si="35"/>
        <v>0</v>
      </c>
      <c r="K233" s="153">
        <v>0</v>
      </c>
      <c r="L233" s="153">
        <v>0</v>
      </c>
      <c r="M233" s="153">
        <v>0</v>
      </c>
      <c r="N233" s="153">
        <v>0</v>
      </c>
      <c r="O233" s="153">
        <f>+Q191</f>
        <v>10450.992730464161</v>
      </c>
      <c r="P233" s="153">
        <f t="shared" ref="P233:T233" si="58">+R191</f>
        <v>0</v>
      </c>
      <c r="Q233" s="153">
        <f t="shared" si="58"/>
        <v>0</v>
      </c>
      <c r="R233" s="153">
        <f t="shared" si="58"/>
        <v>0</v>
      </c>
      <c r="S233" s="153">
        <f t="shared" si="58"/>
        <v>0</v>
      </c>
      <c r="T233" s="153">
        <f t="shared" si="58"/>
        <v>14631.389822649824</v>
      </c>
      <c r="U233" s="153">
        <v>0</v>
      </c>
      <c r="V233" s="153">
        <v>0</v>
      </c>
      <c r="W233" s="153">
        <v>0</v>
      </c>
      <c r="X233" s="153">
        <v>0</v>
      </c>
      <c r="Y233" s="153">
        <v>0</v>
      </c>
      <c r="Z233" s="148">
        <v>0</v>
      </c>
      <c r="AA233" s="133"/>
    </row>
    <row r="234" spans="1:28" ht="15.75" customHeight="1" x14ac:dyDescent="0.2">
      <c r="A234" s="133"/>
      <c r="B234" s="152">
        <v>14</v>
      </c>
      <c r="C234" s="146">
        <f t="shared" ref="C234:C238" si="59">+W192</f>
        <v>0</v>
      </c>
      <c r="D234" s="147">
        <f t="shared" si="57"/>
        <v>-880000</v>
      </c>
      <c r="E234" s="147">
        <f t="shared" si="57"/>
        <v>0</v>
      </c>
      <c r="F234" s="147">
        <f t="shared" si="57"/>
        <v>0</v>
      </c>
      <c r="G234" s="147">
        <f t="shared" si="57"/>
        <v>0</v>
      </c>
      <c r="H234" s="148">
        <f t="shared" si="57"/>
        <v>0</v>
      </c>
      <c r="I234" s="153">
        <v>0</v>
      </c>
      <c r="J234" s="153">
        <v>0</v>
      </c>
      <c r="K234" s="153">
        <v>0</v>
      </c>
      <c r="L234" s="153">
        <v>0</v>
      </c>
      <c r="M234" s="153">
        <v>0</v>
      </c>
      <c r="N234" s="153">
        <v>0</v>
      </c>
      <c r="O234" s="153">
        <f t="shared" ref="O234:O238" si="60">+Q192</f>
        <v>0</v>
      </c>
      <c r="P234" s="153">
        <f t="shared" ref="P234:P238" si="61">+R192</f>
        <v>880000</v>
      </c>
      <c r="Q234" s="153">
        <f t="shared" ref="Q234:Q238" si="62">+S192</f>
        <v>0</v>
      </c>
      <c r="R234" s="153">
        <f t="shared" ref="R234:R238" si="63">+T192</f>
        <v>0</v>
      </c>
      <c r="S234" s="153">
        <f t="shared" ref="S234:S238" si="64">+U192</f>
        <v>0</v>
      </c>
      <c r="T234" s="153">
        <f t="shared" ref="T234:T238" si="65">+V192</f>
        <v>0</v>
      </c>
      <c r="U234" s="153">
        <v>0</v>
      </c>
      <c r="V234" s="153">
        <v>0</v>
      </c>
      <c r="W234" s="153">
        <v>0</v>
      </c>
      <c r="X234" s="153">
        <v>0</v>
      </c>
      <c r="Y234" s="153">
        <v>0</v>
      </c>
      <c r="Z234" s="148">
        <v>0</v>
      </c>
      <c r="AA234" s="133"/>
    </row>
    <row r="235" spans="1:28" ht="15.75" customHeight="1" x14ac:dyDescent="0.2">
      <c r="A235" s="133"/>
      <c r="B235" s="152">
        <v>15</v>
      </c>
      <c r="C235" s="146">
        <f t="shared" si="59"/>
        <v>0</v>
      </c>
      <c r="D235" s="147">
        <f t="shared" si="57"/>
        <v>0</v>
      </c>
      <c r="E235" s="147">
        <f t="shared" si="57"/>
        <v>-18095.023062284305</v>
      </c>
      <c r="F235" s="147">
        <f t="shared" si="57"/>
        <v>-28952.03689965489</v>
      </c>
      <c r="G235" s="147">
        <f t="shared" si="57"/>
        <v>0</v>
      </c>
      <c r="H235" s="148">
        <f t="shared" si="57"/>
        <v>0</v>
      </c>
      <c r="I235" s="153">
        <v>0</v>
      </c>
      <c r="J235" s="153">
        <v>0</v>
      </c>
      <c r="K235" s="153">
        <v>0</v>
      </c>
      <c r="L235" s="153">
        <v>0</v>
      </c>
      <c r="M235" s="153">
        <v>0</v>
      </c>
      <c r="N235" s="153">
        <v>0</v>
      </c>
      <c r="O235" s="153">
        <f t="shared" si="60"/>
        <v>0</v>
      </c>
      <c r="P235" s="153">
        <f t="shared" si="61"/>
        <v>0</v>
      </c>
      <c r="Q235" s="153">
        <f t="shared" si="62"/>
        <v>18095.023062284305</v>
      </c>
      <c r="R235" s="153">
        <f t="shared" si="63"/>
        <v>-25333.032287198028</v>
      </c>
      <c r="S235" s="153">
        <f t="shared" si="64"/>
        <v>0</v>
      </c>
      <c r="T235" s="153">
        <f t="shared" si="65"/>
        <v>0</v>
      </c>
      <c r="U235" s="153">
        <v>0</v>
      </c>
      <c r="V235" s="153">
        <v>0</v>
      </c>
      <c r="W235" s="153">
        <v>0</v>
      </c>
      <c r="X235" s="153">
        <v>0</v>
      </c>
      <c r="Y235" s="153">
        <v>0</v>
      </c>
      <c r="Z235" s="148">
        <v>0</v>
      </c>
      <c r="AA235" s="133"/>
    </row>
    <row r="236" spans="1:28" ht="15.75" customHeight="1" x14ac:dyDescent="0.2">
      <c r="A236" s="133"/>
      <c r="B236" s="152">
        <v>16</v>
      </c>
      <c r="C236" s="146">
        <f t="shared" si="59"/>
        <v>0</v>
      </c>
      <c r="D236" s="147">
        <f t="shared" si="57"/>
        <v>0</v>
      </c>
      <c r="E236" s="147">
        <f t="shared" si="57"/>
        <v>25333.032287198028</v>
      </c>
      <c r="F236" s="147">
        <f t="shared" si="57"/>
        <v>27961.423088088261</v>
      </c>
      <c r="G236" s="147">
        <f t="shared" si="57"/>
        <v>0</v>
      </c>
      <c r="H236" s="148">
        <f t="shared" si="57"/>
        <v>0</v>
      </c>
      <c r="I236" s="153">
        <v>0</v>
      </c>
      <c r="J236" s="153">
        <v>0</v>
      </c>
      <c r="K236" s="153">
        <v>0</v>
      </c>
      <c r="L236" s="153">
        <v>0</v>
      </c>
      <c r="M236" s="153">
        <v>0</v>
      </c>
      <c r="N236" s="153">
        <v>0</v>
      </c>
      <c r="O236" s="153">
        <f t="shared" si="60"/>
        <v>0</v>
      </c>
      <c r="P236" s="153">
        <f t="shared" si="61"/>
        <v>0</v>
      </c>
      <c r="Q236" s="153">
        <f t="shared" si="62"/>
        <v>-25333.032287198028</v>
      </c>
      <c r="R236" s="153">
        <f t="shared" si="63"/>
        <v>48037.673773505805</v>
      </c>
      <c r="S236" s="153">
        <f t="shared" si="64"/>
        <v>0</v>
      </c>
      <c r="T236" s="153">
        <f t="shared" si="65"/>
        <v>0</v>
      </c>
      <c r="U236" s="153">
        <v>0</v>
      </c>
      <c r="V236" s="153">
        <v>0</v>
      </c>
      <c r="W236" s="153">
        <v>0</v>
      </c>
      <c r="X236" s="153">
        <v>0</v>
      </c>
      <c r="Y236" s="153">
        <v>0</v>
      </c>
      <c r="Z236" s="148">
        <v>0</v>
      </c>
      <c r="AA236" s="133"/>
    </row>
    <row r="237" spans="1:28" ht="15.75" customHeight="1" x14ac:dyDescent="0.2">
      <c r="A237" s="133"/>
      <c r="B237" s="152">
        <v>17</v>
      </c>
      <c r="C237" s="146">
        <f t="shared" si="59"/>
        <v>0</v>
      </c>
      <c r="D237" s="147">
        <f t="shared" si="57"/>
        <v>0</v>
      </c>
      <c r="E237" s="147">
        <f t="shared" si="57"/>
        <v>0</v>
      </c>
      <c r="F237" s="147">
        <f t="shared" si="57"/>
        <v>0</v>
      </c>
      <c r="G237" s="147">
        <f t="shared" si="57"/>
        <v>-5507.57666015625</v>
      </c>
      <c r="H237" s="148">
        <f t="shared" si="57"/>
        <v>0</v>
      </c>
      <c r="I237" s="153">
        <v>0</v>
      </c>
      <c r="J237" s="153">
        <v>0</v>
      </c>
      <c r="K237" s="153">
        <v>0</v>
      </c>
      <c r="L237" s="153">
        <v>0</v>
      </c>
      <c r="M237" s="153">
        <v>0</v>
      </c>
      <c r="N237" s="153">
        <v>0</v>
      </c>
      <c r="O237" s="153">
        <f t="shared" si="60"/>
        <v>0</v>
      </c>
      <c r="P237" s="153">
        <f t="shared" si="61"/>
        <v>0</v>
      </c>
      <c r="Q237" s="153">
        <f t="shared" si="62"/>
        <v>0</v>
      </c>
      <c r="R237" s="153">
        <f t="shared" si="63"/>
        <v>0</v>
      </c>
      <c r="S237" s="153">
        <f t="shared" si="64"/>
        <v>5507.57666015625</v>
      </c>
      <c r="T237" s="153">
        <f t="shared" si="65"/>
        <v>0</v>
      </c>
      <c r="U237" s="153">
        <v>0</v>
      </c>
      <c r="V237" s="153">
        <v>0</v>
      </c>
      <c r="W237" s="153">
        <v>0</v>
      </c>
      <c r="X237" s="153">
        <v>0</v>
      </c>
      <c r="Y237" s="153">
        <v>0</v>
      </c>
      <c r="Z237" s="148">
        <v>0</v>
      </c>
      <c r="AA237" s="133"/>
    </row>
    <row r="238" spans="1:28" ht="15.75" customHeight="1" x14ac:dyDescent="0.2">
      <c r="A238" s="133"/>
      <c r="B238" s="152">
        <v>18</v>
      </c>
      <c r="C238" s="146">
        <f t="shared" si="59"/>
        <v>-14631.389822649824</v>
      </c>
      <c r="D238" s="147">
        <f t="shared" si="57"/>
        <v>0</v>
      </c>
      <c r="E238" s="147">
        <f t="shared" si="57"/>
        <v>0</v>
      </c>
      <c r="F238" s="147">
        <f t="shared" si="57"/>
        <v>0</v>
      </c>
      <c r="G238" s="147">
        <f t="shared" si="57"/>
        <v>0</v>
      </c>
      <c r="H238" s="148">
        <f t="shared" si="57"/>
        <v>13412.51718028118</v>
      </c>
      <c r="I238" s="153">
        <v>0</v>
      </c>
      <c r="J238" s="153">
        <v>0</v>
      </c>
      <c r="K238" s="153">
        <v>0</v>
      </c>
      <c r="L238" s="153">
        <v>0</v>
      </c>
      <c r="M238" s="153">
        <v>0</v>
      </c>
      <c r="N238" s="153">
        <v>0</v>
      </c>
      <c r="O238" s="153">
        <f t="shared" si="60"/>
        <v>14631.389822649824</v>
      </c>
      <c r="P238" s="153">
        <f t="shared" si="61"/>
        <v>0</v>
      </c>
      <c r="Q238" s="153">
        <f t="shared" si="62"/>
        <v>0</v>
      </c>
      <c r="R238" s="153">
        <f t="shared" si="63"/>
        <v>0</v>
      </c>
      <c r="S238" s="153">
        <f t="shared" si="64"/>
        <v>0</v>
      </c>
      <c r="T238" s="153">
        <f t="shared" si="65"/>
        <v>27555.374323138323</v>
      </c>
      <c r="U238" s="153">
        <v>0</v>
      </c>
      <c r="V238" s="153">
        <v>0</v>
      </c>
      <c r="W238" s="153">
        <v>0</v>
      </c>
      <c r="X238" s="153">
        <v>0</v>
      </c>
      <c r="Y238" s="153">
        <v>0</v>
      </c>
      <c r="Z238" s="148">
        <v>0</v>
      </c>
      <c r="AA238" s="133"/>
    </row>
    <row r="239" spans="1:28" ht="15.75" customHeight="1" x14ac:dyDescent="0.2">
      <c r="A239" s="133"/>
      <c r="B239" s="152">
        <v>19</v>
      </c>
      <c r="C239" s="146">
        <f>+W177</f>
        <v>-14329.092733642607</v>
      </c>
      <c r="D239" s="147">
        <f t="shared" ref="D239:H244" si="66">+X177</f>
        <v>0</v>
      </c>
      <c r="E239" s="147">
        <f t="shared" si="66"/>
        <v>0</v>
      </c>
      <c r="F239" s="147">
        <f t="shared" si="66"/>
        <v>0</v>
      </c>
      <c r="G239" s="147">
        <f t="shared" si="66"/>
        <v>20418.957145440716</v>
      </c>
      <c r="H239" s="148">
        <f t="shared" si="66"/>
        <v>0</v>
      </c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>
        <v>0</v>
      </c>
      <c r="O239" s="155">
        <v>0</v>
      </c>
      <c r="P239" s="153">
        <v>0</v>
      </c>
      <c r="Q239" s="153">
        <v>0</v>
      </c>
      <c r="R239" s="153">
        <v>0</v>
      </c>
      <c r="S239" s="153">
        <v>0</v>
      </c>
      <c r="T239" s="153">
        <v>0</v>
      </c>
      <c r="U239" s="147">
        <f>Q177</f>
        <v>14329.092733642607</v>
      </c>
      <c r="V239" s="147">
        <f t="shared" ref="V239:Z244" si="67">R177</f>
        <v>0</v>
      </c>
      <c r="W239" s="147">
        <f t="shared" si="67"/>
        <v>0</v>
      </c>
      <c r="X239" s="147">
        <f t="shared" si="67"/>
        <v>0</v>
      </c>
      <c r="Y239" s="147">
        <f t="shared" si="67"/>
        <v>20418.957145440716</v>
      </c>
      <c r="Z239" s="148">
        <f>V177</f>
        <v>0</v>
      </c>
      <c r="AA239" s="133"/>
    </row>
    <row r="240" spans="1:28" ht="15.75" customHeight="1" x14ac:dyDescent="0.2">
      <c r="A240" s="133"/>
      <c r="B240" s="152">
        <v>20</v>
      </c>
      <c r="C240" s="146">
        <f t="shared" ref="C240:C244" si="68">+W178</f>
        <v>0</v>
      </c>
      <c r="D240" s="147">
        <f t="shared" si="66"/>
        <v>-5801.1100284440517</v>
      </c>
      <c r="E240" s="147">
        <f t="shared" si="66"/>
        <v>0</v>
      </c>
      <c r="F240" s="147">
        <f t="shared" si="66"/>
        <v>-9136.7482947993813</v>
      </c>
      <c r="G240" s="147">
        <f t="shared" si="66"/>
        <v>0</v>
      </c>
      <c r="H240" s="148">
        <f t="shared" si="66"/>
        <v>0</v>
      </c>
      <c r="I240" s="153">
        <v>0</v>
      </c>
      <c r="J240" s="153">
        <v>0</v>
      </c>
      <c r="K240" s="153">
        <v>0</v>
      </c>
      <c r="L240" s="153">
        <v>0</v>
      </c>
      <c r="M240" s="153">
        <v>0</v>
      </c>
      <c r="N240" s="153">
        <v>0</v>
      </c>
      <c r="O240" s="155">
        <v>0</v>
      </c>
      <c r="P240" s="153">
        <v>0</v>
      </c>
      <c r="Q240" s="153">
        <v>0</v>
      </c>
      <c r="R240" s="153">
        <v>0</v>
      </c>
      <c r="S240" s="153">
        <v>0</v>
      </c>
      <c r="T240" s="153">
        <v>0</v>
      </c>
      <c r="U240" s="147">
        <f t="shared" ref="U240:U244" si="69">Q178</f>
        <v>0</v>
      </c>
      <c r="V240" s="147">
        <f t="shared" si="67"/>
        <v>5801.1100284440517</v>
      </c>
      <c r="W240" s="147">
        <f t="shared" si="67"/>
        <v>0</v>
      </c>
      <c r="X240" s="147">
        <f t="shared" si="67"/>
        <v>-8266.5817905327731</v>
      </c>
      <c r="Y240" s="147">
        <f t="shared" si="67"/>
        <v>0</v>
      </c>
      <c r="Z240" s="148">
        <f t="shared" si="67"/>
        <v>0</v>
      </c>
      <c r="AA240" s="133"/>
    </row>
    <row r="241" spans="1:28" ht="15.75" customHeight="1" x14ac:dyDescent="0.2">
      <c r="A241" s="133"/>
      <c r="B241" s="152">
        <v>21</v>
      </c>
      <c r="C241" s="146">
        <f t="shared" si="68"/>
        <v>0</v>
      </c>
      <c r="D241" s="147">
        <f t="shared" si="66"/>
        <v>0</v>
      </c>
      <c r="E241" s="147">
        <f t="shared" si="66"/>
        <v>-733333.33333333337</v>
      </c>
      <c r="F241" s="147">
        <f t="shared" si="66"/>
        <v>0</v>
      </c>
      <c r="G241" s="147">
        <f t="shared" si="66"/>
        <v>0</v>
      </c>
      <c r="H241" s="148">
        <f t="shared" si="66"/>
        <v>0</v>
      </c>
      <c r="I241" s="153">
        <v>0</v>
      </c>
      <c r="J241" s="153">
        <v>0</v>
      </c>
      <c r="K241" s="153">
        <v>0</v>
      </c>
      <c r="L241" s="153">
        <v>0</v>
      </c>
      <c r="M241" s="153">
        <v>0</v>
      </c>
      <c r="N241" s="153">
        <v>0</v>
      </c>
      <c r="O241" s="155">
        <v>0</v>
      </c>
      <c r="P241" s="153">
        <v>0</v>
      </c>
      <c r="Q241" s="153">
        <v>0</v>
      </c>
      <c r="R241" s="153">
        <v>0</v>
      </c>
      <c r="S241" s="153">
        <v>0</v>
      </c>
      <c r="T241" s="153">
        <v>0</v>
      </c>
      <c r="U241" s="147">
        <f t="shared" si="69"/>
        <v>0</v>
      </c>
      <c r="V241" s="147">
        <f t="shared" si="67"/>
        <v>0</v>
      </c>
      <c r="W241" s="147">
        <f t="shared" si="67"/>
        <v>733333.33333333337</v>
      </c>
      <c r="X241" s="147">
        <f t="shared" si="67"/>
        <v>0</v>
      </c>
      <c r="Y241" s="147">
        <f t="shared" si="67"/>
        <v>0</v>
      </c>
      <c r="Z241" s="148">
        <f t="shared" si="67"/>
        <v>0</v>
      </c>
      <c r="AA241" s="133"/>
    </row>
    <row r="242" spans="1:28" ht="15.75" customHeight="1" x14ac:dyDescent="0.2">
      <c r="A242" s="133"/>
      <c r="B242" s="152">
        <v>22</v>
      </c>
      <c r="C242" s="146">
        <f t="shared" si="68"/>
        <v>0</v>
      </c>
      <c r="D242" s="147">
        <f t="shared" si="66"/>
        <v>8266.5817905327731</v>
      </c>
      <c r="E242" s="147">
        <f t="shared" si="66"/>
        <v>0</v>
      </c>
      <c r="F242" s="147">
        <f t="shared" si="66"/>
        <v>8999.3984838318083</v>
      </c>
      <c r="G242" s="147">
        <f t="shared" si="66"/>
        <v>0</v>
      </c>
      <c r="H242" s="148">
        <f t="shared" si="66"/>
        <v>0</v>
      </c>
      <c r="I242" s="153">
        <v>0</v>
      </c>
      <c r="J242" s="153">
        <v>0</v>
      </c>
      <c r="K242" s="153">
        <v>0</v>
      </c>
      <c r="L242" s="153">
        <v>0</v>
      </c>
      <c r="M242" s="153">
        <v>0</v>
      </c>
      <c r="N242" s="153">
        <v>0</v>
      </c>
      <c r="O242" s="153">
        <v>0</v>
      </c>
      <c r="P242" s="153">
        <v>0</v>
      </c>
      <c r="Q242" s="153">
        <v>0</v>
      </c>
      <c r="R242" s="153">
        <v>0</v>
      </c>
      <c r="S242" s="153">
        <v>0</v>
      </c>
      <c r="T242" s="153">
        <v>0</v>
      </c>
      <c r="U242" s="147">
        <f t="shared" si="69"/>
        <v>0</v>
      </c>
      <c r="V242" s="147">
        <f t="shared" si="67"/>
        <v>-8266.5817905327731</v>
      </c>
      <c r="W242" s="147">
        <f t="shared" si="67"/>
        <v>0</v>
      </c>
      <c r="X242" s="147">
        <f t="shared" si="67"/>
        <v>15800.346887766511</v>
      </c>
      <c r="Y242" s="147">
        <f t="shared" si="67"/>
        <v>0</v>
      </c>
      <c r="Z242" s="148">
        <f t="shared" si="67"/>
        <v>0</v>
      </c>
      <c r="AA242" s="133"/>
      <c r="AB242" s="57"/>
    </row>
    <row r="243" spans="1:28" ht="15.75" customHeight="1" x14ac:dyDescent="0.2">
      <c r="A243" s="133"/>
      <c r="B243" s="152">
        <v>23</v>
      </c>
      <c r="C243" s="146">
        <f t="shared" si="68"/>
        <v>-20418.957145440716</v>
      </c>
      <c r="D243" s="147">
        <f t="shared" si="66"/>
        <v>0</v>
      </c>
      <c r="E243" s="147">
        <f t="shared" si="66"/>
        <v>0</v>
      </c>
      <c r="F243" s="147">
        <f t="shared" si="66"/>
        <v>0</v>
      </c>
      <c r="G243" s="147">
        <f t="shared" si="66"/>
        <v>18804.616271434305</v>
      </c>
      <c r="H243" s="148">
        <f t="shared" si="66"/>
        <v>0</v>
      </c>
      <c r="I243" s="153">
        <v>0</v>
      </c>
      <c r="J243" s="153">
        <v>0</v>
      </c>
      <c r="K243" s="153">
        <v>0</v>
      </c>
      <c r="L243" s="153">
        <v>0</v>
      </c>
      <c r="M243" s="153">
        <v>0</v>
      </c>
      <c r="N243" s="153">
        <v>0</v>
      </c>
      <c r="O243" s="155">
        <v>0</v>
      </c>
      <c r="P243" s="153">
        <v>0</v>
      </c>
      <c r="Q243" s="153">
        <v>0</v>
      </c>
      <c r="R243" s="153">
        <v>0</v>
      </c>
      <c r="S243" s="153">
        <v>0</v>
      </c>
      <c r="T243" s="153">
        <v>0</v>
      </c>
      <c r="U243" s="147">
        <f t="shared" si="69"/>
        <v>20418.957145440716</v>
      </c>
      <c r="V243" s="147">
        <f t="shared" si="67"/>
        <v>0</v>
      </c>
      <c r="W243" s="147">
        <f t="shared" si="67"/>
        <v>0</v>
      </c>
      <c r="X243" s="147">
        <f t="shared" si="67"/>
        <v>0</v>
      </c>
      <c r="Y243" s="147">
        <f t="shared" si="67"/>
        <v>39389.411593071731</v>
      </c>
      <c r="Z243" s="148">
        <f t="shared" si="67"/>
        <v>0</v>
      </c>
      <c r="AA243" s="133"/>
    </row>
    <row r="244" spans="1:28" ht="15.75" customHeight="1" x14ac:dyDescent="0.2">
      <c r="A244" s="133"/>
      <c r="B244" s="152">
        <v>24</v>
      </c>
      <c r="C244" s="149">
        <f t="shared" si="68"/>
        <v>0</v>
      </c>
      <c r="D244" s="150">
        <f t="shared" si="66"/>
        <v>0</v>
      </c>
      <c r="E244" s="150">
        <f t="shared" si="66"/>
        <v>0</v>
      </c>
      <c r="F244" s="150">
        <f t="shared" si="66"/>
        <v>0</v>
      </c>
      <c r="G244" s="150">
        <f t="shared" si="66"/>
        <v>0</v>
      </c>
      <c r="H244" s="151">
        <f t="shared" si="66"/>
        <v>-3608.1129974789087</v>
      </c>
      <c r="I244" s="150">
        <v>0</v>
      </c>
      <c r="J244" s="150">
        <v>0</v>
      </c>
      <c r="K244" s="150">
        <v>0</v>
      </c>
      <c r="L244" s="150">
        <v>0</v>
      </c>
      <c r="M244" s="150">
        <v>0</v>
      </c>
      <c r="N244" s="150">
        <v>0</v>
      </c>
      <c r="O244" s="150">
        <v>0</v>
      </c>
      <c r="P244" s="150">
        <v>0</v>
      </c>
      <c r="Q244" s="150">
        <v>0</v>
      </c>
      <c r="R244" s="150">
        <v>0</v>
      </c>
      <c r="S244" s="150">
        <v>0</v>
      </c>
      <c r="T244" s="150">
        <v>0</v>
      </c>
      <c r="U244" s="150">
        <f t="shared" si="69"/>
        <v>0</v>
      </c>
      <c r="V244" s="150">
        <f t="shared" si="67"/>
        <v>0</v>
      </c>
      <c r="W244" s="150">
        <f t="shared" si="67"/>
        <v>0</v>
      </c>
      <c r="X244" s="150">
        <f t="shared" si="67"/>
        <v>0</v>
      </c>
      <c r="Y244" s="150">
        <f t="shared" si="67"/>
        <v>0</v>
      </c>
      <c r="Z244" s="151">
        <f t="shared" si="67"/>
        <v>3608.1129974789087</v>
      </c>
      <c r="AA244" s="133"/>
    </row>
    <row r="245" spans="1:28" ht="15.75" customHeight="1" x14ac:dyDescent="0.2">
      <c r="B245" s="4"/>
      <c r="C245" s="58"/>
      <c r="D245" s="19"/>
      <c r="E245" s="58"/>
      <c r="F245" s="58"/>
      <c r="G245" s="58"/>
      <c r="H245" s="58"/>
      <c r="L245" s="58"/>
      <c r="M245" s="58"/>
      <c r="N245" s="36"/>
    </row>
    <row r="246" spans="1:28" ht="15.75" customHeight="1" x14ac:dyDescent="0.2">
      <c r="B246" s="58"/>
      <c r="C246" s="58"/>
      <c r="D246" s="19"/>
      <c r="E246" s="58"/>
      <c r="F246" s="58"/>
      <c r="G246" s="58"/>
      <c r="H246" s="58"/>
      <c r="I246" s="58"/>
      <c r="J246" s="58"/>
      <c r="K246" s="40"/>
      <c r="N246" s="36"/>
    </row>
    <row r="247" spans="1:28" ht="15.75" customHeight="1" x14ac:dyDescent="0.2">
      <c r="A247" s="4" t="s">
        <v>81</v>
      </c>
    </row>
    <row r="248" spans="1:28" ht="15.75" customHeight="1" x14ac:dyDescent="0.2"/>
    <row r="249" spans="1:28" ht="15.75" customHeight="1" x14ac:dyDescent="0.2">
      <c r="A249" s="4" t="s">
        <v>82</v>
      </c>
      <c r="N249" s="4" t="s">
        <v>83</v>
      </c>
    </row>
    <row r="250" spans="1:28" ht="15.75" customHeight="1" x14ac:dyDescent="0.2"/>
    <row r="251" spans="1:28" ht="15.75" customHeight="1" x14ac:dyDescent="0.25">
      <c r="B251" s="128">
        <f t="shared" ref="B251:B256" si="70">+F251+I257</f>
        <v>0</v>
      </c>
      <c r="C251" s="40">
        <v>1</v>
      </c>
      <c r="E251" s="14"/>
      <c r="F251" s="60">
        <v>0</v>
      </c>
      <c r="G251" s="40">
        <v>1</v>
      </c>
      <c r="H251" s="14"/>
      <c r="I251" s="59" t="s">
        <v>87</v>
      </c>
      <c r="J251" s="36">
        <v>19</v>
      </c>
      <c r="K251" s="14"/>
      <c r="L251" s="59" t="s">
        <v>86</v>
      </c>
      <c r="M251" s="36">
        <v>13</v>
      </c>
      <c r="O251" s="128" cm="1">
        <f t="array" ref="O251:O256">+S251:S256+V257:V262+Y257:Y262</f>
        <v>0</v>
      </c>
      <c r="P251" s="129">
        <v>1</v>
      </c>
      <c r="Q251" s="130"/>
      <c r="R251" s="131"/>
      <c r="S251" s="128">
        <v>0</v>
      </c>
      <c r="T251" s="129">
        <v>1</v>
      </c>
      <c r="U251" s="133"/>
      <c r="V251" s="128">
        <v>0</v>
      </c>
      <c r="W251" s="132">
        <v>13</v>
      </c>
      <c r="X251" s="133"/>
      <c r="Y251" s="128">
        <v>0</v>
      </c>
      <c r="Z251" s="132">
        <v>19</v>
      </c>
    </row>
    <row r="252" spans="1:28" ht="15.75" customHeight="1" x14ac:dyDescent="0.25">
      <c r="B252" s="128">
        <f t="shared" si="70"/>
        <v>0</v>
      </c>
      <c r="C252" s="40">
        <v>2</v>
      </c>
      <c r="E252" s="14"/>
      <c r="F252" s="60">
        <v>0</v>
      </c>
      <c r="G252" s="40">
        <v>2</v>
      </c>
      <c r="H252" s="14"/>
      <c r="I252" s="59" t="s">
        <v>90</v>
      </c>
      <c r="J252" s="36">
        <v>20</v>
      </c>
      <c r="K252" s="14"/>
      <c r="L252" s="59" t="s">
        <v>89</v>
      </c>
      <c r="M252" s="36">
        <v>14</v>
      </c>
      <c r="O252" s="128">
        <v>107.47499999999999</v>
      </c>
      <c r="P252" s="129">
        <v>2</v>
      </c>
      <c r="Q252" s="130"/>
      <c r="R252" s="131"/>
      <c r="S252" s="128">
        <f>24*(5-(R46-S46))/2</f>
        <v>57.599999999999994</v>
      </c>
      <c r="T252" s="129">
        <v>2</v>
      </c>
      <c r="U252" s="133"/>
      <c r="V252" s="128">
        <f>35*(3-(R47+S47))/2</f>
        <v>49.875</v>
      </c>
      <c r="W252" s="132">
        <v>14</v>
      </c>
      <c r="X252" s="133"/>
      <c r="Y252" s="128">
        <v>0</v>
      </c>
      <c r="Z252" s="132">
        <v>20</v>
      </c>
    </row>
    <row r="253" spans="1:28" ht="15.75" customHeight="1" x14ac:dyDescent="0.25">
      <c r="B253" s="128">
        <f t="shared" si="70"/>
        <v>0</v>
      </c>
      <c r="C253" s="40">
        <v>3</v>
      </c>
      <c r="F253" s="60">
        <v>0</v>
      </c>
      <c r="G253" s="40">
        <v>3</v>
      </c>
      <c r="I253" s="59" t="s">
        <v>93</v>
      </c>
      <c r="J253" s="36">
        <v>21</v>
      </c>
      <c r="L253" s="59" t="s">
        <v>92</v>
      </c>
      <c r="M253" s="36">
        <v>15</v>
      </c>
      <c r="O253" s="128">
        <v>0</v>
      </c>
      <c r="P253" s="129">
        <v>3</v>
      </c>
      <c r="Q253" s="130"/>
      <c r="R253" s="133"/>
      <c r="S253" s="128">
        <v>0</v>
      </c>
      <c r="T253" s="129">
        <v>3</v>
      </c>
      <c r="U253" s="133"/>
      <c r="V253" s="128">
        <v>0</v>
      </c>
      <c r="W253" s="132">
        <v>15</v>
      </c>
      <c r="X253" s="133"/>
      <c r="Y253" s="128">
        <v>0</v>
      </c>
      <c r="Z253" s="132">
        <v>21</v>
      </c>
    </row>
    <row r="254" spans="1:28" ht="15.75" customHeight="1" x14ac:dyDescent="0.25">
      <c r="B254" s="128">
        <f t="shared" si="70"/>
        <v>0</v>
      </c>
      <c r="C254" s="40">
        <v>4</v>
      </c>
      <c r="F254" s="60">
        <f>+R39</f>
        <v>0</v>
      </c>
      <c r="G254" s="40">
        <v>4</v>
      </c>
      <c r="I254" s="59" t="s">
        <v>97</v>
      </c>
      <c r="J254" s="36">
        <v>22</v>
      </c>
      <c r="L254" s="59" t="s">
        <v>96</v>
      </c>
      <c r="M254" s="36">
        <v>16</v>
      </c>
      <c r="O254" s="128">
        <v>0</v>
      </c>
      <c r="P254" s="129">
        <v>4</v>
      </c>
      <c r="Q254" s="130"/>
      <c r="R254" s="133"/>
      <c r="S254" s="128">
        <v>0</v>
      </c>
      <c r="T254" s="129">
        <v>4</v>
      </c>
      <c r="U254" s="133"/>
      <c r="V254" s="128">
        <v>0</v>
      </c>
      <c r="W254" s="132">
        <v>16</v>
      </c>
      <c r="X254" s="133"/>
      <c r="Y254" s="128">
        <v>0</v>
      </c>
      <c r="Z254" s="132">
        <v>22</v>
      </c>
    </row>
    <row r="255" spans="1:28" ht="15.75" customHeight="1" x14ac:dyDescent="0.25">
      <c r="B255" s="128">
        <f t="shared" si="70"/>
        <v>0</v>
      </c>
      <c r="C255" s="40">
        <v>5</v>
      </c>
      <c r="F255" s="60">
        <v>0</v>
      </c>
      <c r="G255" s="40">
        <v>5</v>
      </c>
      <c r="H255" s="14"/>
      <c r="I255" s="59" t="s">
        <v>100</v>
      </c>
      <c r="J255" s="36">
        <v>23</v>
      </c>
      <c r="K255" s="14"/>
      <c r="L255" s="59" t="s">
        <v>99</v>
      </c>
      <c r="M255" s="36">
        <v>17</v>
      </c>
      <c r="O255" s="128">
        <v>0</v>
      </c>
      <c r="P255" s="129">
        <v>5</v>
      </c>
      <c r="Q255" s="130"/>
      <c r="R255" s="131"/>
      <c r="S255" s="128">
        <v>0</v>
      </c>
      <c r="T255" s="129">
        <v>5</v>
      </c>
      <c r="U255" s="133"/>
      <c r="V255" s="128">
        <v>0</v>
      </c>
      <c r="W255" s="132">
        <v>17</v>
      </c>
      <c r="X255" s="133"/>
      <c r="Y255" s="128">
        <v>0</v>
      </c>
      <c r="Z255" s="132">
        <v>23</v>
      </c>
    </row>
    <row r="256" spans="1:28" ht="15.75" customHeight="1" x14ac:dyDescent="0.25">
      <c r="B256" s="128">
        <f t="shared" si="70"/>
        <v>0</v>
      </c>
      <c r="C256" s="40">
        <v>6</v>
      </c>
      <c r="E256" s="115" t="s">
        <v>101</v>
      </c>
      <c r="F256" s="60">
        <f>+T39</f>
        <v>0</v>
      </c>
      <c r="G256" s="40">
        <v>6</v>
      </c>
      <c r="H256" s="115" t="s">
        <v>103</v>
      </c>
      <c r="I256" s="59" t="s">
        <v>106</v>
      </c>
      <c r="J256" s="36">
        <v>24</v>
      </c>
      <c r="K256" s="115" t="s">
        <v>105</v>
      </c>
      <c r="L256" s="59" t="s">
        <v>104</v>
      </c>
      <c r="M256" s="36">
        <v>18</v>
      </c>
      <c r="O256" s="128">
        <v>17.139375000000008</v>
      </c>
      <c r="P256" s="129">
        <v>6</v>
      </c>
      <c r="Q256" s="130"/>
      <c r="R256" s="134" t="s">
        <v>107</v>
      </c>
      <c r="S256" s="128">
        <f>+(24*((5-(R46-S46)))^2)/12</f>
        <v>46.080000000000005</v>
      </c>
      <c r="T256" s="129">
        <v>6</v>
      </c>
      <c r="U256" s="134" t="s">
        <v>108</v>
      </c>
      <c r="V256" s="128">
        <f>+(35*((3-(R47-S47)))^2)/12</f>
        <v>28.940624999999997</v>
      </c>
      <c r="W256" s="132">
        <v>18</v>
      </c>
      <c r="X256" s="134" t="s">
        <v>109</v>
      </c>
      <c r="Y256" s="128">
        <v>0</v>
      </c>
      <c r="Z256" s="132">
        <v>24</v>
      </c>
    </row>
    <row r="257" spans="1:26" ht="15.75" customHeight="1" x14ac:dyDescent="0.25">
      <c r="B257" s="59" t="s">
        <v>85</v>
      </c>
      <c r="C257" s="36">
        <v>7</v>
      </c>
      <c r="E257" s="115"/>
      <c r="F257" s="59" t="s">
        <v>85</v>
      </c>
      <c r="G257" s="36">
        <v>7</v>
      </c>
      <c r="H257" s="115"/>
      <c r="I257" s="60">
        <v>0</v>
      </c>
      <c r="J257" s="40">
        <v>1</v>
      </c>
      <c r="K257" s="115"/>
      <c r="L257" s="60">
        <v>0</v>
      </c>
      <c r="M257" s="40">
        <v>1</v>
      </c>
      <c r="O257" s="128" cm="1">
        <f t="array" ref="O257:O262">+S257:S262</f>
        <v>0</v>
      </c>
      <c r="P257" s="132">
        <v>7</v>
      </c>
      <c r="Q257" s="130"/>
      <c r="R257" s="134"/>
      <c r="S257" s="128">
        <v>0</v>
      </c>
      <c r="T257" s="132">
        <v>7</v>
      </c>
      <c r="U257" s="134"/>
      <c r="V257" s="128">
        <v>0</v>
      </c>
      <c r="W257" s="129">
        <v>1</v>
      </c>
      <c r="X257" s="134"/>
      <c r="Y257" s="128">
        <v>0</v>
      </c>
      <c r="Z257" s="129">
        <v>1</v>
      </c>
    </row>
    <row r="258" spans="1:26" ht="15.75" customHeight="1" x14ac:dyDescent="0.25">
      <c r="B258" s="59" t="s">
        <v>88</v>
      </c>
      <c r="C258" s="36">
        <v>8</v>
      </c>
      <c r="F258" s="59" t="s">
        <v>88</v>
      </c>
      <c r="G258" s="36">
        <v>8</v>
      </c>
      <c r="I258" s="60">
        <v>0</v>
      </c>
      <c r="J258" s="40">
        <v>2</v>
      </c>
      <c r="K258" s="61"/>
      <c r="L258" s="60">
        <v>0</v>
      </c>
      <c r="M258" s="40">
        <v>2</v>
      </c>
      <c r="O258" s="128">
        <v>57.599999999999994</v>
      </c>
      <c r="P258" s="132">
        <v>8</v>
      </c>
      <c r="Q258" s="130"/>
      <c r="R258" s="133"/>
      <c r="S258" s="128">
        <f>+S252</f>
        <v>57.599999999999994</v>
      </c>
      <c r="T258" s="132">
        <v>8</v>
      </c>
      <c r="U258" s="133"/>
      <c r="V258" s="128">
        <f>+V252</f>
        <v>49.875</v>
      </c>
      <c r="W258" s="129">
        <v>2</v>
      </c>
      <c r="X258" s="133"/>
      <c r="Y258" s="128">
        <v>0</v>
      </c>
      <c r="Z258" s="129">
        <v>2</v>
      </c>
    </row>
    <row r="259" spans="1:26" ht="15.75" customHeight="1" x14ac:dyDescent="0.25">
      <c r="B259" s="59" t="s">
        <v>91</v>
      </c>
      <c r="C259" s="36">
        <v>9</v>
      </c>
      <c r="F259" s="59" t="s">
        <v>91</v>
      </c>
      <c r="G259" s="36">
        <v>9</v>
      </c>
      <c r="I259" s="60">
        <v>0</v>
      </c>
      <c r="J259" s="40">
        <v>3</v>
      </c>
      <c r="K259" s="61"/>
      <c r="L259" s="60">
        <v>0</v>
      </c>
      <c r="M259" s="40">
        <v>3</v>
      </c>
      <c r="N259" s="3"/>
      <c r="O259" s="128">
        <v>0</v>
      </c>
      <c r="P259" s="132">
        <v>9</v>
      </c>
      <c r="Q259" s="130"/>
      <c r="R259" s="133"/>
      <c r="S259" s="128">
        <v>0</v>
      </c>
      <c r="T259" s="132">
        <v>9</v>
      </c>
      <c r="U259" s="133"/>
      <c r="V259" s="128">
        <v>0</v>
      </c>
      <c r="W259" s="129">
        <v>3</v>
      </c>
      <c r="X259" s="133"/>
      <c r="Y259" s="128">
        <v>0</v>
      </c>
      <c r="Z259" s="129">
        <v>3</v>
      </c>
    </row>
    <row r="260" spans="1:26" ht="15.75" customHeight="1" x14ac:dyDescent="0.25">
      <c r="B260" s="59" t="s">
        <v>95</v>
      </c>
      <c r="C260" s="36">
        <v>10</v>
      </c>
      <c r="F260" s="59" t="s">
        <v>95</v>
      </c>
      <c r="G260" s="36">
        <v>10</v>
      </c>
      <c r="I260" s="60">
        <v>0</v>
      </c>
      <c r="J260" s="40">
        <v>4</v>
      </c>
      <c r="K260" s="61"/>
      <c r="L260" s="60">
        <v>0</v>
      </c>
      <c r="M260" s="40">
        <v>4</v>
      </c>
      <c r="O260" s="128">
        <v>0</v>
      </c>
      <c r="P260" s="132">
        <v>10</v>
      </c>
      <c r="Q260" s="130"/>
      <c r="R260" s="133"/>
      <c r="S260" s="128">
        <v>0</v>
      </c>
      <c r="T260" s="132">
        <v>10</v>
      </c>
      <c r="U260" s="135"/>
      <c r="V260" s="128">
        <v>0</v>
      </c>
      <c r="W260" s="129">
        <v>4</v>
      </c>
      <c r="X260" s="135"/>
      <c r="Y260" s="128">
        <v>0</v>
      </c>
      <c r="Z260" s="129">
        <v>4</v>
      </c>
    </row>
    <row r="261" spans="1:26" ht="15.75" customHeight="1" x14ac:dyDescent="0.25">
      <c r="B261" s="59" t="s">
        <v>98</v>
      </c>
      <c r="C261" s="36">
        <v>11</v>
      </c>
      <c r="F261" s="59" t="s">
        <v>98</v>
      </c>
      <c r="G261" s="36">
        <v>11</v>
      </c>
      <c r="I261" s="60">
        <v>0</v>
      </c>
      <c r="J261" s="40">
        <v>5</v>
      </c>
      <c r="K261" s="61"/>
      <c r="L261" s="60">
        <v>0</v>
      </c>
      <c r="M261" s="40">
        <v>5</v>
      </c>
      <c r="O261" s="128">
        <v>0</v>
      </c>
      <c r="P261" s="132">
        <v>11</v>
      </c>
      <c r="Q261" s="130"/>
      <c r="R261" s="133"/>
      <c r="S261" s="128">
        <v>0</v>
      </c>
      <c r="T261" s="132">
        <v>11</v>
      </c>
      <c r="U261" s="135"/>
      <c r="V261" s="128">
        <v>0</v>
      </c>
      <c r="W261" s="129">
        <v>5</v>
      </c>
      <c r="X261" s="135"/>
      <c r="Y261" s="128">
        <v>0</v>
      </c>
      <c r="Z261" s="129">
        <v>5</v>
      </c>
    </row>
    <row r="262" spans="1:26" ht="15.75" customHeight="1" x14ac:dyDescent="0.25">
      <c r="A262" s="114" t="s">
        <v>110</v>
      </c>
      <c r="B262" s="59" t="s">
        <v>102</v>
      </c>
      <c r="C262" s="36">
        <v>12</v>
      </c>
      <c r="F262" s="59" t="s">
        <v>102</v>
      </c>
      <c r="G262" s="36">
        <v>12</v>
      </c>
      <c r="I262" s="60">
        <v>0</v>
      </c>
      <c r="J262" s="40">
        <v>6</v>
      </c>
      <c r="K262" s="61"/>
      <c r="L262" s="60">
        <v>0</v>
      </c>
      <c r="M262" s="40">
        <v>6</v>
      </c>
      <c r="N262" s="114" t="s">
        <v>111</v>
      </c>
      <c r="O262" s="128">
        <v>-46.080000000000005</v>
      </c>
      <c r="P262" s="132">
        <v>12</v>
      </c>
      <c r="Q262" s="130"/>
      <c r="R262" s="133"/>
      <c r="S262" s="128">
        <f>-S256</f>
        <v>-46.080000000000005</v>
      </c>
      <c r="T262" s="132">
        <v>12</v>
      </c>
      <c r="U262" s="135"/>
      <c r="V262" s="128">
        <f>-V256</f>
        <v>-28.940624999999997</v>
      </c>
      <c r="W262" s="129">
        <v>6</v>
      </c>
      <c r="X262" s="135"/>
      <c r="Y262" s="128">
        <v>0</v>
      </c>
      <c r="Z262" s="129">
        <v>6</v>
      </c>
    </row>
    <row r="263" spans="1:26" ht="15.75" customHeight="1" x14ac:dyDescent="0.25">
      <c r="A263" s="114"/>
      <c r="B263" s="59" t="s">
        <v>112</v>
      </c>
      <c r="C263" s="36">
        <v>13</v>
      </c>
      <c r="G263" s="61"/>
      <c r="H263" s="61"/>
      <c r="I263" s="61"/>
      <c r="N263" s="114"/>
      <c r="O263" s="128" cm="1">
        <f t="array" ref="O263:O268">+V251:V256</f>
        <v>0</v>
      </c>
      <c r="P263" s="132">
        <v>13</v>
      </c>
      <c r="Q263" s="130"/>
      <c r="R263" s="133"/>
      <c r="S263" s="133"/>
      <c r="U263" s="133"/>
      <c r="V263" s="133"/>
      <c r="W263" s="133"/>
      <c r="X263" s="133"/>
      <c r="Y263" s="133"/>
      <c r="Z263" s="133"/>
    </row>
    <row r="264" spans="1:26" ht="15.75" customHeight="1" x14ac:dyDescent="0.25">
      <c r="B264" s="59" t="s">
        <v>113</v>
      </c>
      <c r="C264" s="36">
        <v>14</v>
      </c>
      <c r="G264" s="61"/>
      <c r="H264" s="61"/>
      <c r="I264" s="61"/>
      <c r="O264" s="128">
        <v>49.875</v>
      </c>
      <c r="P264" s="132">
        <v>14</v>
      </c>
      <c r="Q264" s="130"/>
      <c r="R264" s="133"/>
      <c r="S264" s="133"/>
      <c r="U264" s="133"/>
      <c r="V264" s="133"/>
      <c r="W264" s="133"/>
      <c r="X264" s="133"/>
      <c r="Y264" s="133"/>
      <c r="Z264" s="133"/>
    </row>
    <row r="265" spans="1:26" ht="15.75" customHeight="1" x14ac:dyDescent="0.25">
      <c r="B265" s="59" t="s">
        <v>92</v>
      </c>
      <c r="C265" s="36">
        <v>15</v>
      </c>
      <c r="G265" s="61"/>
      <c r="H265" s="61"/>
      <c r="I265" s="61"/>
      <c r="O265" s="128">
        <v>0</v>
      </c>
      <c r="P265" s="132">
        <v>15</v>
      </c>
      <c r="Q265" s="130"/>
      <c r="R265" s="133"/>
      <c r="S265" s="133"/>
      <c r="U265" s="133"/>
      <c r="V265" s="133"/>
      <c r="W265" s="133"/>
      <c r="X265" s="133"/>
      <c r="Y265" s="133"/>
      <c r="Z265" s="133"/>
    </row>
    <row r="266" spans="1:26" ht="15.75" customHeight="1" x14ac:dyDescent="0.25">
      <c r="B266" s="59" t="s">
        <v>96</v>
      </c>
      <c r="C266" s="36">
        <v>16</v>
      </c>
      <c r="G266" s="61"/>
      <c r="H266" s="61"/>
      <c r="I266" s="61"/>
      <c r="O266" s="128">
        <v>0</v>
      </c>
      <c r="P266" s="132">
        <v>16</v>
      </c>
      <c r="Q266" s="130"/>
      <c r="R266" s="133"/>
      <c r="S266" s="133"/>
      <c r="U266" s="133"/>
      <c r="V266" s="133"/>
      <c r="W266" s="133"/>
      <c r="X266" s="133"/>
      <c r="Y266" s="133"/>
      <c r="Z266" s="133"/>
    </row>
    <row r="267" spans="1:26" ht="15.75" customHeight="1" x14ac:dyDescent="0.25">
      <c r="B267" s="59" t="s">
        <v>99</v>
      </c>
      <c r="C267" s="36">
        <v>17</v>
      </c>
      <c r="G267" s="61"/>
      <c r="H267" s="61"/>
      <c r="I267" s="61"/>
      <c r="O267" s="128">
        <v>0</v>
      </c>
      <c r="P267" s="132">
        <v>17</v>
      </c>
      <c r="Q267" s="130"/>
      <c r="R267" s="133"/>
      <c r="S267" s="133"/>
      <c r="U267" s="133"/>
      <c r="V267" s="133"/>
      <c r="W267" s="133"/>
      <c r="X267" s="133"/>
      <c r="Y267" s="133"/>
      <c r="Z267" s="133"/>
    </row>
    <row r="268" spans="1:26" ht="15.75" customHeight="1" x14ac:dyDescent="0.25">
      <c r="B268" s="59" t="s">
        <v>104</v>
      </c>
      <c r="C268" s="36">
        <v>18</v>
      </c>
      <c r="G268" s="61"/>
      <c r="H268" s="61"/>
      <c r="I268" s="61"/>
      <c r="O268" s="128">
        <v>28.940624999999997</v>
      </c>
      <c r="P268" s="132">
        <v>18</v>
      </c>
      <c r="Q268" s="130"/>
      <c r="R268" s="133"/>
      <c r="S268" s="133"/>
      <c r="U268" s="133"/>
      <c r="V268" s="133"/>
      <c r="W268" s="133"/>
      <c r="X268" s="133"/>
      <c r="Y268" s="133"/>
      <c r="Z268" s="133"/>
    </row>
    <row r="269" spans="1:26" ht="15.75" customHeight="1" x14ac:dyDescent="0.25">
      <c r="B269" s="59" t="s">
        <v>114</v>
      </c>
      <c r="C269" s="36">
        <v>19</v>
      </c>
      <c r="G269" s="61"/>
      <c r="H269" s="61"/>
      <c r="I269" s="61"/>
      <c r="O269" s="128" cm="1">
        <f t="array" ref="O269:O274">+Y251:Y256</f>
        <v>0</v>
      </c>
      <c r="P269" s="132">
        <v>19</v>
      </c>
      <c r="Q269" s="130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spans="1:26" ht="15.75" customHeight="1" x14ac:dyDescent="0.25">
      <c r="B270" s="59" t="s">
        <v>115</v>
      </c>
      <c r="C270" s="36">
        <v>20</v>
      </c>
      <c r="G270" s="61"/>
      <c r="H270" s="61"/>
      <c r="I270" s="61"/>
      <c r="O270" s="128">
        <v>0</v>
      </c>
      <c r="P270" s="132">
        <v>20</v>
      </c>
      <c r="Q270" s="130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spans="1:26" ht="15.75" customHeight="1" x14ac:dyDescent="0.25">
      <c r="B271" s="59" t="s">
        <v>93</v>
      </c>
      <c r="C271" s="36">
        <v>21</v>
      </c>
      <c r="G271" s="61"/>
      <c r="H271" s="61"/>
      <c r="I271" s="61"/>
      <c r="O271" s="128">
        <v>0</v>
      </c>
      <c r="P271" s="132">
        <v>21</v>
      </c>
      <c r="Q271" s="130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spans="1:26" ht="15.75" customHeight="1" x14ac:dyDescent="0.25">
      <c r="B272" s="59" t="s">
        <v>97</v>
      </c>
      <c r="C272" s="36">
        <v>22</v>
      </c>
      <c r="G272" s="61"/>
      <c r="H272" s="61"/>
      <c r="I272" s="61"/>
      <c r="O272" s="128">
        <v>0</v>
      </c>
      <c r="P272" s="132">
        <v>22</v>
      </c>
      <c r="Q272" s="130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spans="1:26" ht="15.75" customHeight="1" x14ac:dyDescent="0.25">
      <c r="B273" s="59" t="s">
        <v>100</v>
      </c>
      <c r="C273" s="36">
        <v>23</v>
      </c>
      <c r="G273" s="61"/>
      <c r="H273" s="61"/>
      <c r="I273" s="61"/>
      <c r="O273" s="128">
        <v>0</v>
      </c>
      <c r="P273" s="132">
        <v>23</v>
      </c>
      <c r="Q273" s="130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spans="1:26" ht="15.75" customHeight="1" x14ac:dyDescent="0.25">
      <c r="B274" s="59" t="s">
        <v>106</v>
      </c>
      <c r="C274" s="36">
        <v>24</v>
      </c>
      <c r="G274" s="61"/>
      <c r="H274" s="61"/>
      <c r="I274" s="61"/>
      <c r="O274" s="128">
        <v>0</v>
      </c>
      <c r="P274" s="132">
        <v>24</v>
      </c>
      <c r="Q274" s="130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spans="1:26" ht="15.75" customHeight="1" x14ac:dyDescent="0.2">
      <c r="G275" s="61"/>
      <c r="H275" s="61"/>
      <c r="I275" s="61"/>
    </row>
    <row r="276" spans="1:26" ht="15.75" customHeight="1" x14ac:dyDescent="0.2">
      <c r="B276" s="62"/>
      <c r="C276" s="40"/>
      <c r="G276" s="61"/>
      <c r="H276" s="61"/>
      <c r="I276" s="61"/>
      <c r="J276" s="63"/>
    </row>
    <row r="277" spans="1:26" ht="15.75" customHeight="1" x14ac:dyDescent="0.2">
      <c r="A277" s="136" t="s">
        <v>116</v>
      </c>
      <c r="B277" s="133"/>
      <c r="C277" s="133"/>
      <c r="D277" s="137"/>
      <c r="E277" s="133"/>
      <c r="F277" s="138" t="s">
        <v>117</v>
      </c>
      <c r="G277" s="135"/>
      <c r="H277" s="135"/>
      <c r="I277" s="136" t="s">
        <v>118</v>
      </c>
      <c r="J277" s="133"/>
      <c r="K277" s="133"/>
      <c r="L277" s="133"/>
    </row>
    <row r="278" spans="1:26" ht="15.75" customHeight="1" x14ac:dyDescent="0.2">
      <c r="A278" s="133"/>
      <c r="B278" s="133"/>
      <c r="C278" s="133"/>
      <c r="D278" s="137"/>
      <c r="E278" s="133"/>
      <c r="F278" s="133"/>
      <c r="G278" s="135"/>
      <c r="H278" s="135"/>
      <c r="I278" s="133"/>
      <c r="J278" s="133"/>
      <c r="K278" s="133"/>
      <c r="L278" s="133"/>
    </row>
    <row r="279" spans="1:26" ht="15.75" customHeight="1" x14ac:dyDescent="0.2">
      <c r="A279" s="133"/>
      <c r="B279" s="128" t="s">
        <v>119</v>
      </c>
      <c r="C279" s="133"/>
      <c r="D279" s="156">
        <f t="array" ref="D279:D284">+MMULT(MINVERSE(C221:H226),(B251:B256-O251:O256-MMULT(I221:Z226,D285:D302)))</f>
        <v>-6.7629246317565302E-6</v>
      </c>
      <c r="E279" s="129">
        <v>1</v>
      </c>
      <c r="F279" s="133" t="s">
        <v>120</v>
      </c>
      <c r="G279" s="135"/>
      <c r="H279" s="135"/>
      <c r="I279" s="133"/>
      <c r="J279" s="157">
        <f t="array" ref="J279:J296">++MMULT(C227:H244,D279:D284)+MMULT(I227:Z244,D285:D302)+O257:O274</f>
        <v>3.570824205567448</v>
      </c>
      <c r="K279" s="132">
        <v>7</v>
      </c>
      <c r="L279" s="130" t="s">
        <v>84</v>
      </c>
      <c r="N279" s="64"/>
    </row>
    <row r="280" spans="1:26" ht="15.75" customHeight="1" x14ac:dyDescent="0.2">
      <c r="A280" s="133"/>
      <c r="B280" s="128" t="s">
        <v>121</v>
      </c>
      <c r="C280" s="133"/>
      <c r="D280" s="156">
        <v>-1.1820337780744499E-4</v>
      </c>
      <c r="E280" s="129">
        <v>2</v>
      </c>
      <c r="F280" s="133" t="s">
        <v>120</v>
      </c>
      <c r="G280" s="135"/>
      <c r="H280" s="135"/>
      <c r="I280" s="133"/>
      <c r="J280" s="157">
        <v>60.494493247680332</v>
      </c>
      <c r="K280" s="132">
        <v>8</v>
      </c>
      <c r="L280" s="130" t="s">
        <v>84</v>
      </c>
      <c r="N280" s="64"/>
    </row>
    <row r="281" spans="1:26" ht="15.75" customHeight="1" x14ac:dyDescent="0.2">
      <c r="A281" s="133"/>
      <c r="B281" s="128" t="s">
        <v>122</v>
      </c>
      <c r="C281" s="133"/>
      <c r="D281" s="156">
        <v>-5.3771767524944147E-7</v>
      </c>
      <c r="E281" s="129">
        <v>3</v>
      </c>
      <c r="F281" s="133" t="s">
        <v>120</v>
      </c>
      <c r="G281" s="135"/>
      <c r="H281" s="135"/>
      <c r="I281" s="133"/>
      <c r="J281" s="157">
        <v>-1.0572431136200261E-2</v>
      </c>
      <c r="K281" s="132">
        <v>9</v>
      </c>
      <c r="L281" s="130" t="s">
        <v>84</v>
      </c>
      <c r="N281" s="64"/>
    </row>
    <row r="282" spans="1:26" ht="15.75" customHeight="1" x14ac:dyDescent="0.2">
      <c r="A282" s="133"/>
      <c r="B282" s="128" t="s">
        <v>123</v>
      </c>
      <c r="C282" s="133"/>
      <c r="D282" s="158">
        <v>1.3590887547744538E-5</v>
      </c>
      <c r="E282" s="129">
        <v>4</v>
      </c>
      <c r="F282" s="133" t="s">
        <v>124</v>
      </c>
      <c r="G282" s="135"/>
      <c r="H282" s="135"/>
      <c r="I282" s="133"/>
      <c r="J282" s="157">
        <v>-4.4911713029259621E-2</v>
      </c>
      <c r="K282" s="132">
        <v>10</v>
      </c>
      <c r="L282" s="130" t="s">
        <v>94</v>
      </c>
      <c r="N282" s="64"/>
    </row>
    <row r="283" spans="1:26" ht="15.75" customHeight="1" x14ac:dyDescent="0.2">
      <c r="A283" s="133"/>
      <c r="B283" s="128" t="s">
        <v>125</v>
      </c>
      <c r="C283" s="133"/>
      <c r="D283" s="158">
        <v>-2.2993362269303552E-6</v>
      </c>
      <c r="E283" s="129">
        <v>5</v>
      </c>
      <c r="F283" s="133" t="s">
        <v>124</v>
      </c>
      <c r="G283" s="135"/>
      <c r="H283" s="135"/>
      <c r="I283" s="159"/>
      <c r="J283" s="157">
        <v>-1.5889072790792901E-2</v>
      </c>
      <c r="K283" s="132">
        <v>11</v>
      </c>
      <c r="L283" s="130" t="s">
        <v>94</v>
      </c>
      <c r="N283" s="64"/>
    </row>
    <row r="284" spans="1:26" ht="15.75" customHeight="1" x14ac:dyDescent="0.2">
      <c r="A284" s="133"/>
      <c r="B284" s="128" t="s">
        <v>126</v>
      </c>
      <c r="C284" s="160" t="s">
        <v>127</v>
      </c>
      <c r="D284" s="161">
        <v>-2.5229729046891695E-4</v>
      </c>
      <c r="E284" s="129">
        <v>6</v>
      </c>
      <c r="F284" s="133" t="s">
        <v>124</v>
      </c>
      <c r="G284" s="135"/>
      <c r="H284" s="135"/>
      <c r="I284" s="131"/>
      <c r="J284" s="157">
        <v>-51.176603664327423</v>
      </c>
      <c r="K284" s="132">
        <v>12</v>
      </c>
      <c r="L284" s="130" t="s">
        <v>94</v>
      </c>
      <c r="N284" s="64"/>
    </row>
    <row r="285" spans="1:26" ht="15.75" customHeight="1" x14ac:dyDescent="0.2">
      <c r="A285" s="133"/>
      <c r="B285" s="128" t="s">
        <v>128</v>
      </c>
      <c r="C285" s="160"/>
      <c r="D285" s="162">
        <v>0</v>
      </c>
      <c r="E285" s="132">
        <v>7</v>
      </c>
      <c r="F285" s="133" t="s">
        <v>120</v>
      </c>
      <c r="G285" s="135"/>
      <c r="H285" s="135"/>
      <c r="I285" s="133"/>
      <c r="J285" s="157">
        <v>-3.6207807318858736</v>
      </c>
      <c r="K285" s="132">
        <v>13</v>
      </c>
      <c r="L285" s="130" t="s">
        <v>84</v>
      </c>
    </row>
    <row r="286" spans="1:26" ht="15.75" customHeight="1" x14ac:dyDescent="0.2">
      <c r="A286" s="133"/>
      <c r="B286" s="128" t="s">
        <v>129</v>
      </c>
      <c r="C286" s="133"/>
      <c r="D286" s="162">
        <v>0</v>
      </c>
      <c r="E286" s="132">
        <v>8</v>
      </c>
      <c r="F286" s="133" t="s">
        <v>120</v>
      </c>
      <c r="G286" s="135"/>
      <c r="H286" s="135"/>
      <c r="I286" s="133"/>
      <c r="J286" s="157">
        <v>153.8939724705516</v>
      </c>
      <c r="K286" s="132">
        <v>14</v>
      </c>
      <c r="L286" s="130" t="s">
        <v>84</v>
      </c>
    </row>
    <row r="287" spans="1:26" ht="15.75" customHeight="1" x14ac:dyDescent="0.2">
      <c r="A287" s="133"/>
      <c r="B287" s="128" t="s">
        <v>130</v>
      </c>
      <c r="C287" s="133"/>
      <c r="D287" s="162">
        <v>0</v>
      </c>
      <c r="E287" s="132">
        <v>9</v>
      </c>
      <c r="F287" s="133" t="s">
        <v>120</v>
      </c>
      <c r="G287" s="133"/>
      <c r="H287" s="163"/>
      <c r="I287" s="164" t="s">
        <v>131</v>
      </c>
      <c r="J287" s="157">
        <v>-0.38375386404672346</v>
      </c>
      <c r="K287" s="132">
        <v>15</v>
      </c>
      <c r="L287" s="130" t="s">
        <v>84</v>
      </c>
    </row>
    <row r="288" spans="1:26" ht="15.75" customHeight="1" x14ac:dyDescent="0.2">
      <c r="A288" s="133"/>
      <c r="B288" s="128" t="s">
        <v>132</v>
      </c>
      <c r="C288" s="133"/>
      <c r="D288" s="162">
        <v>0</v>
      </c>
      <c r="E288" s="132">
        <v>10</v>
      </c>
      <c r="F288" s="133" t="s">
        <v>124</v>
      </c>
      <c r="G288" s="133"/>
      <c r="H288" s="133"/>
      <c r="I288" s="164"/>
      <c r="J288" s="157">
        <v>0.36639853763662422</v>
      </c>
      <c r="K288" s="132">
        <v>16</v>
      </c>
      <c r="L288" s="130" t="s">
        <v>94</v>
      </c>
    </row>
    <row r="289" spans="1:12" ht="15.75" customHeight="1" x14ac:dyDescent="0.2">
      <c r="A289" s="133"/>
      <c r="B289" s="128" t="s">
        <v>133</v>
      </c>
      <c r="C289" s="133"/>
      <c r="D289" s="162">
        <v>0</v>
      </c>
      <c r="E289" s="132">
        <v>11</v>
      </c>
      <c r="F289" s="133" t="s">
        <v>124</v>
      </c>
      <c r="G289" s="133"/>
      <c r="H289" s="133"/>
      <c r="I289" s="133"/>
      <c r="J289" s="157">
        <v>1.2663770537293359E-2</v>
      </c>
      <c r="K289" s="132">
        <v>17</v>
      </c>
      <c r="L289" s="130" t="s">
        <v>94</v>
      </c>
    </row>
    <row r="290" spans="1:12" ht="15.75" customHeight="1" x14ac:dyDescent="0.2">
      <c r="A290" s="164" t="s">
        <v>134</v>
      </c>
      <c r="B290" s="128" t="s">
        <v>135</v>
      </c>
      <c r="C290" s="133"/>
      <c r="D290" s="162">
        <v>0</v>
      </c>
      <c r="E290" s="132">
        <v>12</v>
      </c>
      <c r="F290" s="133" t="s">
        <v>124</v>
      </c>
      <c r="G290" s="133"/>
      <c r="H290" s="133"/>
      <c r="I290" s="133"/>
      <c r="J290" s="157">
        <v>25.655634243675689</v>
      </c>
      <c r="K290" s="132">
        <v>18</v>
      </c>
      <c r="L290" s="130" t="s">
        <v>94</v>
      </c>
    </row>
    <row r="291" spans="1:12" ht="15.75" customHeight="1" x14ac:dyDescent="0.2">
      <c r="A291" s="164"/>
      <c r="B291" s="128" t="s">
        <v>136</v>
      </c>
      <c r="C291" s="133"/>
      <c r="D291" s="162">
        <v>0</v>
      </c>
      <c r="E291" s="132">
        <v>13</v>
      </c>
      <c r="F291" s="133" t="s">
        <v>120</v>
      </c>
      <c r="G291" s="133"/>
      <c r="H291" s="133"/>
      <c r="I291" s="133"/>
      <c r="J291" s="157">
        <v>4.9956526318424829E-2</v>
      </c>
      <c r="K291" s="132">
        <v>19</v>
      </c>
      <c r="L291" s="130" t="s">
        <v>84</v>
      </c>
    </row>
    <row r="292" spans="1:12" ht="15.75" customHeight="1" x14ac:dyDescent="0.2">
      <c r="A292" s="133"/>
      <c r="B292" s="128" t="s">
        <v>137</v>
      </c>
      <c r="C292" s="133"/>
      <c r="D292" s="162">
        <v>0</v>
      </c>
      <c r="E292" s="132">
        <v>14</v>
      </c>
      <c r="F292" s="133" t="s">
        <v>120</v>
      </c>
      <c r="G292" s="133"/>
      <c r="H292" s="133"/>
      <c r="I292" s="133"/>
      <c r="J292" s="157">
        <v>0.56153428176806519</v>
      </c>
      <c r="K292" s="132">
        <v>20</v>
      </c>
      <c r="L292" s="130" t="s">
        <v>84</v>
      </c>
    </row>
    <row r="293" spans="1:12" ht="15.75" customHeight="1" x14ac:dyDescent="0.2">
      <c r="A293" s="133"/>
      <c r="B293" s="128" t="s">
        <v>138</v>
      </c>
      <c r="C293" s="133"/>
      <c r="D293" s="162">
        <v>0</v>
      </c>
      <c r="E293" s="132">
        <v>15</v>
      </c>
      <c r="F293" s="133" t="s">
        <v>120</v>
      </c>
      <c r="G293" s="133"/>
      <c r="H293" s="133"/>
      <c r="I293" s="133"/>
      <c r="J293" s="157">
        <v>0.39432629518292378</v>
      </c>
      <c r="K293" s="132">
        <v>21</v>
      </c>
      <c r="L293" s="130" t="s">
        <v>84</v>
      </c>
    </row>
    <row r="294" spans="1:12" ht="15.75" customHeight="1" x14ac:dyDescent="0.2">
      <c r="A294" s="133"/>
      <c r="B294" s="128" t="s">
        <v>139</v>
      </c>
      <c r="C294" s="133"/>
      <c r="D294" s="162">
        <v>0</v>
      </c>
      <c r="E294" s="132">
        <v>16</v>
      </c>
      <c r="F294" s="133" t="s">
        <v>124</v>
      </c>
      <c r="G294" s="133"/>
      <c r="H294" s="133"/>
      <c r="I294" s="133"/>
      <c r="J294" s="157">
        <v>-0.85482807777138969</v>
      </c>
      <c r="K294" s="132">
        <v>22</v>
      </c>
      <c r="L294" s="130" t="s">
        <v>94</v>
      </c>
    </row>
    <row r="295" spans="1:12" ht="15.75" customHeight="1" x14ac:dyDescent="0.2">
      <c r="A295" s="133"/>
      <c r="B295" s="128" t="s">
        <v>140</v>
      </c>
      <c r="C295" s="133"/>
      <c r="D295" s="162">
        <v>0</v>
      </c>
      <c r="E295" s="132">
        <v>17</v>
      </c>
      <c r="F295" s="133" t="s">
        <v>124</v>
      </c>
      <c r="G295" s="133"/>
      <c r="H295" s="133"/>
      <c r="I295" s="133"/>
      <c r="J295" s="157">
        <v>9.4853732807249097E-2</v>
      </c>
      <c r="K295" s="132">
        <v>23</v>
      </c>
      <c r="L295" s="130" t="s">
        <v>94</v>
      </c>
    </row>
    <row r="296" spans="1:12" ht="15.75" customHeight="1" x14ac:dyDescent="0.2">
      <c r="A296" s="133"/>
      <c r="B296" s="128" t="s">
        <v>141</v>
      </c>
      <c r="C296" s="133"/>
      <c r="D296" s="162">
        <v>0</v>
      </c>
      <c r="E296" s="132">
        <v>18</v>
      </c>
      <c r="F296" s="133" t="s">
        <v>124</v>
      </c>
      <c r="G296" s="133"/>
      <c r="H296" s="133"/>
      <c r="I296" s="133"/>
      <c r="J296" s="157">
        <v>0.91031713296961081</v>
      </c>
      <c r="K296" s="132">
        <v>24</v>
      </c>
      <c r="L296" s="130" t="s">
        <v>94</v>
      </c>
    </row>
    <row r="297" spans="1:12" ht="15.75" customHeight="1" x14ac:dyDescent="0.2">
      <c r="A297" s="133"/>
      <c r="B297" s="128" t="s">
        <v>142</v>
      </c>
      <c r="C297" s="133"/>
      <c r="D297" s="162">
        <v>0</v>
      </c>
      <c r="E297" s="132">
        <v>19</v>
      </c>
      <c r="F297" s="133" t="s">
        <v>120</v>
      </c>
      <c r="G297" s="133"/>
      <c r="H297" s="133"/>
      <c r="I297" s="133"/>
      <c r="J297" s="133"/>
      <c r="K297" s="133"/>
      <c r="L297" s="133"/>
    </row>
    <row r="298" spans="1:12" ht="15.75" customHeight="1" x14ac:dyDescent="0.2">
      <c r="A298" s="133"/>
      <c r="B298" s="128" t="s">
        <v>143</v>
      </c>
      <c r="C298" s="133"/>
      <c r="D298" s="162">
        <v>0</v>
      </c>
      <c r="E298" s="132">
        <v>20</v>
      </c>
      <c r="F298" s="133" t="s">
        <v>120</v>
      </c>
      <c r="G298" s="133"/>
      <c r="H298" s="133"/>
      <c r="I298" s="133"/>
      <c r="J298" s="133"/>
      <c r="K298" s="133"/>
      <c r="L298" s="133"/>
    </row>
    <row r="299" spans="1:12" ht="15.75" customHeight="1" x14ac:dyDescent="0.2">
      <c r="A299" s="133"/>
      <c r="B299" s="128" t="s">
        <v>144</v>
      </c>
      <c r="C299" s="133"/>
      <c r="D299" s="162">
        <v>0</v>
      </c>
      <c r="E299" s="132">
        <v>21</v>
      </c>
      <c r="F299" s="133" t="s">
        <v>120</v>
      </c>
      <c r="G299" s="133"/>
      <c r="H299" s="133"/>
      <c r="I299" s="133"/>
      <c r="J299" s="133"/>
      <c r="K299" s="133"/>
      <c r="L299" s="133"/>
    </row>
    <row r="300" spans="1:12" ht="15.75" customHeight="1" x14ac:dyDescent="0.2">
      <c r="A300" s="133"/>
      <c r="B300" s="128" t="s">
        <v>145</v>
      </c>
      <c r="C300" s="133"/>
      <c r="D300" s="162">
        <v>0</v>
      </c>
      <c r="E300" s="132">
        <v>22</v>
      </c>
      <c r="F300" s="133" t="s">
        <v>124</v>
      </c>
      <c r="G300" s="133"/>
      <c r="H300" s="133"/>
      <c r="I300" s="133"/>
      <c r="J300" s="133"/>
      <c r="K300" s="133"/>
      <c r="L300" s="133"/>
    </row>
    <row r="301" spans="1:12" ht="15.75" customHeight="1" x14ac:dyDescent="0.2">
      <c r="A301" s="133"/>
      <c r="B301" s="128" t="s">
        <v>146</v>
      </c>
      <c r="C301" s="133"/>
      <c r="D301" s="162">
        <v>0</v>
      </c>
      <c r="E301" s="132">
        <v>23</v>
      </c>
      <c r="F301" s="133" t="s">
        <v>124</v>
      </c>
      <c r="G301" s="133"/>
      <c r="H301" s="133"/>
      <c r="I301" s="133"/>
      <c r="J301" s="133"/>
      <c r="K301" s="133"/>
      <c r="L301" s="133"/>
    </row>
    <row r="302" spans="1:12" ht="15.75" customHeight="1" x14ac:dyDescent="0.2">
      <c r="A302" s="133"/>
      <c r="B302" s="128" t="s">
        <v>147</v>
      </c>
      <c r="C302" s="133"/>
      <c r="D302" s="162">
        <v>0</v>
      </c>
      <c r="E302" s="132">
        <v>24</v>
      </c>
      <c r="F302" s="133" t="s">
        <v>124</v>
      </c>
      <c r="G302" s="133"/>
      <c r="H302" s="133"/>
      <c r="I302" s="133"/>
      <c r="J302" s="133"/>
      <c r="K302" s="133"/>
      <c r="L302" s="133"/>
    </row>
    <row r="303" spans="1:12" ht="15.75" customHeight="1" x14ac:dyDescent="0.2"/>
    <row r="304" spans="1:12" ht="15.75" customHeight="1" x14ac:dyDescent="0.2">
      <c r="A304" s="14"/>
      <c r="B304" s="21"/>
      <c r="C304" s="42"/>
      <c r="F304" s="21"/>
    </row>
    <row r="305" spans="1:31" ht="15.75" customHeight="1" x14ac:dyDescent="0.2">
      <c r="A305" s="136" t="s">
        <v>148</v>
      </c>
      <c r="B305" s="133"/>
      <c r="C305" s="133"/>
      <c r="D305" s="137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  <c r="AA305" s="133"/>
      <c r="AB305" s="133"/>
    </row>
    <row r="306" spans="1:31" ht="15.75" customHeight="1" x14ac:dyDescent="0.2">
      <c r="A306" s="136" t="s">
        <v>149</v>
      </c>
      <c r="B306" s="133"/>
      <c r="C306" s="133"/>
      <c r="D306" s="137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6" t="s">
        <v>150</v>
      </c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  <c r="AA306" s="133"/>
      <c r="AB306" s="133"/>
    </row>
    <row r="307" spans="1:31" ht="15.75" customHeight="1" x14ac:dyDescent="0.2">
      <c r="A307" s="133"/>
      <c r="B307" s="133"/>
      <c r="C307" s="133"/>
      <c r="D307" s="137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  <c r="AA307" s="133"/>
      <c r="AB307" s="133"/>
    </row>
    <row r="308" spans="1:31" ht="15.75" customHeight="1" x14ac:dyDescent="0.2">
      <c r="A308" s="133"/>
      <c r="B308" s="165"/>
      <c r="C308" s="166">
        <f t="shared" ref="C308:C319" si="71">+VLOOKUP(AC308,B$279:D$302,3,FALSE)</f>
        <v>0</v>
      </c>
      <c r="D308" s="167"/>
      <c r="E308" s="168">
        <f t="array" ref="E308:E319">+MMULT(MMULT(MMULT(MMULT(TRANSPOSE(P69:AA80),B69:M80),P69:AA80),B163:M174),C308:C319)+S251:S262</f>
        <v>3.570824205567448</v>
      </c>
      <c r="F308" s="132"/>
      <c r="G308" s="169">
        <f t="array" ref="G308:G319">+MMULT(TRANSPOSE(B163:M174),E308:E319)</f>
        <v>3.570824205567448</v>
      </c>
      <c r="H308" s="129">
        <v>1</v>
      </c>
      <c r="I308" s="133" t="s">
        <v>84</v>
      </c>
      <c r="J308" s="133"/>
      <c r="K308" s="133"/>
      <c r="L308" s="166">
        <f t="shared" ref="L308:L319" si="72">+VLOOKUP(AD308,B$279:D$302,3,FALSE)</f>
        <v>0</v>
      </c>
      <c r="M308" s="133"/>
      <c r="N308" s="169">
        <f t="array" ref="N308:N319">+MMULT(MMULT(MMULT(MMULT(TRANSPOSE(P83:AA94),B83:M94),P83:AA94),B177:M188),L308:L319)+V251:V262</f>
        <v>0.39432629518292378</v>
      </c>
      <c r="O308" s="133"/>
      <c r="P308" s="169">
        <f t="array" ref="P308:P319">+MMULT(TRANSPOSE(B177:M188),N308:N319)</f>
        <v>4.9956526318424829E-2</v>
      </c>
      <c r="Q308" s="132">
        <v>13</v>
      </c>
      <c r="R308" s="133" t="s">
        <v>84</v>
      </c>
      <c r="S308" s="133"/>
      <c r="T308" s="133"/>
      <c r="U308" s="166">
        <f t="shared" ref="U308:U319" si="73">+VLOOKUP(AE308,B$279:D$302,3,FALSE)</f>
        <v>0</v>
      </c>
      <c r="V308" s="133"/>
      <c r="W308" s="169">
        <f t="array" ref="W308:W319">+MMULT(MMULT(MMULT(MMULT(TRANSPOSE(P97:AA108),B97:M108),P97:AA108),B191:M202),U308:U319)+Y251:Y262</f>
        <v>104.01897247055159</v>
      </c>
      <c r="X308" s="133"/>
      <c r="Y308" s="169">
        <f t="array" ref="Y308:Y319">+MMULT(TRANSPOSE(B191:M202),W308:W319)</f>
        <v>-3.6207807318858736</v>
      </c>
      <c r="Z308" s="132">
        <v>19</v>
      </c>
      <c r="AA308" s="133" t="s">
        <v>84</v>
      </c>
      <c r="AB308" s="133"/>
      <c r="AC308" s="13" t="s">
        <v>128</v>
      </c>
      <c r="AD308" s="13" t="s">
        <v>136</v>
      </c>
      <c r="AE308" s="13" t="s">
        <v>142</v>
      </c>
    </row>
    <row r="309" spans="1:31" ht="15.75" customHeight="1" x14ac:dyDescent="0.2">
      <c r="A309" s="133"/>
      <c r="B309" s="133"/>
      <c r="C309" s="166">
        <f t="shared" si="71"/>
        <v>0</v>
      </c>
      <c r="D309" s="137"/>
      <c r="E309" s="168">
        <v>55.778043179933263</v>
      </c>
      <c r="F309" s="132"/>
      <c r="G309" s="169">
        <v>55.778043179933263</v>
      </c>
      <c r="H309" s="129">
        <v>2</v>
      </c>
      <c r="I309" s="133" t="s">
        <v>84</v>
      </c>
      <c r="J309" s="133"/>
      <c r="K309" s="133"/>
      <c r="L309" s="166">
        <f t="shared" si="72"/>
        <v>0</v>
      </c>
      <c r="M309" s="133"/>
      <c r="N309" s="169">
        <v>50.436534281768068</v>
      </c>
      <c r="O309" s="133"/>
      <c r="P309" s="169">
        <v>50.436534281768068</v>
      </c>
      <c r="Q309" s="132">
        <v>14</v>
      </c>
      <c r="R309" s="133" t="s">
        <v>84</v>
      </c>
      <c r="S309" s="133"/>
      <c r="T309" s="133"/>
      <c r="U309" s="166">
        <f t="shared" si="73"/>
        <v>0</v>
      </c>
      <c r="V309" s="133"/>
      <c r="W309" s="169">
        <v>0.38375386404672346</v>
      </c>
      <c r="X309" s="133"/>
      <c r="Y309" s="169">
        <v>104.01897247055159</v>
      </c>
      <c r="Z309" s="132">
        <v>20</v>
      </c>
      <c r="AA309" s="133" t="s">
        <v>84</v>
      </c>
      <c r="AB309" s="133"/>
      <c r="AC309" s="13" t="s">
        <v>129</v>
      </c>
      <c r="AD309" s="13" t="s">
        <v>137</v>
      </c>
      <c r="AE309" s="13" t="s">
        <v>143</v>
      </c>
    </row>
    <row r="310" spans="1:31" ht="15.75" customHeight="1" x14ac:dyDescent="0.2">
      <c r="A310" s="133"/>
      <c r="B310" s="133"/>
      <c r="C310" s="166">
        <f t="shared" si="71"/>
        <v>0</v>
      </c>
      <c r="D310" s="137"/>
      <c r="E310" s="168">
        <v>1.2855240918066535E-2</v>
      </c>
      <c r="F310" s="132"/>
      <c r="G310" s="169">
        <v>1.2855240918066535E-2</v>
      </c>
      <c r="H310" s="129">
        <v>3</v>
      </c>
      <c r="I310" s="133" t="s">
        <v>84</v>
      </c>
      <c r="J310" s="133"/>
      <c r="K310" s="133"/>
      <c r="L310" s="166">
        <f t="shared" si="72"/>
        <v>0</v>
      </c>
      <c r="M310" s="133"/>
      <c r="N310" s="169">
        <v>-4.9956526318424829E-2</v>
      </c>
      <c r="O310" s="133"/>
      <c r="P310" s="169">
        <v>0.39432629518292378</v>
      </c>
      <c r="Q310" s="132">
        <v>15</v>
      </c>
      <c r="R310" s="133" t="s">
        <v>84</v>
      </c>
      <c r="S310" s="133"/>
      <c r="T310" s="133"/>
      <c r="U310" s="166">
        <f t="shared" si="73"/>
        <v>0</v>
      </c>
      <c r="V310" s="133"/>
      <c r="W310" s="169">
        <v>-3.6207807318858736</v>
      </c>
      <c r="X310" s="133"/>
      <c r="Y310" s="169">
        <v>-0.38375386404672346</v>
      </c>
      <c r="Z310" s="132">
        <v>21</v>
      </c>
      <c r="AA310" s="133" t="s">
        <v>84</v>
      </c>
      <c r="AB310" s="133"/>
      <c r="AC310" s="13" t="s">
        <v>130</v>
      </c>
      <c r="AD310" s="12" t="s">
        <v>138</v>
      </c>
      <c r="AE310" s="12" t="s">
        <v>144</v>
      </c>
    </row>
    <row r="311" spans="1:31" ht="15.75" customHeight="1" x14ac:dyDescent="0.2">
      <c r="A311" s="133"/>
      <c r="B311" s="133"/>
      <c r="C311" s="166">
        <f t="shared" si="71"/>
        <v>0</v>
      </c>
      <c r="D311" s="137"/>
      <c r="E311" s="168">
        <v>-4.4911713029259621E-2</v>
      </c>
      <c r="F311" s="132"/>
      <c r="G311" s="169">
        <v>-4.4911713029259621E-2</v>
      </c>
      <c r="H311" s="129">
        <v>4</v>
      </c>
      <c r="I311" s="133" t="s">
        <v>94</v>
      </c>
      <c r="J311" s="133"/>
      <c r="K311" s="133"/>
      <c r="L311" s="166">
        <f t="shared" si="72"/>
        <v>0</v>
      </c>
      <c r="M311" s="133"/>
      <c r="N311" s="169">
        <v>0.91031713296961081</v>
      </c>
      <c r="O311" s="133"/>
      <c r="P311" s="169">
        <v>-29.795453077771388</v>
      </c>
      <c r="Q311" s="132">
        <v>16</v>
      </c>
      <c r="R311" s="133" t="s">
        <v>94</v>
      </c>
      <c r="S311" s="133"/>
      <c r="T311" s="133"/>
      <c r="U311" s="166">
        <f t="shared" si="73"/>
        <v>0</v>
      </c>
      <c r="V311" s="133"/>
      <c r="W311" s="169">
        <v>1.2663770537293359E-2</v>
      </c>
      <c r="X311" s="133"/>
      <c r="Y311" s="169">
        <v>0.36639853763662422</v>
      </c>
      <c r="Z311" s="132">
        <v>22</v>
      </c>
      <c r="AA311" s="133" t="s">
        <v>94</v>
      </c>
      <c r="AB311" s="133"/>
      <c r="AC311" s="13" t="s">
        <v>132</v>
      </c>
      <c r="AD311" s="13" t="s">
        <v>139</v>
      </c>
      <c r="AE311" s="13" t="s">
        <v>145</v>
      </c>
    </row>
    <row r="312" spans="1:31" ht="15.75" customHeight="1" x14ac:dyDescent="0.2">
      <c r="A312" s="133"/>
      <c r="B312" s="165"/>
      <c r="C312" s="166">
        <f t="shared" si="71"/>
        <v>0</v>
      </c>
      <c r="D312" s="167"/>
      <c r="E312" s="168">
        <v>-2.1367816267271959E-2</v>
      </c>
      <c r="F312" s="132"/>
      <c r="G312" s="169">
        <v>-2.1367816267271959E-2</v>
      </c>
      <c r="H312" s="129">
        <v>5</v>
      </c>
      <c r="I312" s="133" t="s">
        <v>94</v>
      </c>
      <c r="J312" s="133"/>
      <c r="K312" s="133"/>
      <c r="L312" s="166">
        <f t="shared" si="72"/>
        <v>0</v>
      </c>
      <c r="M312" s="133"/>
      <c r="N312" s="169">
        <v>9.4853732807249097E-2</v>
      </c>
      <c r="O312" s="133"/>
      <c r="P312" s="169">
        <v>9.4853732807249097E-2</v>
      </c>
      <c r="Q312" s="132">
        <v>17</v>
      </c>
      <c r="R312" s="133" t="s">
        <v>94</v>
      </c>
      <c r="S312" s="133"/>
      <c r="T312" s="133"/>
      <c r="U312" s="166">
        <f t="shared" si="73"/>
        <v>0</v>
      </c>
      <c r="V312" s="133"/>
      <c r="W312" s="169">
        <v>3.2849907563243095</v>
      </c>
      <c r="X312" s="133"/>
      <c r="Y312" s="169">
        <v>1.2663770537293359E-2</v>
      </c>
      <c r="Z312" s="132">
        <v>23</v>
      </c>
      <c r="AA312" s="133" t="s">
        <v>94</v>
      </c>
      <c r="AB312" s="133"/>
      <c r="AC312" s="13" t="s">
        <v>133</v>
      </c>
      <c r="AD312" s="13" t="s">
        <v>140</v>
      </c>
      <c r="AE312" s="13" t="s">
        <v>146</v>
      </c>
    </row>
    <row r="313" spans="1:31" ht="15.75" customHeight="1" x14ac:dyDescent="0.2">
      <c r="A313" s="134" t="s">
        <v>151</v>
      </c>
      <c r="B313" s="170" t="s">
        <v>152</v>
      </c>
      <c r="C313" s="166">
        <f t="shared" si="71"/>
        <v>0</v>
      </c>
      <c r="D313" s="160" t="s">
        <v>127</v>
      </c>
      <c r="E313" s="168">
        <v>43.193092397931892</v>
      </c>
      <c r="F313" s="134" t="s">
        <v>153</v>
      </c>
      <c r="G313" s="169">
        <v>43.193092397931892</v>
      </c>
      <c r="H313" s="129">
        <v>6</v>
      </c>
      <c r="I313" s="133" t="s">
        <v>94</v>
      </c>
      <c r="J313" s="134" t="s">
        <v>154</v>
      </c>
      <c r="K313" s="170" t="s">
        <v>155</v>
      </c>
      <c r="L313" s="166">
        <f t="shared" si="72"/>
        <v>0</v>
      </c>
      <c r="M313" s="160" t="s">
        <v>127</v>
      </c>
      <c r="N313" s="169">
        <v>29.795453077771388</v>
      </c>
      <c r="O313" s="134" t="s">
        <v>156</v>
      </c>
      <c r="P313" s="169">
        <v>0.91031713296961081</v>
      </c>
      <c r="Q313" s="132">
        <v>18</v>
      </c>
      <c r="R313" s="133" t="s">
        <v>94</v>
      </c>
      <c r="S313" s="134" t="s">
        <v>157</v>
      </c>
      <c r="T313" s="170" t="s">
        <v>158</v>
      </c>
      <c r="U313" s="166">
        <f t="shared" si="73"/>
        <v>0</v>
      </c>
      <c r="V313" s="160" t="s">
        <v>127</v>
      </c>
      <c r="W313" s="169">
        <v>0.36639853763662422</v>
      </c>
      <c r="X313" s="134" t="s">
        <v>159</v>
      </c>
      <c r="Y313" s="169">
        <v>-3.2849907563243095</v>
      </c>
      <c r="Z313" s="132">
        <v>24</v>
      </c>
      <c r="AA313" s="133" t="s">
        <v>94</v>
      </c>
      <c r="AB313" s="133"/>
      <c r="AC313" s="13" t="s">
        <v>135</v>
      </c>
      <c r="AD313" s="13" t="s">
        <v>141</v>
      </c>
      <c r="AE313" s="13" t="s">
        <v>147</v>
      </c>
    </row>
    <row r="314" spans="1:31" ht="15.75" customHeight="1" x14ac:dyDescent="0.2">
      <c r="A314" s="134"/>
      <c r="B314" s="170"/>
      <c r="C314" s="166">
        <f t="shared" si="71"/>
        <v>-6.7629246317565302E-6</v>
      </c>
      <c r="D314" s="160"/>
      <c r="E314" s="168">
        <v>-3.570824205567448</v>
      </c>
      <c r="F314" s="134"/>
      <c r="G314" s="169">
        <v>-3.570824205567448</v>
      </c>
      <c r="H314" s="132">
        <v>7</v>
      </c>
      <c r="I314" s="133" t="s">
        <v>84</v>
      </c>
      <c r="J314" s="134"/>
      <c r="K314" s="170"/>
      <c r="L314" s="166">
        <f t="shared" si="72"/>
        <v>-6.7629246317565302E-6</v>
      </c>
      <c r="M314" s="160"/>
      <c r="N314" s="169">
        <v>-0.39432629518292378</v>
      </c>
      <c r="O314" s="134"/>
      <c r="P314" s="169">
        <v>-4.9956526318424829E-2</v>
      </c>
      <c r="Q314" s="129">
        <v>1</v>
      </c>
      <c r="R314" s="133" t="s">
        <v>84</v>
      </c>
      <c r="S314" s="134"/>
      <c r="T314" s="170"/>
      <c r="U314" s="166">
        <f t="shared" si="73"/>
        <v>-6.7629246317565302E-6</v>
      </c>
      <c r="V314" s="160"/>
      <c r="W314" s="169">
        <v>-104.01897247055159</v>
      </c>
      <c r="X314" s="134"/>
      <c r="Y314" s="169">
        <v>3.6207807318858736</v>
      </c>
      <c r="Z314" s="129">
        <v>1</v>
      </c>
      <c r="AA314" s="133" t="s">
        <v>84</v>
      </c>
      <c r="AB314" s="133"/>
      <c r="AC314" s="13" t="s">
        <v>119</v>
      </c>
      <c r="AD314" s="13" t="s">
        <v>119</v>
      </c>
      <c r="AE314" s="13" t="s">
        <v>119</v>
      </c>
    </row>
    <row r="315" spans="1:31" ht="15.75" customHeight="1" x14ac:dyDescent="0.2">
      <c r="A315" s="133"/>
      <c r="B315" s="133"/>
      <c r="C315" s="166">
        <f t="shared" si="71"/>
        <v>-1.1820337780744499E-4</v>
      </c>
      <c r="D315" s="137"/>
      <c r="E315" s="168">
        <v>59.421956820066725</v>
      </c>
      <c r="F315" s="129"/>
      <c r="G315" s="169">
        <v>59.421956820066725</v>
      </c>
      <c r="H315" s="132">
        <v>8</v>
      </c>
      <c r="I315" s="133" t="s">
        <v>84</v>
      </c>
      <c r="J315" s="133"/>
      <c r="K315" s="133"/>
      <c r="L315" s="166">
        <f t="shared" si="72"/>
        <v>-1.1820337780744499E-4</v>
      </c>
      <c r="M315" s="133"/>
      <c r="N315" s="169">
        <v>49.313465718231932</v>
      </c>
      <c r="O315" s="133"/>
      <c r="P315" s="169">
        <v>49.313465718231932</v>
      </c>
      <c r="Q315" s="129">
        <v>2</v>
      </c>
      <c r="R315" s="133" t="s">
        <v>84</v>
      </c>
      <c r="S315" s="133"/>
      <c r="T315" s="133"/>
      <c r="U315" s="166">
        <f t="shared" si="73"/>
        <v>-1.1820337780744499E-4</v>
      </c>
      <c r="V315" s="133"/>
      <c r="W315" s="169">
        <v>-0.38375386404672346</v>
      </c>
      <c r="X315" s="133"/>
      <c r="Y315" s="169">
        <v>-104.01897247055159</v>
      </c>
      <c r="Z315" s="129">
        <v>2</v>
      </c>
      <c r="AA315" s="133" t="s">
        <v>84</v>
      </c>
      <c r="AB315" s="133"/>
      <c r="AC315" s="13" t="s">
        <v>121</v>
      </c>
      <c r="AD315" s="13" t="s">
        <v>121</v>
      </c>
      <c r="AE315" s="13" t="s">
        <v>121</v>
      </c>
    </row>
    <row r="316" spans="1:31" ht="15.75" customHeight="1" x14ac:dyDescent="0.2">
      <c r="A316" s="133"/>
      <c r="B316" s="133"/>
      <c r="C316" s="166">
        <f t="shared" si="71"/>
        <v>-5.3771767524944147E-7</v>
      </c>
      <c r="D316" s="137"/>
      <c r="E316" s="168">
        <v>-1.2855240918066535E-2</v>
      </c>
      <c r="F316" s="129"/>
      <c r="G316" s="169">
        <v>-1.2855240918066535E-2</v>
      </c>
      <c r="H316" s="132">
        <v>9</v>
      </c>
      <c r="I316" s="133" t="s">
        <v>84</v>
      </c>
      <c r="J316" s="133"/>
      <c r="K316" s="133"/>
      <c r="L316" s="166">
        <f t="shared" si="72"/>
        <v>-5.3771767524944147E-7</v>
      </c>
      <c r="M316" s="133"/>
      <c r="N316" s="169">
        <v>4.9956526318424829E-2</v>
      </c>
      <c r="O316" s="133"/>
      <c r="P316" s="169">
        <v>-0.39432629518292378</v>
      </c>
      <c r="Q316" s="129">
        <v>3</v>
      </c>
      <c r="R316" s="133" t="s">
        <v>84</v>
      </c>
      <c r="S316" s="133"/>
      <c r="T316" s="133"/>
      <c r="U316" s="166">
        <f t="shared" si="73"/>
        <v>-5.3771767524944147E-7</v>
      </c>
      <c r="V316" s="133"/>
      <c r="W316" s="169">
        <v>3.6207807318858736</v>
      </c>
      <c r="X316" s="133"/>
      <c r="Y316" s="169">
        <v>0.38375386404672346</v>
      </c>
      <c r="Z316" s="129">
        <v>3</v>
      </c>
      <c r="AA316" s="133" t="s">
        <v>84</v>
      </c>
      <c r="AB316" s="133"/>
      <c r="AC316" s="12" t="s">
        <v>122</v>
      </c>
      <c r="AD316" s="12" t="s">
        <v>122</v>
      </c>
      <c r="AE316" s="12" t="s">
        <v>122</v>
      </c>
    </row>
    <row r="317" spans="1:31" ht="15.75" customHeight="1" x14ac:dyDescent="0.2">
      <c r="A317" s="133"/>
      <c r="B317" s="133"/>
      <c r="C317" s="166">
        <f t="shared" si="71"/>
        <v>1.3590887547744538E-5</v>
      </c>
      <c r="D317" s="137"/>
      <c r="E317" s="168">
        <v>4.4911713029259621E-2</v>
      </c>
      <c r="F317" s="129"/>
      <c r="G317" s="169">
        <v>4.4911713029259621E-2</v>
      </c>
      <c r="H317" s="132">
        <v>10</v>
      </c>
      <c r="I317" s="133" t="s">
        <v>94</v>
      </c>
      <c r="J317" s="133"/>
      <c r="K317" s="133"/>
      <c r="L317" s="166">
        <f t="shared" si="72"/>
        <v>1.3590887547744538E-5</v>
      </c>
      <c r="M317" s="133"/>
      <c r="N317" s="169">
        <v>-0.91031713296961081</v>
      </c>
      <c r="O317" s="133"/>
      <c r="P317" s="169">
        <v>28.110850232467193</v>
      </c>
      <c r="Q317" s="129">
        <v>4</v>
      </c>
      <c r="R317" s="133" t="s">
        <v>94</v>
      </c>
      <c r="S317" s="133"/>
      <c r="T317" s="133"/>
      <c r="U317" s="166">
        <f t="shared" si="73"/>
        <v>1.3590887547744538E-5</v>
      </c>
      <c r="V317" s="133"/>
      <c r="W317" s="169">
        <v>-1.2663770537293359E-2</v>
      </c>
      <c r="X317" s="133"/>
      <c r="Y317" s="169">
        <v>0.78486305450354599</v>
      </c>
      <c r="Z317" s="129">
        <v>4</v>
      </c>
      <c r="AA317" s="133" t="s">
        <v>94</v>
      </c>
      <c r="AB317" s="133"/>
      <c r="AC317" s="13" t="s">
        <v>123</v>
      </c>
      <c r="AD317" s="13" t="s">
        <v>123</v>
      </c>
      <c r="AE317" s="13" t="s">
        <v>123</v>
      </c>
    </row>
    <row r="318" spans="1:31" ht="15.75" customHeight="1" x14ac:dyDescent="0.2">
      <c r="A318" s="133"/>
      <c r="B318" s="133"/>
      <c r="C318" s="166">
        <f t="shared" si="71"/>
        <v>-2.2993362269303552E-6</v>
      </c>
      <c r="D318" s="137"/>
      <c r="E318" s="168">
        <v>-4.033734013944739E-2</v>
      </c>
      <c r="F318" s="129"/>
      <c r="G318" s="169">
        <v>-4.033734013944739E-2</v>
      </c>
      <c r="H318" s="132">
        <v>11</v>
      </c>
      <c r="I318" s="133" t="s">
        <v>94</v>
      </c>
      <c r="J318" s="133"/>
      <c r="K318" s="133"/>
      <c r="L318" s="166">
        <f t="shared" si="72"/>
        <v>-2.2993362269303552E-6</v>
      </c>
      <c r="M318" s="133"/>
      <c r="N318" s="169">
        <v>4.7522367200261678E-2</v>
      </c>
      <c r="O318" s="133"/>
      <c r="P318" s="169">
        <v>4.7522367200261678E-2</v>
      </c>
      <c r="Q318" s="129">
        <v>5</v>
      </c>
      <c r="R318" s="133" t="s">
        <v>94</v>
      </c>
      <c r="S318" s="133"/>
      <c r="T318" s="133"/>
      <c r="U318" s="166">
        <f t="shared" si="73"/>
        <v>-2.2993362269303552E-6</v>
      </c>
      <c r="V318" s="133"/>
      <c r="W318" s="169">
        <v>6.8531952929561353</v>
      </c>
      <c r="X318" s="133"/>
      <c r="Y318" s="169">
        <v>-1.2663770537293359E-2</v>
      </c>
      <c r="Z318" s="129">
        <v>5</v>
      </c>
      <c r="AA318" s="133" t="s">
        <v>94</v>
      </c>
      <c r="AB318" s="133"/>
      <c r="AC318" s="13" t="s">
        <v>125</v>
      </c>
      <c r="AD318" s="13" t="s">
        <v>125</v>
      </c>
      <c r="AE318" s="13" t="s">
        <v>125</v>
      </c>
    </row>
    <row r="319" spans="1:31" ht="15.75" customHeight="1" x14ac:dyDescent="0.2">
      <c r="A319" s="133"/>
      <c r="B319" s="133"/>
      <c r="C319" s="166">
        <f t="shared" si="71"/>
        <v>-2.5229729046891695E-4</v>
      </c>
      <c r="D319" s="137"/>
      <c r="E319" s="168">
        <v>-52.302876498265562</v>
      </c>
      <c r="F319" s="129"/>
      <c r="G319" s="169">
        <v>-52.302876498265562</v>
      </c>
      <c r="H319" s="132">
        <v>12</v>
      </c>
      <c r="I319" s="133" t="s">
        <v>94</v>
      </c>
      <c r="J319" s="133"/>
      <c r="K319" s="133"/>
      <c r="L319" s="166">
        <f t="shared" si="72"/>
        <v>-2.5229729046891695E-4</v>
      </c>
      <c r="M319" s="133"/>
      <c r="N319" s="169">
        <v>-28.110850232467193</v>
      </c>
      <c r="O319" s="133"/>
      <c r="P319" s="169">
        <v>-0.91031713296961081</v>
      </c>
      <c r="Q319" s="129">
        <v>6</v>
      </c>
      <c r="R319" s="133" t="s">
        <v>94</v>
      </c>
      <c r="S319" s="133"/>
      <c r="T319" s="133"/>
      <c r="U319" s="166">
        <f t="shared" si="73"/>
        <v>-2.5229729046891695E-4</v>
      </c>
      <c r="V319" s="133"/>
      <c r="W319" s="169">
        <v>0.78486305450354599</v>
      </c>
      <c r="X319" s="133"/>
      <c r="Y319" s="169">
        <v>-6.8531952929561353</v>
      </c>
      <c r="Z319" s="129">
        <v>6</v>
      </c>
      <c r="AA319" s="133" t="s">
        <v>94</v>
      </c>
      <c r="AB319" s="133"/>
      <c r="AC319" s="13" t="s">
        <v>126</v>
      </c>
      <c r="AD319" s="13" t="s">
        <v>126</v>
      </c>
      <c r="AE319" s="13" t="s">
        <v>126</v>
      </c>
    </row>
    <row r="320" spans="1:31" ht="15.75" customHeight="1" x14ac:dyDescent="0.2">
      <c r="A320" s="133"/>
      <c r="B320" s="133"/>
      <c r="C320" s="133"/>
      <c r="D320" s="137"/>
      <c r="E320" s="133"/>
      <c r="F320" s="133"/>
      <c r="G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5"/>
    </row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</sheetData>
  <dataConsolidate topLabels="1">
    <dataRefs count="3">
      <dataRef ref="P105:AB117" sheet="AE1" r:id="rId1"/>
      <dataRef ref="P119:AB131" sheet="AE1" r:id="rId2"/>
      <dataRef ref="P133:AB145" sheet="AE1" r:id="rId3"/>
    </dataRefs>
  </dataConsolidate>
  <mergeCells count="43">
    <mergeCell ref="A88:A89"/>
    <mergeCell ref="O88:O89"/>
    <mergeCell ref="B119:B120"/>
    <mergeCell ref="B133:B134"/>
    <mergeCell ref="B147:B148"/>
    <mergeCell ref="A102:A103"/>
    <mergeCell ref="O102:O103"/>
    <mergeCell ref="A1:AB1"/>
    <mergeCell ref="A2:AB2"/>
    <mergeCell ref="A3:AB3"/>
    <mergeCell ref="A74:A75"/>
    <mergeCell ref="O74:O75"/>
    <mergeCell ref="A168:A169"/>
    <mergeCell ref="O168:O169"/>
    <mergeCell ref="A182:A183"/>
    <mergeCell ref="O182:O183"/>
    <mergeCell ref="A196:A197"/>
    <mergeCell ref="O196:O197"/>
    <mergeCell ref="AD196:AD197"/>
    <mergeCell ref="A232:A233"/>
    <mergeCell ref="E256:E257"/>
    <mergeCell ref="K256:K257"/>
    <mergeCell ref="H256:H257"/>
    <mergeCell ref="R256:R257"/>
    <mergeCell ref="U256:U257"/>
    <mergeCell ref="X256:X257"/>
    <mergeCell ref="A313:A314"/>
    <mergeCell ref="B313:B314"/>
    <mergeCell ref="D313:D314"/>
    <mergeCell ref="F313:F314"/>
    <mergeCell ref="J313:J314"/>
    <mergeCell ref="A262:A263"/>
    <mergeCell ref="N262:N263"/>
    <mergeCell ref="C284:C285"/>
    <mergeCell ref="I287:I288"/>
    <mergeCell ref="A290:A291"/>
    <mergeCell ref="X313:X314"/>
    <mergeCell ref="K313:K314"/>
    <mergeCell ref="M313:M314"/>
    <mergeCell ref="O313:O314"/>
    <mergeCell ref="S313:S314"/>
    <mergeCell ref="T313:T314"/>
    <mergeCell ref="V313:V314"/>
  </mergeCells>
  <conditionalFormatting sqref="C221:Z244">
    <cfRule type="cellIs" dxfId="0" priority="1" operator="equal">
      <formula>0</formula>
    </cfRule>
  </conditionalFormatting>
  <dataValidations disablePrompts="1" count="1">
    <dataValidation type="list" allowBlank="1" showInputMessage="1" showErrorMessage="1" sqref="W60:X62" xr:uid="{8B81DED2-87B7-48E6-A18F-0EB6FD1419F9}">
      <formula1>"Finito,Infinito"</formula1>
    </dataValidation>
  </dataValidations>
  <hyperlinks>
    <hyperlink ref="A3" r:id="rId4" display="cristóbal.jiménez@uniq.edu.pe" xr:uid="{ABA31371-A317-4B68-9289-C156CF23D6BF}"/>
  </hyperlinks>
  <printOptions horizontalCentered="1"/>
  <pageMargins left="0.78740157480314965" right="0.59055118110236227" top="0.78740157480314965" bottom="0.59055118110236227" header="0.70866141732283472" footer="0.70866141732283472"/>
  <pageSetup paperSize="9" scale="49" orientation="landscape" r:id="rId5"/>
  <rowBreaks count="4" manualBreakCount="4">
    <brk id="55" max="27" man="1"/>
    <brk id="157" max="27" man="1"/>
    <brk id="215" max="27" man="1"/>
    <brk id="275" max="27" man="1"/>
  </rowBreaks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AE1</vt:lpstr>
      <vt:lpstr>'AE1'!Área_de_impresión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Cristobal Jimenez Mucho</dc:creator>
  <cp:lastModifiedBy>Kitayte Osama Palomino Gonzales</cp:lastModifiedBy>
  <dcterms:created xsi:type="dcterms:W3CDTF">2024-11-16T20:26:25Z</dcterms:created>
  <dcterms:modified xsi:type="dcterms:W3CDTF">2024-11-18T23:05:05Z</dcterms:modified>
</cp:coreProperties>
</file>