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vlifeonmicrosoft-my.sharepoint.com/personal/melissa_gomez_movlife_co/Documents/6. Servicio al cliente/4 TECNOLOGIA/1. Sistematización de la Info/"/>
    </mc:Choice>
  </mc:AlternateContent>
  <xr:revisionPtr revIDLastSave="320" documentId="8_{04CD6495-033D-49F0-A8AE-948C4AB23DB4}" xr6:coauthVersionLast="47" xr6:coauthVersionMax="47" xr10:uidLastSave="{3A2AB9D0-5E15-47F3-BD57-C305A80F39BD}"/>
  <bookViews>
    <workbookView xWindow="-120" yWindow="-120" windowWidth="25440" windowHeight="15390" tabRatio="874" activeTab="5" xr2:uid="{67DA359C-1E0B-4035-B908-D96E926EF3F8}"/>
  </bookViews>
  <sheets>
    <sheet name="PARAMETROS" sheetId="1" r:id="rId1"/>
    <sheet name="JUNIO" sheetId="2" r:id="rId2"/>
    <sheet name="BASE PASAJEROS" sheetId="3" r:id="rId3"/>
    <sheet name="BASE CONDUCTORES" sheetId="4" r:id="rId4"/>
    <sheet name="MATRIZ" sheetId="14" r:id="rId5"/>
    <sheet name="TABLA DINAMICA DE PAGOS " sheetId="5" r:id="rId6"/>
    <sheet name="PRESTAMOS CONDUCTORES" sheetId="11" r:id="rId7"/>
    <sheet name="BASE BANCOS" sheetId="6" r:id="rId8"/>
    <sheet name="LIQUIDACIÓN DE PRESTAMOS" sheetId="8" r:id="rId9"/>
    <sheet name="Hoja de pruebas" sheetId="12" r:id="rId10"/>
    <sheet name="Melissa" sheetId="13" state="hidden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'BASE BANCOS'!$A$2:$L$2</definedName>
    <definedName name="_xlnm._FilterDatabase" localSheetId="3" hidden="1">'BASE CONDUCTORES'!$A$1:$X$3</definedName>
    <definedName name="_xlnm._FilterDatabase" localSheetId="2" hidden="1">'BASE PASAJEROS'!$A$1:$BA$3</definedName>
    <definedName name="_xlnm._FilterDatabase" localSheetId="1" hidden="1">JUNIO!$A$1:$DJ$3</definedName>
    <definedName name="_xlnm._FilterDatabase" localSheetId="4" hidden="1">MATRIZ!$A$3:$BM$4</definedName>
    <definedName name="_xlnm._FilterDatabase" localSheetId="10" hidden="1">Melissa!$A$1:$BB$342</definedName>
    <definedName name="_xlnm._FilterDatabase" localSheetId="6" hidden="1">'PRESTAMOS CONDUCTORES'!$B$1:$L$1</definedName>
  </definedNames>
  <calcPr calcId="191029"/>
  <pivotCaches>
    <pivotCache cacheId="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2" i="4"/>
  <c r="BG4" i="14" l="1"/>
  <c r="AN4" i="14"/>
  <c r="AM4" i="14"/>
  <c r="AJ4" i="14"/>
  <c r="AK4" i="14" s="1"/>
  <c r="AG4" i="14"/>
  <c r="AD4" i="14"/>
  <c r="AE4" i="14" s="1"/>
  <c r="AB4" i="14"/>
  <c r="AC4" i="14" s="1"/>
  <c r="Z4" i="14"/>
  <c r="AA4" i="14" s="1"/>
  <c r="X4" i="14"/>
  <c r="Y4" i="14" s="1"/>
  <c r="V4" i="14"/>
  <c r="W4" i="14" s="1"/>
  <c r="T4" i="14"/>
  <c r="U4" i="14" s="1"/>
  <c r="S4" i="14"/>
  <c r="R4" i="14"/>
  <c r="Q4" i="14"/>
  <c r="P4" i="14"/>
  <c r="O4" i="14"/>
  <c r="N4" i="14"/>
  <c r="M4" i="14"/>
  <c r="L4" i="14"/>
  <c r="K4" i="14"/>
  <c r="G4" i="14" s="1"/>
  <c r="J4" i="14"/>
  <c r="I4" i="14"/>
  <c r="H4" i="14"/>
  <c r="F4" i="14"/>
  <c r="D4" i="14"/>
  <c r="C4" i="14"/>
  <c r="B4" i="14"/>
  <c r="A4" i="14"/>
  <c r="BG3" i="14"/>
  <c r="AN3" i="14"/>
  <c r="AM3" i="14"/>
  <c r="AJ3" i="14"/>
  <c r="AK3" i="14" s="1"/>
  <c r="AG3" i="14"/>
  <c r="AD3" i="14"/>
  <c r="AE3" i="14" s="1"/>
  <c r="AB3" i="14"/>
  <c r="AC3" i="14" s="1"/>
  <c r="Z3" i="14"/>
  <c r="AA3" i="14" s="1"/>
  <c r="X3" i="14"/>
  <c r="Y3" i="14" s="1"/>
  <c r="V3" i="14"/>
  <c r="W3" i="14" s="1"/>
  <c r="T3" i="14"/>
  <c r="U3" i="14" s="1"/>
  <c r="S3" i="14"/>
  <c r="R3" i="14"/>
  <c r="Q3" i="14"/>
  <c r="P3" i="14"/>
  <c r="O3" i="14"/>
  <c r="N3" i="14"/>
  <c r="M3" i="14"/>
  <c r="L3" i="14"/>
  <c r="K3" i="14"/>
  <c r="G3" i="14" s="1"/>
  <c r="J3" i="14"/>
  <c r="I3" i="14"/>
  <c r="H3" i="14"/>
  <c r="F3" i="14"/>
  <c r="D3" i="14"/>
  <c r="C3" i="14"/>
  <c r="B3" i="14"/>
  <c r="BP2" i="2" l="1"/>
  <c r="BP3" i="2"/>
  <c r="BR3" i="2" l="1"/>
  <c r="BS3" i="2"/>
  <c r="BQ3" i="2"/>
  <c r="BS2" i="2"/>
  <c r="BR2" i="2"/>
  <c r="BQ2" i="2"/>
  <c r="BT3" i="2" l="1"/>
  <c r="BT2" i="2"/>
  <c r="AN3" i="2" l="1"/>
  <c r="AP3" i="2" s="1"/>
  <c r="AH3" i="2"/>
  <c r="AO3" i="2" s="1"/>
  <c r="AX3" i="2" s="1"/>
  <c r="V3" i="2"/>
  <c r="U3" i="2"/>
  <c r="R3" i="2"/>
  <c r="Q3" i="2"/>
  <c r="P3" i="2"/>
  <c r="M3" i="2"/>
  <c r="K3" i="2"/>
  <c r="J3" i="2"/>
  <c r="AN2" i="2"/>
  <c r="AP2" i="2" s="1"/>
  <c r="AH2" i="2"/>
  <c r="AO2" i="2" s="1"/>
  <c r="AX2" i="2" s="1"/>
  <c r="V2" i="2"/>
  <c r="U2" i="2"/>
  <c r="R2" i="2"/>
  <c r="Q2" i="2"/>
  <c r="P2" i="2"/>
  <c r="M2" i="2"/>
  <c r="K2" i="2"/>
  <c r="J2" i="2"/>
  <c r="V342" i="13" l="1"/>
  <c r="U342" i="13"/>
  <c r="R342" i="13"/>
  <c r="Q342" i="13"/>
  <c r="P342" i="13"/>
  <c r="M342" i="13"/>
  <c r="K342" i="13"/>
  <c r="V341" i="13"/>
  <c r="U341" i="13"/>
  <c r="R341" i="13"/>
  <c r="Q341" i="13"/>
  <c r="P341" i="13"/>
  <c r="M341" i="13"/>
  <c r="K341" i="13"/>
  <c r="V340" i="13"/>
  <c r="U340" i="13"/>
  <c r="R340" i="13"/>
  <c r="Q340" i="13"/>
  <c r="P340" i="13"/>
  <c r="M340" i="13"/>
  <c r="K340" i="13"/>
  <c r="V339" i="13"/>
  <c r="U339" i="13"/>
  <c r="R339" i="13"/>
  <c r="Q339" i="13"/>
  <c r="P339" i="13"/>
  <c r="M339" i="13"/>
  <c r="K339" i="13"/>
  <c r="V338" i="13"/>
  <c r="U338" i="13"/>
  <c r="R338" i="13"/>
  <c r="Q338" i="13"/>
  <c r="P338" i="13"/>
  <c r="M338" i="13"/>
  <c r="K338" i="13"/>
  <c r="V337" i="13"/>
  <c r="U337" i="13"/>
  <c r="R337" i="13"/>
  <c r="Q337" i="13"/>
  <c r="P337" i="13"/>
  <c r="M337" i="13"/>
  <c r="K337" i="13"/>
  <c r="V336" i="13"/>
  <c r="U336" i="13"/>
  <c r="R336" i="13"/>
  <c r="Q336" i="13"/>
  <c r="P336" i="13"/>
  <c r="M336" i="13"/>
  <c r="K336" i="13"/>
  <c r="V335" i="13"/>
  <c r="U335" i="13"/>
  <c r="R335" i="13"/>
  <c r="Q335" i="13"/>
  <c r="P335" i="13"/>
  <c r="M335" i="13"/>
  <c r="K335" i="13"/>
  <c r="V334" i="13"/>
  <c r="U334" i="13"/>
  <c r="R334" i="13"/>
  <c r="Q334" i="13"/>
  <c r="P334" i="13"/>
  <c r="M334" i="13"/>
  <c r="K334" i="13"/>
  <c r="V333" i="13"/>
  <c r="U333" i="13"/>
  <c r="R333" i="13"/>
  <c r="Q333" i="13"/>
  <c r="P333" i="13"/>
  <c r="M333" i="13"/>
  <c r="K333" i="13"/>
  <c r="V332" i="13"/>
  <c r="U332" i="13"/>
  <c r="R332" i="13"/>
  <c r="Q332" i="13"/>
  <c r="P332" i="13"/>
  <c r="M332" i="13"/>
  <c r="K332" i="13"/>
  <c r="V331" i="13"/>
  <c r="U331" i="13"/>
  <c r="R331" i="13"/>
  <c r="Q331" i="13"/>
  <c r="P331" i="13"/>
  <c r="M331" i="13"/>
  <c r="K331" i="13"/>
  <c r="V330" i="13"/>
  <c r="U330" i="13"/>
  <c r="R330" i="13"/>
  <c r="Q330" i="13"/>
  <c r="P330" i="13"/>
  <c r="M330" i="13"/>
  <c r="K330" i="13"/>
  <c r="V329" i="13"/>
  <c r="U329" i="13"/>
  <c r="R329" i="13"/>
  <c r="Q329" i="13"/>
  <c r="P329" i="13"/>
  <c r="M329" i="13"/>
  <c r="K329" i="13"/>
  <c r="V328" i="13"/>
  <c r="U328" i="13"/>
  <c r="R328" i="13"/>
  <c r="Q328" i="13"/>
  <c r="P328" i="13"/>
  <c r="M328" i="13"/>
  <c r="K328" i="13"/>
  <c r="V327" i="13"/>
  <c r="U327" i="13"/>
  <c r="R327" i="13"/>
  <c r="Q327" i="13"/>
  <c r="P327" i="13"/>
  <c r="M327" i="13"/>
  <c r="K327" i="13"/>
  <c r="V326" i="13"/>
  <c r="U326" i="13"/>
  <c r="R326" i="13"/>
  <c r="Q326" i="13"/>
  <c r="P326" i="13"/>
  <c r="M326" i="13"/>
  <c r="K326" i="13"/>
  <c r="V325" i="13"/>
  <c r="U325" i="13"/>
  <c r="R325" i="13"/>
  <c r="Q325" i="13"/>
  <c r="P325" i="13"/>
  <c r="M325" i="13"/>
  <c r="K325" i="13"/>
  <c r="V324" i="13"/>
  <c r="U324" i="13"/>
  <c r="R324" i="13"/>
  <c r="Q324" i="13"/>
  <c r="P324" i="13"/>
  <c r="M324" i="13"/>
  <c r="K324" i="13"/>
  <c r="V323" i="13"/>
  <c r="U323" i="13"/>
  <c r="R323" i="13"/>
  <c r="Q323" i="13"/>
  <c r="P323" i="13"/>
  <c r="M323" i="13"/>
  <c r="K323" i="13"/>
  <c r="V322" i="13"/>
  <c r="U322" i="13"/>
  <c r="R322" i="13"/>
  <c r="Q322" i="13"/>
  <c r="P322" i="13"/>
  <c r="M322" i="13"/>
  <c r="K322" i="13"/>
  <c r="V321" i="13"/>
  <c r="U321" i="13"/>
  <c r="R321" i="13"/>
  <c r="Q321" i="13"/>
  <c r="P321" i="13"/>
  <c r="M321" i="13"/>
  <c r="K321" i="13"/>
  <c r="V320" i="13"/>
  <c r="U320" i="13"/>
  <c r="R320" i="13"/>
  <c r="Q320" i="13"/>
  <c r="P320" i="13"/>
  <c r="M320" i="13"/>
  <c r="K320" i="13"/>
  <c r="V319" i="13"/>
  <c r="U319" i="13"/>
  <c r="R319" i="13"/>
  <c r="Q319" i="13"/>
  <c r="P319" i="13"/>
  <c r="M319" i="13"/>
  <c r="K319" i="13"/>
  <c r="V318" i="13"/>
  <c r="U318" i="13"/>
  <c r="R318" i="13"/>
  <c r="Q318" i="13"/>
  <c r="P318" i="13"/>
  <c r="M318" i="13"/>
  <c r="K318" i="13"/>
  <c r="V317" i="13"/>
  <c r="U317" i="13"/>
  <c r="R317" i="13"/>
  <c r="Q317" i="13"/>
  <c r="P317" i="13"/>
  <c r="M317" i="13"/>
  <c r="K317" i="13"/>
  <c r="V316" i="13"/>
  <c r="U316" i="13"/>
  <c r="R316" i="13"/>
  <c r="Q316" i="13"/>
  <c r="P316" i="13"/>
  <c r="M316" i="13"/>
  <c r="K316" i="13"/>
  <c r="V315" i="13"/>
  <c r="U315" i="13"/>
  <c r="R315" i="13"/>
  <c r="Q315" i="13"/>
  <c r="P315" i="13"/>
  <c r="M315" i="13"/>
  <c r="K315" i="13"/>
  <c r="V314" i="13"/>
  <c r="U314" i="13"/>
  <c r="R314" i="13"/>
  <c r="Q314" i="13"/>
  <c r="P314" i="13"/>
  <c r="M314" i="13"/>
  <c r="K314" i="13"/>
  <c r="V313" i="13"/>
  <c r="U313" i="13"/>
  <c r="R313" i="13"/>
  <c r="Q313" i="13"/>
  <c r="P313" i="13"/>
  <c r="M313" i="13"/>
  <c r="K313" i="13"/>
  <c r="V312" i="13"/>
  <c r="U312" i="13"/>
  <c r="R312" i="13"/>
  <c r="Q312" i="13"/>
  <c r="P312" i="13"/>
  <c r="M312" i="13"/>
  <c r="K312" i="13"/>
  <c r="V311" i="13"/>
  <c r="U311" i="13"/>
  <c r="R311" i="13"/>
  <c r="Q311" i="13"/>
  <c r="P311" i="13"/>
  <c r="M311" i="13"/>
  <c r="K311" i="13"/>
  <c r="V310" i="13"/>
  <c r="U310" i="13"/>
  <c r="R310" i="13"/>
  <c r="Q310" i="13"/>
  <c r="P310" i="13"/>
  <c r="M310" i="13"/>
  <c r="K310" i="13"/>
  <c r="V309" i="13"/>
  <c r="U309" i="13"/>
  <c r="R309" i="13"/>
  <c r="Q309" i="13"/>
  <c r="P309" i="13"/>
  <c r="M309" i="13"/>
  <c r="K309" i="13"/>
  <c r="V308" i="13"/>
  <c r="U308" i="13"/>
  <c r="R308" i="13"/>
  <c r="Q308" i="13"/>
  <c r="P308" i="13"/>
  <c r="M308" i="13"/>
  <c r="K308" i="13"/>
  <c r="R307" i="13"/>
  <c r="Q307" i="13"/>
  <c r="P307" i="13"/>
  <c r="M307" i="13"/>
  <c r="K307" i="13"/>
  <c r="V306" i="13"/>
  <c r="U306" i="13"/>
  <c r="R306" i="13"/>
  <c r="Q306" i="13"/>
  <c r="P306" i="13"/>
  <c r="M306" i="13"/>
  <c r="K306" i="13"/>
  <c r="V305" i="13"/>
  <c r="U305" i="13"/>
  <c r="R305" i="13"/>
  <c r="Q305" i="13"/>
  <c r="P305" i="13"/>
  <c r="M305" i="13"/>
  <c r="K305" i="13"/>
  <c r="V304" i="13"/>
  <c r="U304" i="13"/>
  <c r="R304" i="13"/>
  <c r="Q304" i="13"/>
  <c r="P304" i="13"/>
  <c r="M304" i="13"/>
  <c r="K304" i="13"/>
  <c r="V303" i="13"/>
  <c r="U303" i="13"/>
  <c r="R303" i="13"/>
  <c r="Q303" i="13"/>
  <c r="P303" i="13"/>
  <c r="M303" i="13"/>
  <c r="K303" i="13"/>
  <c r="V302" i="13"/>
  <c r="U302" i="13"/>
  <c r="R302" i="13"/>
  <c r="Q302" i="13"/>
  <c r="P302" i="13"/>
  <c r="M302" i="13"/>
  <c r="K302" i="13"/>
  <c r="V301" i="13"/>
  <c r="U301" i="13"/>
  <c r="R301" i="13"/>
  <c r="Q301" i="13"/>
  <c r="P301" i="13"/>
  <c r="M301" i="13"/>
  <c r="K301" i="13"/>
  <c r="V300" i="13"/>
  <c r="U300" i="13"/>
  <c r="R300" i="13"/>
  <c r="Q300" i="13"/>
  <c r="P300" i="13"/>
  <c r="M300" i="13"/>
  <c r="K300" i="13"/>
  <c r="V299" i="13"/>
  <c r="U299" i="13"/>
  <c r="R299" i="13"/>
  <c r="Q299" i="13"/>
  <c r="P299" i="13"/>
  <c r="M299" i="13"/>
  <c r="K299" i="13"/>
  <c r="V298" i="13"/>
  <c r="U298" i="13"/>
  <c r="R298" i="13"/>
  <c r="Q298" i="13"/>
  <c r="P298" i="13"/>
  <c r="M298" i="13"/>
  <c r="K298" i="13"/>
  <c r="V297" i="13"/>
  <c r="U297" i="13"/>
  <c r="R297" i="13"/>
  <c r="Q297" i="13"/>
  <c r="P297" i="13"/>
  <c r="M297" i="13"/>
  <c r="K297" i="13"/>
  <c r="V296" i="13"/>
  <c r="U296" i="13"/>
  <c r="R296" i="13"/>
  <c r="Q296" i="13"/>
  <c r="P296" i="13"/>
  <c r="M296" i="13"/>
  <c r="K296" i="13"/>
  <c r="V295" i="13"/>
  <c r="U295" i="13"/>
  <c r="R295" i="13"/>
  <c r="Q295" i="13"/>
  <c r="P295" i="13"/>
  <c r="M295" i="13"/>
  <c r="K295" i="13"/>
  <c r="V294" i="13"/>
  <c r="U294" i="13"/>
  <c r="R294" i="13"/>
  <c r="Q294" i="13"/>
  <c r="P294" i="13"/>
  <c r="M294" i="13"/>
  <c r="K294" i="13"/>
  <c r="V293" i="13"/>
  <c r="U293" i="13"/>
  <c r="R293" i="13"/>
  <c r="Q293" i="13"/>
  <c r="P293" i="13"/>
  <c r="M293" i="13"/>
  <c r="K293" i="13"/>
  <c r="V292" i="13"/>
  <c r="U292" i="13"/>
  <c r="R292" i="13"/>
  <c r="Q292" i="13"/>
  <c r="P292" i="13"/>
  <c r="M292" i="13"/>
  <c r="K292" i="13"/>
  <c r="V291" i="13"/>
  <c r="U291" i="13"/>
  <c r="R291" i="13"/>
  <c r="Q291" i="13"/>
  <c r="P291" i="13"/>
  <c r="M291" i="13"/>
  <c r="K291" i="13"/>
  <c r="V290" i="13"/>
  <c r="U290" i="13"/>
  <c r="R290" i="13"/>
  <c r="Q290" i="13"/>
  <c r="P290" i="13"/>
  <c r="M290" i="13"/>
  <c r="K290" i="13"/>
  <c r="V289" i="13"/>
  <c r="U289" i="13"/>
  <c r="R289" i="13"/>
  <c r="Q289" i="13"/>
  <c r="P289" i="13"/>
  <c r="M289" i="13"/>
  <c r="K289" i="13"/>
  <c r="V288" i="13"/>
  <c r="U288" i="13"/>
  <c r="R288" i="13"/>
  <c r="Q288" i="13"/>
  <c r="P288" i="13"/>
  <c r="M288" i="13"/>
  <c r="K288" i="13"/>
  <c r="V287" i="13"/>
  <c r="U287" i="13"/>
  <c r="R287" i="13"/>
  <c r="Q287" i="13"/>
  <c r="P287" i="13"/>
  <c r="M287" i="13"/>
  <c r="K287" i="13"/>
  <c r="V286" i="13"/>
  <c r="U286" i="13"/>
  <c r="R286" i="13"/>
  <c r="Q286" i="13"/>
  <c r="P286" i="13"/>
  <c r="M286" i="13"/>
  <c r="K286" i="13"/>
  <c r="V285" i="13"/>
  <c r="U285" i="13"/>
  <c r="R285" i="13"/>
  <c r="Q285" i="13"/>
  <c r="P285" i="13"/>
  <c r="M285" i="13"/>
  <c r="K285" i="13"/>
  <c r="V284" i="13"/>
  <c r="U284" i="13"/>
  <c r="R284" i="13"/>
  <c r="Q284" i="13"/>
  <c r="P284" i="13"/>
  <c r="M284" i="13"/>
  <c r="K284" i="13"/>
  <c r="V283" i="13"/>
  <c r="U283" i="13"/>
  <c r="R283" i="13"/>
  <c r="Q283" i="13"/>
  <c r="P283" i="13"/>
  <c r="M283" i="13"/>
  <c r="K283" i="13"/>
  <c r="V282" i="13"/>
  <c r="U282" i="13"/>
  <c r="R282" i="13"/>
  <c r="Q282" i="13"/>
  <c r="P282" i="13"/>
  <c r="M282" i="13"/>
  <c r="K282" i="13"/>
  <c r="V281" i="13"/>
  <c r="U281" i="13"/>
  <c r="R281" i="13"/>
  <c r="Q281" i="13"/>
  <c r="P281" i="13"/>
  <c r="M281" i="13"/>
  <c r="K281" i="13"/>
  <c r="V280" i="13"/>
  <c r="U280" i="13"/>
  <c r="R280" i="13"/>
  <c r="Q280" i="13"/>
  <c r="P280" i="13"/>
  <c r="M280" i="13"/>
  <c r="K280" i="13"/>
  <c r="V279" i="13"/>
  <c r="U279" i="13"/>
  <c r="R279" i="13"/>
  <c r="Q279" i="13"/>
  <c r="P279" i="13"/>
  <c r="M279" i="13"/>
  <c r="K279" i="13"/>
  <c r="V278" i="13"/>
  <c r="U278" i="13"/>
  <c r="R278" i="13"/>
  <c r="Q278" i="13"/>
  <c r="P278" i="13"/>
  <c r="M278" i="13"/>
  <c r="K278" i="13"/>
  <c r="V277" i="13"/>
  <c r="U277" i="13"/>
  <c r="R277" i="13"/>
  <c r="Q277" i="13"/>
  <c r="P277" i="13"/>
  <c r="M277" i="13"/>
  <c r="K277" i="13"/>
  <c r="V276" i="13"/>
  <c r="U276" i="13"/>
  <c r="R276" i="13"/>
  <c r="Q276" i="13"/>
  <c r="P276" i="13"/>
  <c r="M276" i="13"/>
  <c r="K276" i="13"/>
  <c r="V275" i="13"/>
  <c r="U275" i="13"/>
  <c r="R275" i="13"/>
  <c r="Q275" i="13"/>
  <c r="P275" i="13"/>
  <c r="M275" i="13"/>
  <c r="K275" i="13"/>
  <c r="V274" i="13"/>
  <c r="U274" i="13"/>
  <c r="R274" i="13"/>
  <c r="Q274" i="13"/>
  <c r="P274" i="13"/>
  <c r="M274" i="13"/>
  <c r="K274" i="13"/>
  <c r="V273" i="13"/>
  <c r="U273" i="13"/>
  <c r="R273" i="13"/>
  <c r="Q273" i="13"/>
  <c r="P273" i="13"/>
  <c r="M273" i="13"/>
  <c r="K273" i="13"/>
  <c r="V272" i="13"/>
  <c r="U272" i="13"/>
  <c r="R272" i="13"/>
  <c r="Q272" i="13"/>
  <c r="P272" i="13"/>
  <c r="M272" i="13"/>
  <c r="K272" i="13"/>
  <c r="V271" i="13"/>
  <c r="U271" i="13"/>
  <c r="R271" i="13"/>
  <c r="Q271" i="13"/>
  <c r="P271" i="13"/>
  <c r="M271" i="13"/>
  <c r="K271" i="13"/>
  <c r="V270" i="13"/>
  <c r="U270" i="13"/>
  <c r="R270" i="13"/>
  <c r="Q270" i="13"/>
  <c r="P270" i="13"/>
  <c r="M270" i="13"/>
  <c r="K270" i="13"/>
  <c r="V269" i="13"/>
  <c r="U269" i="13"/>
  <c r="R269" i="13"/>
  <c r="Q269" i="13"/>
  <c r="P269" i="13"/>
  <c r="M269" i="13"/>
  <c r="K269" i="13"/>
  <c r="V268" i="13"/>
  <c r="U268" i="13"/>
  <c r="R268" i="13"/>
  <c r="Q268" i="13"/>
  <c r="P268" i="13"/>
  <c r="M268" i="13"/>
  <c r="K268" i="13"/>
  <c r="V267" i="13"/>
  <c r="U267" i="13"/>
  <c r="R267" i="13"/>
  <c r="Q267" i="13"/>
  <c r="P267" i="13"/>
  <c r="M267" i="13"/>
  <c r="K267" i="13"/>
  <c r="V266" i="13"/>
  <c r="U266" i="13"/>
  <c r="R266" i="13"/>
  <c r="Q266" i="13"/>
  <c r="P266" i="13"/>
  <c r="M266" i="13"/>
  <c r="K266" i="13"/>
  <c r="V265" i="13"/>
  <c r="U265" i="13"/>
  <c r="R265" i="13"/>
  <c r="Q265" i="13"/>
  <c r="P265" i="13"/>
  <c r="M265" i="13"/>
  <c r="K265" i="13"/>
  <c r="V264" i="13"/>
  <c r="U264" i="13"/>
  <c r="R264" i="13"/>
  <c r="Q264" i="13"/>
  <c r="P264" i="13"/>
  <c r="M264" i="13"/>
  <c r="K264" i="13"/>
  <c r="V263" i="13"/>
  <c r="U263" i="13"/>
  <c r="R263" i="13"/>
  <c r="Q263" i="13"/>
  <c r="P263" i="13"/>
  <c r="M263" i="13"/>
  <c r="K263" i="13"/>
  <c r="V262" i="13"/>
  <c r="U262" i="13"/>
  <c r="R262" i="13"/>
  <c r="Q262" i="13"/>
  <c r="P262" i="13"/>
  <c r="M262" i="13"/>
  <c r="K262" i="13"/>
  <c r="V261" i="13"/>
  <c r="U261" i="13"/>
  <c r="R261" i="13"/>
  <c r="Q261" i="13"/>
  <c r="P261" i="13"/>
  <c r="M261" i="13"/>
  <c r="K261" i="13"/>
  <c r="V260" i="13"/>
  <c r="U260" i="13"/>
  <c r="R260" i="13"/>
  <c r="Q260" i="13"/>
  <c r="P260" i="13"/>
  <c r="M260" i="13"/>
  <c r="K260" i="13"/>
  <c r="V259" i="13"/>
  <c r="U259" i="13"/>
  <c r="R259" i="13"/>
  <c r="Q259" i="13"/>
  <c r="P259" i="13"/>
  <c r="M259" i="13"/>
  <c r="K259" i="13"/>
  <c r="V258" i="13"/>
  <c r="U258" i="13"/>
  <c r="R258" i="13"/>
  <c r="Q258" i="13"/>
  <c r="P258" i="13"/>
  <c r="M258" i="13"/>
  <c r="K258" i="13"/>
  <c r="V257" i="13"/>
  <c r="U257" i="13"/>
  <c r="R257" i="13"/>
  <c r="Q257" i="13"/>
  <c r="P257" i="13"/>
  <c r="M257" i="13"/>
  <c r="K257" i="13"/>
  <c r="V256" i="13"/>
  <c r="U256" i="13"/>
  <c r="R256" i="13"/>
  <c r="Q256" i="13"/>
  <c r="P256" i="13"/>
  <c r="M256" i="13"/>
  <c r="K256" i="13"/>
  <c r="V255" i="13"/>
  <c r="U255" i="13"/>
  <c r="R255" i="13"/>
  <c r="Q255" i="13"/>
  <c r="P255" i="13"/>
  <c r="M255" i="13"/>
  <c r="K255" i="13"/>
  <c r="V254" i="13"/>
  <c r="U254" i="13"/>
  <c r="R254" i="13"/>
  <c r="Q254" i="13"/>
  <c r="P254" i="13"/>
  <c r="M254" i="13"/>
  <c r="K254" i="13"/>
  <c r="V253" i="13"/>
  <c r="U253" i="13"/>
  <c r="R253" i="13"/>
  <c r="Q253" i="13"/>
  <c r="P253" i="13"/>
  <c r="M253" i="13"/>
  <c r="K253" i="13"/>
  <c r="V252" i="13"/>
  <c r="U252" i="13"/>
  <c r="R252" i="13"/>
  <c r="Q252" i="13"/>
  <c r="P252" i="13"/>
  <c r="M252" i="13"/>
  <c r="K252" i="13"/>
  <c r="V251" i="13"/>
  <c r="U251" i="13"/>
  <c r="R251" i="13"/>
  <c r="Q251" i="13"/>
  <c r="P251" i="13"/>
  <c r="M251" i="13"/>
  <c r="K251" i="13"/>
  <c r="V250" i="13"/>
  <c r="U250" i="13"/>
  <c r="R250" i="13"/>
  <c r="Q250" i="13"/>
  <c r="P250" i="13"/>
  <c r="M250" i="13"/>
  <c r="K250" i="13"/>
  <c r="R249" i="13"/>
  <c r="Q249" i="13"/>
  <c r="P249" i="13"/>
  <c r="M249" i="13"/>
  <c r="K249" i="13"/>
  <c r="V248" i="13"/>
  <c r="U248" i="13"/>
  <c r="R248" i="13"/>
  <c r="Q248" i="13"/>
  <c r="P248" i="13"/>
  <c r="M248" i="13"/>
  <c r="K248" i="13"/>
  <c r="V247" i="13"/>
  <c r="U247" i="13"/>
  <c r="R247" i="13"/>
  <c r="Q247" i="13"/>
  <c r="P247" i="13"/>
  <c r="M247" i="13"/>
  <c r="K247" i="13"/>
  <c r="V246" i="13"/>
  <c r="U246" i="13"/>
  <c r="R246" i="13"/>
  <c r="Q246" i="13"/>
  <c r="P246" i="13"/>
  <c r="M246" i="13"/>
  <c r="K246" i="13"/>
  <c r="V245" i="13"/>
  <c r="U245" i="13"/>
  <c r="R245" i="13"/>
  <c r="Q245" i="13"/>
  <c r="P245" i="13"/>
  <c r="M245" i="13"/>
  <c r="K245" i="13"/>
  <c r="V244" i="13"/>
  <c r="U244" i="13"/>
  <c r="R244" i="13"/>
  <c r="Q244" i="13"/>
  <c r="P244" i="13"/>
  <c r="M244" i="13"/>
  <c r="K244" i="13"/>
  <c r="V243" i="13"/>
  <c r="U243" i="13"/>
  <c r="R243" i="13"/>
  <c r="Q243" i="13"/>
  <c r="P243" i="13"/>
  <c r="M243" i="13"/>
  <c r="K243" i="13"/>
  <c r="V242" i="13"/>
  <c r="U242" i="13"/>
  <c r="R242" i="13"/>
  <c r="Q242" i="13"/>
  <c r="P242" i="13"/>
  <c r="M242" i="13"/>
  <c r="K242" i="13"/>
  <c r="V241" i="13"/>
  <c r="U241" i="13"/>
  <c r="R241" i="13"/>
  <c r="Q241" i="13"/>
  <c r="P241" i="13"/>
  <c r="M241" i="13"/>
  <c r="K241" i="13"/>
  <c r="V240" i="13"/>
  <c r="U240" i="13"/>
  <c r="R240" i="13"/>
  <c r="Q240" i="13"/>
  <c r="P240" i="13"/>
  <c r="M240" i="13"/>
  <c r="K240" i="13"/>
  <c r="V239" i="13"/>
  <c r="U239" i="13"/>
  <c r="R239" i="13"/>
  <c r="Q239" i="13"/>
  <c r="P239" i="13"/>
  <c r="M239" i="13"/>
  <c r="K239" i="13"/>
  <c r="V238" i="13"/>
  <c r="U238" i="13"/>
  <c r="R238" i="13"/>
  <c r="Q238" i="13"/>
  <c r="P238" i="13"/>
  <c r="M238" i="13"/>
  <c r="K238" i="13"/>
  <c r="V237" i="13"/>
  <c r="U237" i="13"/>
  <c r="R237" i="13"/>
  <c r="Q237" i="13"/>
  <c r="P237" i="13"/>
  <c r="M237" i="13"/>
  <c r="K237" i="13"/>
  <c r="V236" i="13"/>
  <c r="U236" i="13"/>
  <c r="R236" i="13"/>
  <c r="Q236" i="13"/>
  <c r="P236" i="13"/>
  <c r="M236" i="13"/>
  <c r="K236" i="13"/>
  <c r="V235" i="13"/>
  <c r="U235" i="13"/>
  <c r="R235" i="13"/>
  <c r="Q235" i="13"/>
  <c r="P235" i="13"/>
  <c r="M235" i="13"/>
  <c r="K235" i="13"/>
  <c r="V234" i="13"/>
  <c r="U234" i="13"/>
  <c r="R234" i="13"/>
  <c r="Q234" i="13"/>
  <c r="P234" i="13"/>
  <c r="M234" i="13"/>
  <c r="K234" i="13"/>
  <c r="V233" i="13"/>
  <c r="U233" i="13"/>
  <c r="R233" i="13"/>
  <c r="Q233" i="13"/>
  <c r="P233" i="13"/>
  <c r="M233" i="13"/>
  <c r="K233" i="13"/>
  <c r="V232" i="13"/>
  <c r="U232" i="13"/>
  <c r="R232" i="13"/>
  <c r="Q232" i="13"/>
  <c r="P232" i="13"/>
  <c r="M232" i="13"/>
  <c r="K232" i="13"/>
  <c r="V231" i="13"/>
  <c r="U231" i="13"/>
  <c r="R231" i="13"/>
  <c r="Q231" i="13"/>
  <c r="P231" i="13"/>
  <c r="M231" i="13"/>
  <c r="K231" i="13"/>
  <c r="V230" i="13"/>
  <c r="U230" i="13"/>
  <c r="R230" i="13"/>
  <c r="Q230" i="13"/>
  <c r="P230" i="13"/>
  <c r="M230" i="13"/>
  <c r="K230" i="13"/>
  <c r="V229" i="13"/>
  <c r="U229" i="13"/>
  <c r="R229" i="13"/>
  <c r="Q229" i="13"/>
  <c r="P229" i="13"/>
  <c r="M229" i="13"/>
  <c r="K229" i="13"/>
  <c r="V228" i="13"/>
  <c r="U228" i="13"/>
  <c r="R228" i="13"/>
  <c r="Q228" i="13"/>
  <c r="P228" i="13"/>
  <c r="M228" i="13"/>
  <c r="K228" i="13"/>
  <c r="V227" i="13"/>
  <c r="U227" i="13"/>
  <c r="R227" i="13"/>
  <c r="Q227" i="13"/>
  <c r="P227" i="13"/>
  <c r="M227" i="13"/>
  <c r="K227" i="13"/>
  <c r="V226" i="13"/>
  <c r="U226" i="13"/>
  <c r="R226" i="13"/>
  <c r="Q226" i="13"/>
  <c r="P226" i="13"/>
  <c r="M226" i="13"/>
  <c r="K226" i="13"/>
  <c r="V225" i="13"/>
  <c r="U225" i="13"/>
  <c r="R225" i="13"/>
  <c r="Q225" i="13"/>
  <c r="P225" i="13"/>
  <c r="M225" i="13"/>
  <c r="K225" i="13"/>
  <c r="V224" i="13"/>
  <c r="U224" i="13"/>
  <c r="R224" i="13"/>
  <c r="Q224" i="13"/>
  <c r="P224" i="13"/>
  <c r="M224" i="13"/>
  <c r="K224" i="13"/>
  <c r="V223" i="13"/>
  <c r="U223" i="13"/>
  <c r="R223" i="13"/>
  <c r="Q223" i="13"/>
  <c r="P223" i="13"/>
  <c r="M223" i="13"/>
  <c r="K223" i="13"/>
  <c r="V222" i="13"/>
  <c r="U222" i="13"/>
  <c r="R222" i="13"/>
  <c r="Q222" i="13"/>
  <c r="P222" i="13"/>
  <c r="M222" i="13"/>
  <c r="K222" i="13"/>
  <c r="V221" i="13"/>
  <c r="U221" i="13"/>
  <c r="R221" i="13"/>
  <c r="Q221" i="13"/>
  <c r="P221" i="13"/>
  <c r="M221" i="13"/>
  <c r="K221" i="13"/>
  <c r="V220" i="13"/>
  <c r="U220" i="13"/>
  <c r="R220" i="13"/>
  <c r="Q220" i="13"/>
  <c r="P220" i="13"/>
  <c r="M220" i="13"/>
  <c r="K220" i="13"/>
  <c r="V219" i="13"/>
  <c r="U219" i="13"/>
  <c r="R219" i="13"/>
  <c r="Q219" i="13"/>
  <c r="P219" i="13"/>
  <c r="M219" i="13"/>
  <c r="K219" i="13"/>
  <c r="V218" i="13"/>
  <c r="U218" i="13"/>
  <c r="R218" i="13"/>
  <c r="Q218" i="13"/>
  <c r="P218" i="13"/>
  <c r="M218" i="13"/>
  <c r="K218" i="13"/>
  <c r="V217" i="13"/>
  <c r="U217" i="13"/>
  <c r="R217" i="13"/>
  <c r="Q217" i="13"/>
  <c r="P217" i="13"/>
  <c r="M217" i="13"/>
  <c r="K217" i="13"/>
  <c r="V216" i="13"/>
  <c r="U216" i="13"/>
  <c r="R216" i="13"/>
  <c r="Q216" i="13"/>
  <c r="P216" i="13"/>
  <c r="M216" i="13"/>
  <c r="K216" i="13"/>
  <c r="V215" i="13"/>
  <c r="U215" i="13"/>
  <c r="R215" i="13"/>
  <c r="Q215" i="13"/>
  <c r="P215" i="13"/>
  <c r="M215" i="13"/>
  <c r="K215" i="13"/>
  <c r="V214" i="13"/>
  <c r="U214" i="13"/>
  <c r="R214" i="13"/>
  <c r="Q214" i="13"/>
  <c r="P214" i="13"/>
  <c r="M214" i="13"/>
  <c r="K214" i="13"/>
  <c r="V213" i="13"/>
  <c r="U213" i="13"/>
  <c r="R213" i="13"/>
  <c r="Q213" i="13"/>
  <c r="P213" i="13"/>
  <c r="M213" i="13"/>
  <c r="K213" i="13"/>
  <c r="V212" i="13"/>
  <c r="U212" i="13"/>
  <c r="R212" i="13"/>
  <c r="Q212" i="13"/>
  <c r="P212" i="13"/>
  <c r="M212" i="13"/>
  <c r="K212" i="13"/>
  <c r="V211" i="13"/>
  <c r="U211" i="13"/>
  <c r="R211" i="13"/>
  <c r="Q211" i="13"/>
  <c r="P211" i="13"/>
  <c r="M211" i="13"/>
  <c r="K211" i="13"/>
  <c r="V210" i="13"/>
  <c r="U210" i="13"/>
  <c r="R210" i="13"/>
  <c r="Q210" i="13"/>
  <c r="P210" i="13"/>
  <c r="M210" i="13"/>
  <c r="K210" i="13"/>
  <c r="V209" i="13"/>
  <c r="U209" i="13"/>
  <c r="R209" i="13"/>
  <c r="Q209" i="13"/>
  <c r="P209" i="13"/>
  <c r="M209" i="13"/>
  <c r="K209" i="13"/>
  <c r="V208" i="13"/>
  <c r="U208" i="13"/>
  <c r="R208" i="13"/>
  <c r="Q208" i="13"/>
  <c r="P208" i="13"/>
  <c r="M208" i="13"/>
  <c r="K208" i="13"/>
  <c r="V207" i="13"/>
  <c r="U207" i="13"/>
  <c r="R207" i="13"/>
  <c r="Q207" i="13"/>
  <c r="P207" i="13"/>
  <c r="M207" i="13"/>
  <c r="K207" i="13"/>
  <c r="V206" i="13"/>
  <c r="U206" i="13"/>
  <c r="R206" i="13"/>
  <c r="Q206" i="13"/>
  <c r="P206" i="13"/>
  <c r="M206" i="13"/>
  <c r="K206" i="13"/>
  <c r="V205" i="13"/>
  <c r="U205" i="13"/>
  <c r="R205" i="13"/>
  <c r="Q205" i="13"/>
  <c r="P205" i="13"/>
  <c r="M205" i="13"/>
  <c r="K205" i="13"/>
  <c r="V204" i="13"/>
  <c r="U204" i="13"/>
  <c r="R204" i="13"/>
  <c r="Q204" i="13"/>
  <c r="P204" i="13"/>
  <c r="M204" i="13"/>
  <c r="K204" i="13"/>
  <c r="V203" i="13"/>
  <c r="U203" i="13"/>
  <c r="R203" i="13"/>
  <c r="Q203" i="13"/>
  <c r="P203" i="13"/>
  <c r="M203" i="13"/>
  <c r="K203" i="13"/>
  <c r="V202" i="13"/>
  <c r="U202" i="13"/>
  <c r="R202" i="13"/>
  <c r="Q202" i="13"/>
  <c r="P202" i="13"/>
  <c r="M202" i="13"/>
  <c r="K202" i="13"/>
  <c r="V201" i="13"/>
  <c r="U201" i="13"/>
  <c r="R201" i="13"/>
  <c r="Q201" i="13"/>
  <c r="P201" i="13"/>
  <c r="M201" i="13"/>
  <c r="K201" i="13"/>
  <c r="V200" i="13"/>
  <c r="U200" i="13"/>
  <c r="R200" i="13"/>
  <c r="Q200" i="13"/>
  <c r="P200" i="13"/>
  <c r="M200" i="13"/>
  <c r="K200" i="13"/>
  <c r="V199" i="13"/>
  <c r="U199" i="13"/>
  <c r="R199" i="13"/>
  <c r="Q199" i="13"/>
  <c r="P199" i="13"/>
  <c r="M199" i="13"/>
  <c r="K199" i="13"/>
  <c r="V198" i="13"/>
  <c r="U198" i="13"/>
  <c r="R198" i="13"/>
  <c r="Q198" i="13"/>
  <c r="P198" i="13"/>
  <c r="M198" i="13"/>
  <c r="K198" i="13"/>
  <c r="V197" i="13"/>
  <c r="U197" i="13"/>
  <c r="R197" i="13"/>
  <c r="Q197" i="13"/>
  <c r="P197" i="13"/>
  <c r="M197" i="13"/>
  <c r="K197" i="13"/>
  <c r="V196" i="13"/>
  <c r="U196" i="13"/>
  <c r="R196" i="13"/>
  <c r="Q196" i="13"/>
  <c r="P196" i="13"/>
  <c r="M196" i="13"/>
  <c r="K196" i="13"/>
  <c r="V195" i="13"/>
  <c r="U195" i="13"/>
  <c r="R195" i="13"/>
  <c r="Q195" i="13"/>
  <c r="P195" i="13"/>
  <c r="M195" i="13"/>
  <c r="K195" i="13"/>
  <c r="V194" i="13"/>
  <c r="U194" i="13"/>
  <c r="R194" i="13"/>
  <c r="Q194" i="13"/>
  <c r="P194" i="13"/>
  <c r="M194" i="13"/>
  <c r="K194" i="13"/>
  <c r="V193" i="13"/>
  <c r="U193" i="13"/>
  <c r="R193" i="13"/>
  <c r="Q193" i="13"/>
  <c r="P193" i="13"/>
  <c r="M193" i="13"/>
  <c r="K193" i="13"/>
  <c r="R192" i="13"/>
  <c r="Q192" i="13"/>
  <c r="P192" i="13"/>
  <c r="M192" i="13"/>
  <c r="K192" i="13"/>
  <c r="V191" i="13"/>
  <c r="U191" i="13"/>
  <c r="R191" i="13"/>
  <c r="Q191" i="13"/>
  <c r="P191" i="13"/>
  <c r="M191" i="13"/>
  <c r="K191" i="13"/>
  <c r="V190" i="13"/>
  <c r="U190" i="13"/>
  <c r="R190" i="13"/>
  <c r="Q190" i="13"/>
  <c r="P190" i="13"/>
  <c r="M190" i="13"/>
  <c r="K190" i="13"/>
  <c r="V189" i="13"/>
  <c r="U189" i="13"/>
  <c r="R189" i="13"/>
  <c r="Q189" i="13"/>
  <c r="P189" i="13"/>
  <c r="M189" i="13"/>
  <c r="K189" i="13"/>
  <c r="V188" i="13"/>
  <c r="U188" i="13"/>
  <c r="R188" i="13"/>
  <c r="Q188" i="13"/>
  <c r="P188" i="13"/>
  <c r="M188" i="13"/>
  <c r="K188" i="13"/>
  <c r="V187" i="13"/>
  <c r="U187" i="13"/>
  <c r="R187" i="13"/>
  <c r="Q187" i="13"/>
  <c r="P187" i="13"/>
  <c r="M187" i="13"/>
  <c r="K187" i="13"/>
  <c r="V186" i="13"/>
  <c r="U186" i="13"/>
  <c r="R186" i="13"/>
  <c r="Q186" i="13"/>
  <c r="P186" i="13"/>
  <c r="M186" i="13"/>
  <c r="K186" i="13"/>
  <c r="V185" i="13"/>
  <c r="U185" i="13"/>
  <c r="R185" i="13"/>
  <c r="Q185" i="13"/>
  <c r="P185" i="13"/>
  <c r="M185" i="13"/>
  <c r="K185" i="13"/>
  <c r="V184" i="13"/>
  <c r="U184" i="13"/>
  <c r="R184" i="13"/>
  <c r="Q184" i="13"/>
  <c r="P184" i="13"/>
  <c r="M184" i="13"/>
  <c r="K184" i="13"/>
  <c r="V183" i="13"/>
  <c r="U183" i="13"/>
  <c r="R183" i="13"/>
  <c r="Q183" i="13"/>
  <c r="P183" i="13"/>
  <c r="M183" i="13"/>
  <c r="K183" i="13"/>
  <c r="V182" i="13"/>
  <c r="U182" i="13"/>
  <c r="R182" i="13"/>
  <c r="Q182" i="13"/>
  <c r="P182" i="13"/>
  <c r="M182" i="13"/>
  <c r="K182" i="13"/>
  <c r="V181" i="13"/>
  <c r="U181" i="13"/>
  <c r="R181" i="13"/>
  <c r="Q181" i="13"/>
  <c r="P181" i="13"/>
  <c r="M181" i="13"/>
  <c r="K181" i="13"/>
  <c r="V180" i="13"/>
  <c r="U180" i="13"/>
  <c r="R180" i="13"/>
  <c r="Q180" i="13"/>
  <c r="P180" i="13"/>
  <c r="M180" i="13"/>
  <c r="K180" i="13"/>
  <c r="V179" i="13"/>
  <c r="U179" i="13"/>
  <c r="R179" i="13"/>
  <c r="Q179" i="13"/>
  <c r="P179" i="13"/>
  <c r="M179" i="13"/>
  <c r="K179" i="13"/>
  <c r="V178" i="13"/>
  <c r="U178" i="13"/>
  <c r="R178" i="13"/>
  <c r="Q178" i="13"/>
  <c r="P178" i="13"/>
  <c r="M178" i="13"/>
  <c r="K178" i="13"/>
  <c r="V177" i="13"/>
  <c r="U177" i="13"/>
  <c r="R177" i="13"/>
  <c r="Q177" i="13"/>
  <c r="P177" i="13"/>
  <c r="M177" i="13"/>
  <c r="K177" i="13"/>
  <c r="V176" i="13"/>
  <c r="U176" i="13"/>
  <c r="R176" i="13"/>
  <c r="Q176" i="13"/>
  <c r="P176" i="13"/>
  <c r="M176" i="13"/>
  <c r="K176" i="13"/>
  <c r="V175" i="13"/>
  <c r="U175" i="13"/>
  <c r="R175" i="13"/>
  <c r="Q175" i="13"/>
  <c r="P175" i="13"/>
  <c r="M175" i="13"/>
  <c r="K175" i="13"/>
  <c r="V174" i="13"/>
  <c r="U174" i="13"/>
  <c r="R174" i="13"/>
  <c r="Q174" i="13"/>
  <c r="P174" i="13"/>
  <c r="M174" i="13"/>
  <c r="K174" i="13"/>
  <c r="V173" i="13"/>
  <c r="U173" i="13"/>
  <c r="R173" i="13"/>
  <c r="Q173" i="13"/>
  <c r="P173" i="13"/>
  <c r="M173" i="13"/>
  <c r="K173" i="13"/>
  <c r="V172" i="13"/>
  <c r="U172" i="13"/>
  <c r="R172" i="13"/>
  <c r="Q172" i="13"/>
  <c r="P172" i="13"/>
  <c r="M172" i="13"/>
  <c r="K172" i="13"/>
  <c r="V171" i="13"/>
  <c r="U171" i="13"/>
  <c r="R171" i="13"/>
  <c r="Q171" i="13"/>
  <c r="P171" i="13"/>
  <c r="M171" i="13"/>
  <c r="K171" i="13"/>
  <c r="V170" i="13"/>
  <c r="U170" i="13"/>
  <c r="R170" i="13"/>
  <c r="Q170" i="13"/>
  <c r="P170" i="13"/>
  <c r="M170" i="13"/>
  <c r="K170" i="13"/>
  <c r="V169" i="13"/>
  <c r="U169" i="13"/>
  <c r="R169" i="13"/>
  <c r="Q169" i="13"/>
  <c r="P169" i="13"/>
  <c r="M169" i="13"/>
  <c r="K169" i="13"/>
  <c r="V168" i="13"/>
  <c r="U168" i="13"/>
  <c r="R168" i="13"/>
  <c r="Q168" i="13"/>
  <c r="P168" i="13"/>
  <c r="M168" i="13"/>
  <c r="K168" i="13"/>
  <c r="V167" i="13"/>
  <c r="U167" i="13"/>
  <c r="R167" i="13"/>
  <c r="Q167" i="13"/>
  <c r="P167" i="13"/>
  <c r="M167" i="13"/>
  <c r="K167" i="13"/>
  <c r="V166" i="13"/>
  <c r="U166" i="13"/>
  <c r="R166" i="13"/>
  <c r="Q166" i="13"/>
  <c r="P166" i="13"/>
  <c r="M166" i="13"/>
  <c r="K166" i="13"/>
  <c r="V165" i="13"/>
  <c r="U165" i="13"/>
  <c r="R165" i="13"/>
  <c r="Q165" i="13"/>
  <c r="P165" i="13"/>
  <c r="M165" i="13"/>
  <c r="K165" i="13"/>
  <c r="V164" i="13"/>
  <c r="U164" i="13"/>
  <c r="R164" i="13"/>
  <c r="Q164" i="13"/>
  <c r="P164" i="13"/>
  <c r="M164" i="13"/>
  <c r="K164" i="13"/>
  <c r="V163" i="13"/>
  <c r="U163" i="13"/>
  <c r="R163" i="13"/>
  <c r="Q163" i="13"/>
  <c r="P163" i="13"/>
  <c r="M163" i="13"/>
  <c r="K163" i="13"/>
  <c r="V162" i="13"/>
  <c r="U162" i="13"/>
  <c r="R162" i="13"/>
  <c r="Q162" i="13"/>
  <c r="P162" i="13"/>
  <c r="M162" i="13"/>
  <c r="K162" i="13"/>
  <c r="V161" i="13"/>
  <c r="U161" i="13"/>
  <c r="R161" i="13"/>
  <c r="Q161" i="13"/>
  <c r="P161" i="13"/>
  <c r="M161" i="13"/>
  <c r="K161" i="13"/>
  <c r="V160" i="13"/>
  <c r="U160" i="13"/>
  <c r="R160" i="13"/>
  <c r="Q160" i="13"/>
  <c r="P160" i="13"/>
  <c r="M160" i="13"/>
  <c r="K160" i="13"/>
  <c r="V159" i="13"/>
  <c r="U159" i="13"/>
  <c r="R159" i="13"/>
  <c r="Q159" i="13"/>
  <c r="P159" i="13"/>
  <c r="M159" i="13"/>
  <c r="K159" i="13"/>
  <c r="V158" i="13"/>
  <c r="U158" i="13"/>
  <c r="R158" i="13"/>
  <c r="Q158" i="13"/>
  <c r="P158" i="13"/>
  <c r="M158" i="13"/>
  <c r="K158" i="13"/>
  <c r="V157" i="13"/>
  <c r="U157" i="13"/>
  <c r="R157" i="13"/>
  <c r="Q157" i="13"/>
  <c r="P157" i="13"/>
  <c r="M157" i="13"/>
  <c r="K157" i="13"/>
  <c r="V156" i="13"/>
  <c r="U156" i="13"/>
  <c r="R156" i="13"/>
  <c r="Q156" i="13"/>
  <c r="P156" i="13"/>
  <c r="M156" i="13"/>
  <c r="K156" i="13"/>
  <c r="V155" i="13"/>
  <c r="U155" i="13"/>
  <c r="R155" i="13"/>
  <c r="Q155" i="13"/>
  <c r="P155" i="13"/>
  <c r="M155" i="13"/>
  <c r="K155" i="13"/>
  <c r="V154" i="13"/>
  <c r="U154" i="13"/>
  <c r="R154" i="13"/>
  <c r="Q154" i="13"/>
  <c r="P154" i="13"/>
  <c r="M154" i="13"/>
  <c r="K154" i="13"/>
  <c r="V153" i="13"/>
  <c r="U153" i="13"/>
  <c r="R153" i="13"/>
  <c r="Q153" i="13"/>
  <c r="P153" i="13"/>
  <c r="M153" i="13"/>
  <c r="K153" i="13"/>
  <c r="V152" i="13"/>
  <c r="U152" i="13"/>
  <c r="R152" i="13"/>
  <c r="Q152" i="13"/>
  <c r="P152" i="13"/>
  <c r="M152" i="13"/>
  <c r="K152" i="13"/>
  <c r="V151" i="13"/>
  <c r="U151" i="13"/>
  <c r="R151" i="13"/>
  <c r="Q151" i="13"/>
  <c r="P151" i="13"/>
  <c r="M151" i="13"/>
  <c r="K151" i="13"/>
  <c r="V150" i="13"/>
  <c r="U150" i="13"/>
  <c r="R150" i="13"/>
  <c r="Q150" i="13"/>
  <c r="P150" i="13"/>
  <c r="M150" i="13"/>
  <c r="K150" i="13"/>
  <c r="V149" i="13"/>
  <c r="U149" i="13"/>
  <c r="R149" i="13"/>
  <c r="Q149" i="13"/>
  <c r="P149" i="13"/>
  <c r="M149" i="13"/>
  <c r="K149" i="13"/>
  <c r="V148" i="13"/>
  <c r="U148" i="13"/>
  <c r="R148" i="13"/>
  <c r="Q148" i="13"/>
  <c r="P148" i="13"/>
  <c r="M148" i="13"/>
  <c r="K148" i="13"/>
  <c r="V147" i="13"/>
  <c r="U147" i="13"/>
  <c r="R147" i="13"/>
  <c r="Q147" i="13"/>
  <c r="P147" i="13"/>
  <c r="M147" i="13"/>
  <c r="K147" i="13"/>
  <c r="V146" i="13"/>
  <c r="U146" i="13"/>
  <c r="R146" i="13"/>
  <c r="Q146" i="13"/>
  <c r="P146" i="13"/>
  <c r="M146" i="13"/>
  <c r="K146" i="13"/>
  <c r="V145" i="13"/>
  <c r="U145" i="13"/>
  <c r="R145" i="13"/>
  <c r="Q145" i="13"/>
  <c r="P145" i="13"/>
  <c r="M145" i="13"/>
  <c r="K145" i="13"/>
  <c r="V144" i="13"/>
  <c r="U144" i="13"/>
  <c r="R144" i="13"/>
  <c r="Q144" i="13"/>
  <c r="P144" i="13"/>
  <c r="M144" i="13"/>
  <c r="K144" i="13"/>
  <c r="V143" i="13"/>
  <c r="U143" i="13"/>
  <c r="R143" i="13"/>
  <c r="Q143" i="13"/>
  <c r="P143" i="13"/>
  <c r="M143" i="13"/>
  <c r="K143" i="13"/>
  <c r="V142" i="13"/>
  <c r="U142" i="13"/>
  <c r="R142" i="13"/>
  <c r="Q142" i="13"/>
  <c r="P142" i="13"/>
  <c r="M142" i="13"/>
  <c r="K142" i="13"/>
  <c r="V141" i="13"/>
  <c r="U141" i="13"/>
  <c r="R141" i="13"/>
  <c r="Q141" i="13"/>
  <c r="P141" i="13"/>
  <c r="M141" i="13"/>
  <c r="K141" i="13"/>
  <c r="V140" i="13"/>
  <c r="U140" i="13"/>
  <c r="R140" i="13"/>
  <c r="Q140" i="13"/>
  <c r="P140" i="13"/>
  <c r="M140" i="13"/>
  <c r="K140" i="13"/>
  <c r="V139" i="13"/>
  <c r="U139" i="13"/>
  <c r="R139" i="13"/>
  <c r="Q139" i="13"/>
  <c r="P139" i="13"/>
  <c r="M139" i="13"/>
  <c r="K139" i="13"/>
  <c r="AX136" i="13"/>
  <c r="AO136" i="13"/>
  <c r="AN136" i="13"/>
  <c r="AI136" i="13"/>
  <c r="AP136" i="13" s="1"/>
  <c r="AH136" i="13"/>
  <c r="V136" i="13"/>
  <c r="U136" i="13"/>
  <c r="R136" i="13"/>
  <c r="Q136" i="13"/>
  <c r="P136" i="13"/>
  <c r="M136" i="13"/>
  <c r="K136" i="13"/>
  <c r="V135" i="13"/>
  <c r="U135" i="13"/>
  <c r="R135" i="13"/>
  <c r="Q135" i="13"/>
  <c r="S135" i="13" s="1"/>
  <c r="P135" i="13"/>
  <c r="M135" i="13"/>
  <c r="K135" i="13"/>
  <c r="AX134" i="13"/>
  <c r="AO134" i="13"/>
  <c r="AN134" i="13"/>
  <c r="AI134" i="13"/>
  <c r="AP134" i="13" s="1"/>
  <c r="AH134" i="13"/>
  <c r="R134" i="13"/>
  <c r="Q134" i="13"/>
  <c r="P134" i="13"/>
  <c r="M134" i="13"/>
  <c r="K134" i="13"/>
  <c r="AX133" i="13"/>
  <c r="AO133" i="13"/>
  <c r="AN133" i="13"/>
  <c r="AI133" i="13"/>
  <c r="AP133" i="13" s="1"/>
  <c r="AH133" i="13"/>
  <c r="R133" i="13"/>
  <c r="Q133" i="13"/>
  <c r="P133" i="13"/>
  <c r="M133" i="13"/>
  <c r="K133" i="13"/>
  <c r="V132" i="13"/>
  <c r="U132" i="13"/>
  <c r="R132" i="13"/>
  <c r="Q132" i="13"/>
  <c r="S132" i="13" s="1"/>
  <c r="P132" i="13"/>
  <c r="M132" i="13"/>
  <c r="K132" i="13"/>
  <c r="V131" i="13"/>
  <c r="U131" i="13"/>
  <c r="R131" i="13"/>
  <c r="Q131" i="13"/>
  <c r="S131" i="13" s="1"/>
  <c r="P131" i="13"/>
  <c r="M131" i="13"/>
  <c r="K131" i="13"/>
  <c r="V130" i="13"/>
  <c r="U130" i="13"/>
  <c r="R130" i="13"/>
  <c r="Q130" i="13"/>
  <c r="S130" i="13" s="1"/>
  <c r="P130" i="13"/>
  <c r="M130" i="13"/>
  <c r="K130" i="13"/>
  <c r="V129" i="13"/>
  <c r="U129" i="13"/>
  <c r="R129" i="13"/>
  <c r="Q129" i="13"/>
  <c r="S129" i="13" s="1"/>
  <c r="P129" i="13"/>
  <c r="M129" i="13"/>
  <c r="K129" i="13"/>
  <c r="V128" i="13"/>
  <c r="U128" i="13"/>
  <c r="R128" i="13"/>
  <c r="Q128" i="13"/>
  <c r="S128" i="13" s="1"/>
  <c r="P128" i="13"/>
  <c r="M128" i="13"/>
  <c r="K128" i="13"/>
  <c r="V127" i="13"/>
  <c r="U127" i="13"/>
  <c r="R127" i="13"/>
  <c r="Q127" i="13"/>
  <c r="S127" i="13" s="1"/>
  <c r="P127" i="13"/>
  <c r="M127" i="13"/>
  <c r="K127" i="13"/>
  <c r="V126" i="13"/>
  <c r="U126" i="13"/>
  <c r="R126" i="13"/>
  <c r="Q126" i="13"/>
  <c r="S126" i="13" s="1"/>
  <c r="P126" i="13"/>
  <c r="M126" i="13"/>
  <c r="K126" i="13"/>
  <c r="V125" i="13"/>
  <c r="U125" i="13"/>
  <c r="R125" i="13"/>
  <c r="Q125" i="13"/>
  <c r="S125" i="13" s="1"/>
  <c r="P125" i="13"/>
  <c r="M125" i="13"/>
  <c r="K125" i="13"/>
  <c r="V124" i="13"/>
  <c r="U124" i="13"/>
  <c r="R124" i="13"/>
  <c r="Q124" i="13"/>
  <c r="S124" i="13" s="1"/>
  <c r="P124" i="13"/>
  <c r="M124" i="13"/>
  <c r="K124" i="13"/>
  <c r="V123" i="13"/>
  <c r="U123" i="13"/>
  <c r="R123" i="13"/>
  <c r="Q123" i="13"/>
  <c r="S123" i="13" s="1"/>
  <c r="P123" i="13"/>
  <c r="M123" i="13"/>
  <c r="K123" i="13"/>
  <c r="V122" i="13"/>
  <c r="U122" i="13"/>
  <c r="R122" i="13"/>
  <c r="Q122" i="13"/>
  <c r="S122" i="13" s="1"/>
  <c r="P122" i="13"/>
  <c r="M122" i="13"/>
  <c r="K122" i="13"/>
  <c r="V121" i="13"/>
  <c r="U121" i="13"/>
  <c r="R121" i="13"/>
  <c r="Q121" i="13"/>
  <c r="S121" i="13" s="1"/>
  <c r="P121" i="13"/>
  <c r="M121" i="13"/>
  <c r="K121" i="13"/>
  <c r="V120" i="13"/>
  <c r="U120" i="13"/>
  <c r="R120" i="13"/>
  <c r="Q120" i="13"/>
  <c r="S120" i="13" s="1"/>
  <c r="P120" i="13"/>
  <c r="M120" i="13"/>
  <c r="K120" i="13"/>
  <c r="V119" i="13"/>
  <c r="U119" i="13"/>
  <c r="R119" i="13"/>
  <c r="Q119" i="13"/>
  <c r="S119" i="13" s="1"/>
  <c r="P119" i="13"/>
  <c r="M119" i="13"/>
  <c r="K119" i="13"/>
  <c r="AX116" i="13"/>
  <c r="AO116" i="13"/>
  <c r="AN116" i="13"/>
  <c r="AI116" i="13"/>
  <c r="AP116" i="13" s="1"/>
  <c r="AH116" i="13"/>
  <c r="V116" i="13"/>
  <c r="U116" i="13"/>
  <c r="R116" i="13"/>
  <c r="Q116" i="13"/>
  <c r="P116" i="13"/>
  <c r="M116" i="13"/>
  <c r="K116" i="13"/>
  <c r="AX115" i="13"/>
  <c r="AO115" i="13"/>
  <c r="AN115" i="13"/>
  <c r="AI115" i="13"/>
  <c r="AP115" i="13" s="1"/>
  <c r="AH115" i="13"/>
  <c r="V115" i="13"/>
  <c r="U115" i="13"/>
  <c r="R115" i="13"/>
  <c r="Q115" i="13"/>
  <c r="P115" i="13"/>
  <c r="M115" i="13"/>
  <c r="K115" i="13"/>
  <c r="R114" i="13"/>
  <c r="Q114" i="13"/>
  <c r="P114" i="13"/>
  <c r="M114" i="13"/>
  <c r="K114" i="13"/>
  <c r="AX113" i="13"/>
  <c r="AO113" i="13"/>
  <c r="AN113" i="13"/>
  <c r="AI113" i="13"/>
  <c r="AP113" i="13" s="1"/>
  <c r="AH113" i="13"/>
  <c r="R113" i="13"/>
  <c r="Q113" i="13"/>
  <c r="P113" i="13"/>
  <c r="M113" i="13"/>
  <c r="K113" i="13"/>
  <c r="V112" i="13"/>
  <c r="U112" i="13"/>
  <c r="R112" i="13"/>
  <c r="Q112" i="13"/>
  <c r="S112" i="13" s="1"/>
  <c r="P112" i="13"/>
  <c r="M112" i="13"/>
  <c r="K112" i="13"/>
  <c r="V111" i="13"/>
  <c r="U111" i="13"/>
  <c r="R111" i="13"/>
  <c r="Q111" i="13"/>
  <c r="S111" i="13" s="1"/>
  <c r="P111" i="13"/>
  <c r="M111" i="13"/>
  <c r="K111" i="13"/>
  <c r="V110" i="13"/>
  <c r="U110" i="13"/>
  <c r="R110" i="13"/>
  <c r="Q110" i="13"/>
  <c r="S110" i="13" s="1"/>
  <c r="P110" i="13"/>
  <c r="M110" i="13"/>
  <c r="K110" i="13"/>
  <c r="V109" i="13"/>
  <c r="U109" i="13"/>
  <c r="R109" i="13"/>
  <c r="Q109" i="13"/>
  <c r="S109" i="13" s="1"/>
  <c r="P109" i="13"/>
  <c r="M109" i="13"/>
  <c r="K109" i="13"/>
  <c r="V108" i="13"/>
  <c r="U108" i="13"/>
  <c r="R108" i="13"/>
  <c r="Q108" i="13"/>
  <c r="S108" i="13" s="1"/>
  <c r="P108" i="13"/>
  <c r="M108" i="13"/>
  <c r="K108" i="13"/>
  <c r="V107" i="13"/>
  <c r="U107" i="13"/>
  <c r="R107" i="13"/>
  <c r="Q107" i="13"/>
  <c r="S107" i="13" s="1"/>
  <c r="P107" i="13"/>
  <c r="M107" i="13"/>
  <c r="K107" i="13"/>
  <c r="V106" i="13"/>
  <c r="U106" i="13"/>
  <c r="R106" i="13"/>
  <c r="Q106" i="13"/>
  <c r="S106" i="13" s="1"/>
  <c r="P106" i="13"/>
  <c r="M106" i="13"/>
  <c r="K106" i="13"/>
  <c r="V105" i="13"/>
  <c r="U105" i="13"/>
  <c r="R105" i="13"/>
  <c r="Q105" i="13"/>
  <c r="S105" i="13" s="1"/>
  <c r="P105" i="13"/>
  <c r="M105" i="13"/>
  <c r="K105" i="13"/>
  <c r="V104" i="13"/>
  <c r="U104" i="13"/>
  <c r="R104" i="13"/>
  <c r="Q104" i="13"/>
  <c r="S104" i="13" s="1"/>
  <c r="P104" i="13"/>
  <c r="M104" i="13"/>
  <c r="K104" i="13"/>
  <c r="V103" i="13"/>
  <c r="U103" i="13"/>
  <c r="R103" i="13"/>
  <c r="Q103" i="13"/>
  <c r="S103" i="13" s="1"/>
  <c r="P103" i="13"/>
  <c r="M103" i="13"/>
  <c r="K103" i="13"/>
  <c r="V102" i="13"/>
  <c r="U102" i="13"/>
  <c r="R102" i="13"/>
  <c r="Q102" i="13"/>
  <c r="S102" i="13" s="1"/>
  <c r="P102" i="13"/>
  <c r="M102" i="13"/>
  <c r="K102" i="13"/>
  <c r="V101" i="13"/>
  <c r="U101" i="13"/>
  <c r="R101" i="13"/>
  <c r="Q101" i="13"/>
  <c r="S101" i="13" s="1"/>
  <c r="P101" i="13"/>
  <c r="M101" i="13"/>
  <c r="K101" i="13"/>
  <c r="V100" i="13"/>
  <c r="U100" i="13"/>
  <c r="R100" i="13"/>
  <c r="Q100" i="13"/>
  <c r="S100" i="13" s="1"/>
  <c r="P100" i="13"/>
  <c r="M100" i="13"/>
  <c r="K100" i="13"/>
  <c r="V99" i="13"/>
  <c r="U99" i="13"/>
  <c r="R99" i="13"/>
  <c r="Q99" i="13"/>
  <c r="S99" i="13" s="1"/>
  <c r="P99" i="13"/>
  <c r="M99" i="13"/>
  <c r="K99" i="13"/>
  <c r="V98" i="13"/>
  <c r="U98" i="13"/>
  <c r="R98" i="13"/>
  <c r="Q98" i="13"/>
  <c r="P98" i="13"/>
  <c r="M98" i="13"/>
  <c r="K98" i="13"/>
  <c r="AX96" i="13"/>
  <c r="AO96" i="13"/>
  <c r="AN96" i="13"/>
  <c r="AI96" i="13"/>
  <c r="AP96" i="13" s="1"/>
  <c r="AH96" i="13"/>
  <c r="V96" i="13"/>
  <c r="U96" i="13"/>
  <c r="R96" i="13"/>
  <c r="Q96" i="13"/>
  <c r="P96" i="13"/>
  <c r="M96" i="13"/>
  <c r="K96" i="13"/>
  <c r="AX95" i="13"/>
  <c r="AO95" i="13"/>
  <c r="AN95" i="13"/>
  <c r="AI95" i="13"/>
  <c r="AP95" i="13" s="1"/>
  <c r="AH95" i="13"/>
  <c r="V95" i="13"/>
  <c r="U95" i="13"/>
  <c r="R95" i="13"/>
  <c r="Q95" i="13"/>
  <c r="P95" i="13"/>
  <c r="M95" i="13"/>
  <c r="K95" i="13"/>
  <c r="R94" i="13"/>
  <c r="Q94" i="13"/>
  <c r="P94" i="13"/>
  <c r="M94" i="13"/>
  <c r="K94" i="13"/>
  <c r="AX93" i="13"/>
  <c r="AO93" i="13"/>
  <c r="AN93" i="13"/>
  <c r="AI93" i="13"/>
  <c r="AP93" i="13" s="1"/>
  <c r="AH93" i="13"/>
  <c r="R93" i="13"/>
  <c r="Q93" i="13"/>
  <c r="P93" i="13"/>
  <c r="M93" i="13"/>
  <c r="K93" i="13"/>
  <c r="V92" i="13"/>
  <c r="U92" i="13"/>
  <c r="R92" i="13"/>
  <c r="Q92" i="13"/>
  <c r="S92" i="13" s="1"/>
  <c r="P92" i="13"/>
  <c r="M92" i="13"/>
  <c r="K92" i="13"/>
  <c r="V91" i="13"/>
  <c r="U91" i="13"/>
  <c r="R91" i="13"/>
  <c r="Q91" i="13"/>
  <c r="S91" i="13" s="1"/>
  <c r="P91" i="13"/>
  <c r="M91" i="13"/>
  <c r="K91" i="13"/>
  <c r="V90" i="13"/>
  <c r="U90" i="13"/>
  <c r="R90" i="13"/>
  <c r="Q90" i="13"/>
  <c r="S90" i="13" s="1"/>
  <c r="P90" i="13"/>
  <c r="M90" i="13"/>
  <c r="K90" i="13"/>
  <c r="V89" i="13"/>
  <c r="U89" i="13"/>
  <c r="R89" i="13"/>
  <c r="Q89" i="13"/>
  <c r="S89" i="13" s="1"/>
  <c r="P89" i="13"/>
  <c r="M89" i="13"/>
  <c r="K89" i="13"/>
  <c r="V88" i="13"/>
  <c r="U88" i="13"/>
  <c r="R88" i="13"/>
  <c r="Q88" i="13"/>
  <c r="S88" i="13" s="1"/>
  <c r="P88" i="13"/>
  <c r="M88" i="13"/>
  <c r="K88" i="13"/>
  <c r="V87" i="13"/>
  <c r="U87" i="13"/>
  <c r="R87" i="13"/>
  <c r="Q87" i="13"/>
  <c r="S87" i="13" s="1"/>
  <c r="P87" i="13"/>
  <c r="M87" i="13"/>
  <c r="K87" i="13"/>
  <c r="V86" i="13"/>
  <c r="U86" i="13"/>
  <c r="R86" i="13"/>
  <c r="Q86" i="13"/>
  <c r="S86" i="13" s="1"/>
  <c r="P86" i="13"/>
  <c r="M86" i="13"/>
  <c r="K86" i="13"/>
  <c r="V85" i="13"/>
  <c r="U85" i="13"/>
  <c r="R85" i="13"/>
  <c r="Q85" i="13"/>
  <c r="S85" i="13" s="1"/>
  <c r="P85" i="13"/>
  <c r="M85" i="13"/>
  <c r="K85" i="13"/>
  <c r="V84" i="13"/>
  <c r="U84" i="13"/>
  <c r="R84" i="13"/>
  <c r="Q84" i="13"/>
  <c r="S84" i="13" s="1"/>
  <c r="P84" i="13"/>
  <c r="M84" i="13"/>
  <c r="K84" i="13"/>
  <c r="V83" i="13"/>
  <c r="U83" i="13"/>
  <c r="R83" i="13"/>
  <c r="Q83" i="13"/>
  <c r="S83" i="13" s="1"/>
  <c r="P83" i="13"/>
  <c r="M83" i="13"/>
  <c r="K83" i="13"/>
  <c r="V82" i="13"/>
  <c r="U82" i="13"/>
  <c r="R82" i="13"/>
  <c r="Q82" i="13"/>
  <c r="S82" i="13" s="1"/>
  <c r="P82" i="13"/>
  <c r="M82" i="13"/>
  <c r="K82" i="13"/>
  <c r="V81" i="13"/>
  <c r="U81" i="13"/>
  <c r="R81" i="13"/>
  <c r="Q81" i="13"/>
  <c r="S81" i="13" s="1"/>
  <c r="P81" i="13"/>
  <c r="M81" i="13"/>
  <c r="K81" i="13"/>
  <c r="V80" i="13"/>
  <c r="U80" i="13"/>
  <c r="R80" i="13"/>
  <c r="Q80" i="13"/>
  <c r="S80" i="13" s="1"/>
  <c r="P80" i="13"/>
  <c r="M80" i="13"/>
  <c r="K80" i="13"/>
  <c r="AX79" i="13"/>
  <c r="AO79" i="13"/>
  <c r="AN79" i="13"/>
  <c r="AI79" i="13"/>
  <c r="AP79" i="13" s="1"/>
  <c r="AH79" i="13"/>
  <c r="V79" i="13"/>
  <c r="U79" i="13"/>
  <c r="R79" i="13"/>
  <c r="Q79" i="13"/>
  <c r="P79" i="13"/>
  <c r="M79" i="13"/>
  <c r="K79" i="13"/>
  <c r="V78" i="13"/>
  <c r="U78" i="13"/>
  <c r="R78" i="13"/>
  <c r="Q78" i="13"/>
  <c r="P78" i="13"/>
  <c r="M78" i="13"/>
  <c r="K78" i="13"/>
  <c r="AX76" i="13"/>
  <c r="AO76" i="13"/>
  <c r="AN76" i="13"/>
  <c r="AI76" i="13"/>
  <c r="AP76" i="13" s="1"/>
  <c r="AH76" i="13"/>
  <c r="V76" i="13"/>
  <c r="U76" i="13"/>
  <c r="R76" i="13"/>
  <c r="Q76" i="13"/>
  <c r="P76" i="13"/>
  <c r="M76" i="13"/>
  <c r="K76" i="13"/>
  <c r="AX75" i="13"/>
  <c r="AO75" i="13"/>
  <c r="AN75" i="13"/>
  <c r="AI75" i="13"/>
  <c r="AP75" i="13" s="1"/>
  <c r="AH75" i="13"/>
  <c r="V75" i="13"/>
  <c r="U75" i="13"/>
  <c r="R75" i="13"/>
  <c r="Q75" i="13"/>
  <c r="P75" i="13"/>
  <c r="M75" i="13"/>
  <c r="K75" i="13"/>
  <c r="J75" i="13"/>
  <c r="AX74" i="13"/>
  <c r="AO74" i="13"/>
  <c r="AN74" i="13"/>
  <c r="AI74" i="13"/>
  <c r="AP74" i="13" s="1"/>
  <c r="AH74" i="13"/>
  <c r="R74" i="13"/>
  <c r="Q74" i="13"/>
  <c r="P74" i="13"/>
  <c r="M74" i="13"/>
  <c r="K74" i="13"/>
  <c r="J74" i="13"/>
  <c r="AX73" i="13"/>
  <c r="AO73" i="13"/>
  <c r="AN73" i="13"/>
  <c r="AI73" i="13"/>
  <c r="AP73" i="13" s="1"/>
  <c r="AH73" i="13"/>
  <c r="R73" i="13"/>
  <c r="Q73" i="13"/>
  <c r="P73" i="13"/>
  <c r="M73" i="13"/>
  <c r="K73" i="13"/>
  <c r="J73" i="13"/>
  <c r="AX72" i="13"/>
  <c r="AO72" i="13"/>
  <c r="AN72" i="13"/>
  <c r="AI72" i="13"/>
  <c r="AP72" i="13" s="1"/>
  <c r="AH72" i="13"/>
  <c r="V72" i="13"/>
  <c r="U72" i="13"/>
  <c r="R72" i="13"/>
  <c r="Q72" i="13"/>
  <c r="S72" i="13" s="1"/>
  <c r="P72" i="13"/>
  <c r="M72" i="13"/>
  <c r="K72" i="13"/>
  <c r="J72" i="13"/>
  <c r="AX71" i="13"/>
  <c r="AO71" i="13"/>
  <c r="AN71" i="13"/>
  <c r="AI71" i="13"/>
  <c r="AP71" i="13" s="1"/>
  <c r="AH71" i="13"/>
  <c r="V71" i="13"/>
  <c r="U71" i="13"/>
  <c r="R71" i="13"/>
  <c r="Q71" i="13"/>
  <c r="S71" i="13" s="1"/>
  <c r="P71" i="13"/>
  <c r="M71" i="13"/>
  <c r="K71" i="13"/>
  <c r="J71" i="13"/>
  <c r="AX70" i="13"/>
  <c r="AO70" i="13"/>
  <c r="AN70" i="13"/>
  <c r="AI70" i="13"/>
  <c r="AP70" i="13" s="1"/>
  <c r="AH70" i="13"/>
  <c r="V70" i="13"/>
  <c r="U70" i="13"/>
  <c r="R70" i="13"/>
  <c r="Q70" i="13"/>
  <c r="S70" i="13" s="1"/>
  <c r="P70" i="13"/>
  <c r="M70" i="13"/>
  <c r="K70" i="13"/>
  <c r="J70" i="13"/>
  <c r="AX69" i="13"/>
  <c r="AO69" i="13"/>
  <c r="AN69" i="13"/>
  <c r="AI69" i="13"/>
  <c r="AP69" i="13" s="1"/>
  <c r="AH69" i="13"/>
  <c r="V69" i="13"/>
  <c r="U69" i="13"/>
  <c r="R69" i="13"/>
  <c r="Q69" i="13"/>
  <c r="S69" i="13" s="1"/>
  <c r="P69" i="13"/>
  <c r="M69" i="13"/>
  <c r="K69" i="13"/>
  <c r="J69" i="13"/>
  <c r="AX68" i="13"/>
  <c r="AO68" i="13"/>
  <c r="AN68" i="13"/>
  <c r="AI68" i="13"/>
  <c r="AP68" i="13" s="1"/>
  <c r="AH68" i="13"/>
  <c r="V68" i="13"/>
  <c r="U68" i="13"/>
  <c r="R68" i="13"/>
  <c r="Q68" i="13"/>
  <c r="S68" i="13" s="1"/>
  <c r="P68" i="13"/>
  <c r="M68" i="13"/>
  <c r="K68" i="13"/>
  <c r="J68" i="13"/>
  <c r="AX67" i="13"/>
  <c r="AO67" i="13"/>
  <c r="AN67" i="13"/>
  <c r="AI67" i="13"/>
  <c r="AP67" i="13" s="1"/>
  <c r="AH67" i="13"/>
  <c r="V67" i="13"/>
  <c r="U67" i="13"/>
  <c r="R67" i="13"/>
  <c r="Q67" i="13"/>
  <c r="S67" i="13" s="1"/>
  <c r="P67" i="13"/>
  <c r="M67" i="13"/>
  <c r="K67" i="13"/>
  <c r="J67" i="13"/>
  <c r="AX66" i="13"/>
  <c r="AO66" i="13"/>
  <c r="AN66" i="13"/>
  <c r="AI66" i="13"/>
  <c r="AP66" i="13" s="1"/>
  <c r="AH66" i="13"/>
  <c r="V66" i="13"/>
  <c r="U66" i="13"/>
  <c r="R66" i="13"/>
  <c r="Q66" i="13"/>
  <c r="P66" i="13"/>
  <c r="M66" i="13"/>
  <c r="K66" i="13"/>
  <c r="J66" i="13"/>
  <c r="AX65" i="13"/>
  <c r="AO65" i="13"/>
  <c r="AN65" i="13"/>
  <c r="AI65" i="13"/>
  <c r="AP65" i="13" s="1"/>
  <c r="AH65" i="13"/>
  <c r="V65" i="13"/>
  <c r="U65" i="13"/>
  <c r="R65" i="13"/>
  <c r="Q65" i="13"/>
  <c r="S65" i="13" s="1"/>
  <c r="P65" i="13"/>
  <c r="M65" i="13"/>
  <c r="K65" i="13"/>
  <c r="J65" i="13"/>
  <c r="AX64" i="13"/>
  <c r="AO64" i="13"/>
  <c r="AN64" i="13"/>
  <c r="AI64" i="13"/>
  <c r="AP64" i="13" s="1"/>
  <c r="AH64" i="13"/>
  <c r="V64" i="13"/>
  <c r="U64" i="13"/>
  <c r="R64" i="13"/>
  <c r="Q64" i="13"/>
  <c r="S64" i="13" s="1"/>
  <c r="P64" i="13"/>
  <c r="M64" i="13"/>
  <c r="K64" i="13"/>
  <c r="J64" i="13"/>
  <c r="AX63" i="13"/>
  <c r="AO63" i="13"/>
  <c r="AN63" i="13"/>
  <c r="AI63" i="13"/>
  <c r="AP63" i="13" s="1"/>
  <c r="AH63" i="13"/>
  <c r="V63" i="13"/>
  <c r="U63" i="13"/>
  <c r="R63" i="13"/>
  <c r="Q63" i="13"/>
  <c r="S63" i="13" s="1"/>
  <c r="P63" i="13"/>
  <c r="M63" i="13"/>
  <c r="K63" i="13"/>
  <c r="J63" i="13"/>
  <c r="AX62" i="13"/>
  <c r="AO62" i="13"/>
  <c r="AN62" i="13"/>
  <c r="AI62" i="13"/>
  <c r="AP62" i="13" s="1"/>
  <c r="AH62" i="13"/>
  <c r="V62" i="13"/>
  <c r="U62" i="13"/>
  <c r="R62" i="13"/>
  <c r="Q62" i="13"/>
  <c r="S62" i="13" s="1"/>
  <c r="P62" i="13"/>
  <c r="M62" i="13"/>
  <c r="K62" i="13"/>
  <c r="J62" i="13"/>
  <c r="AX61" i="13"/>
  <c r="AO61" i="13"/>
  <c r="AN61" i="13"/>
  <c r="AI61" i="13"/>
  <c r="AP61" i="13" s="1"/>
  <c r="AH61" i="13"/>
  <c r="V61" i="13"/>
  <c r="U61" i="13"/>
  <c r="R61" i="13"/>
  <c r="Q61" i="13"/>
  <c r="S61" i="13" s="1"/>
  <c r="P61" i="13"/>
  <c r="M61" i="13"/>
  <c r="K61" i="13"/>
  <c r="J61" i="13"/>
  <c r="AX60" i="13"/>
  <c r="AO60" i="13"/>
  <c r="AN60" i="13"/>
  <c r="AI60" i="13"/>
  <c r="AP60" i="13" s="1"/>
  <c r="AH60" i="13"/>
  <c r="V60" i="13"/>
  <c r="U60" i="13"/>
  <c r="R60" i="13"/>
  <c r="Q60" i="13"/>
  <c r="S60" i="13" s="1"/>
  <c r="P60" i="13"/>
  <c r="M60" i="13"/>
  <c r="K60" i="13"/>
  <c r="J60" i="13"/>
  <c r="AX59" i="13"/>
  <c r="AO59" i="13"/>
  <c r="AN59" i="13"/>
  <c r="AI59" i="13"/>
  <c r="AP59" i="13" s="1"/>
  <c r="AH59" i="13"/>
  <c r="V59" i="13"/>
  <c r="U59" i="13"/>
  <c r="R59" i="13"/>
  <c r="Q59" i="13"/>
  <c r="P59" i="13"/>
  <c r="M59" i="13"/>
  <c r="K59" i="13"/>
  <c r="J59" i="13"/>
  <c r="AX58" i="13"/>
  <c r="AO58" i="13"/>
  <c r="AN58" i="13"/>
  <c r="AI58" i="13"/>
  <c r="AP58" i="13" s="1"/>
  <c r="AH58" i="13"/>
  <c r="V58" i="13"/>
  <c r="U58" i="13"/>
  <c r="R58" i="13"/>
  <c r="Q58" i="13"/>
  <c r="P58" i="13"/>
  <c r="M58" i="13"/>
  <c r="K58" i="13"/>
  <c r="J58" i="13"/>
  <c r="AX56" i="13"/>
  <c r="AO56" i="13"/>
  <c r="AN56" i="13"/>
  <c r="AI56" i="13"/>
  <c r="AP56" i="13" s="1"/>
  <c r="AH56" i="13"/>
  <c r="V56" i="13"/>
  <c r="U56" i="13"/>
  <c r="R56" i="13"/>
  <c r="Q56" i="13"/>
  <c r="P56" i="13"/>
  <c r="M56" i="13"/>
  <c r="K56" i="13"/>
  <c r="J56" i="13"/>
  <c r="AX55" i="13"/>
  <c r="AO55" i="13"/>
  <c r="AN55" i="13"/>
  <c r="AI55" i="13"/>
  <c r="AP55" i="13" s="1"/>
  <c r="AH55" i="13"/>
  <c r="V55" i="13"/>
  <c r="U55" i="13"/>
  <c r="R55" i="13"/>
  <c r="Q55" i="13"/>
  <c r="P55" i="13"/>
  <c r="M55" i="13"/>
  <c r="K55" i="13"/>
  <c r="J55" i="13"/>
  <c r="AX54" i="13"/>
  <c r="AO54" i="13"/>
  <c r="AN54" i="13"/>
  <c r="AI54" i="13"/>
  <c r="AP54" i="13" s="1"/>
  <c r="AH54" i="13"/>
  <c r="R54" i="13"/>
  <c r="Q54" i="13"/>
  <c r="P54" i="13"/>
  <c r="M54" i="13"/>
  <c r="K54" i="13"/>
  <c r="J54" i="13"/>
  <c r="AX53" i="13"/>
  <c r="AO53" i="13"/>
  <c r="AN53" i="13"/>
  <c r="AI53" i="13"/>
  <c r="AP53" i="13" s="1"/>
  <c r="AH53" i="13"/>
  <c r="R53" i="13"/>
  <c r="Q53" i="13"/>
  <c r="P53" i="13"/>
  <c r="M53" i="13"/>
  <c r="K53" i="13"/>
  <c r="J53" i="13"/>
  <c r="AX52" i="13"/>
  <c r="AO52" i="13"/>
  <c r="AN52" i="13"/>
  <c r="AI52" i="13"/>
  <c r="AP52" i="13" s="1"/>
  <c r="AH52" i="13"/>
  <c r="V52" i="13"/>
  <c r="U52" i="13"/>
  <c r="R52" i="13"/>
  <c r="Q52" i="13"/>
  <c r="S52" i="13" s="1"/>
  <c r="P52" i="13"/>
  <c r="M52" i="13"/>
  <c r="K52" i="13"/>
  <c r="J52" i="13"/>
  <c r="AX51" i="13"/>
  <c r="AO51" i="13"/>
  <c r="AN51" i="13"/>
  <c r="AI51" i="13"/>
  <c r="AP51" i="13" s="1"/>
  <c r="AH51" i="13"/>
  <c r="V51" i="13"/>
  <c r="U51" i="13"/>
  <c r="R51" i="13"/>
  <c r="Q51" i="13"/>
  <c r="S51" i="13" s="1"/>
  <c r="P51" i="13"/>
  <c r="M51" i="13"/>
  <c r="K51" i="13"/>
  <c r="J51" i="13"/>
  <c r="AX50" i="13"/>
  <c r="AO50" i="13"/>
  <c r="AN50" i="13"/>
  <c r="AI50" i="13"/>
  <c r="AP50" i="13" s="1"/>
  <c r="AH50" i="13"/>
  <c r="V50" i="13"/>
  <c r="U50" i="13"/>
  <c r="R50" i="13"/>
  <c r="Q50" i="13"/>
  <c r="S50" i="13" s="1"/>
  <c r="P50" i="13"/>
  <c r="M50" i="13"/>
  <c r="K50" i="13"/>
  <c r="J50" i="13"/>
  <c r="AX49" i="13"/>
  <c r="AO49" i="13"/>
  <c r="AN49" i="13"/>
  <c r="AI49" i="13"/>
  <c r="AP49" i="13" s="1"/>
  <c r="AH49" i="13"/>
  <c r="V49" i="13"/>
  <c r="U49" i="13"/>
  <c r="R49" i="13"/>
  <c r="Q49" i="13"/>
  <c r="S49" i="13" s="1"/>
  <c r="P49" i="13"/>
  <c r="M49" i="13"/>
  <c r="K49" i="13"/>
  <c r="J49" i="13"/>
  <c r="AX48" i="13"/>
  <c r="AO48" i="13"/>
  <c r="AN48" i="13"/>
  <c r="AI48" i="13"/>
  <c r="AP48" i="13" s="1"/>
  <c r="AH48" i="13"/>
  <c r="V48" i="13"/>
  <c r="U48" i="13"/>
  <c r="R48" i="13"/>
  <c r="Q48" i="13"/>
  <c r="S48" i="13" s="1"/>
  <c r="P48" i="13"/>
  <c r="M48" i="13"/>
  <c r="K48" i="13"/>
  <c r="J48" i="13"/>
  <c r="AX47" i="13"/>
  <c r="AO47" i="13"/>
  <c r="AN47" i="13"/>
  <c r="AI47" i="13"/>
  <c r="AP47" i="13" s="1"/>
  <c r="AH47" i="13"/>
  <c r="V47" i="13"/>
  <c r="U47" i="13"/>
  <c r="R47" i="13"/>
  <c r="Q47" i="13"/>
  <c r="S47" i="13" s="1"/>
  <c r="P47" i="13"/>
  <c r="M47" i="13"/>
  <c r="K47" i="13"/>
  <c r="J47" i="13"/>
  <c r="AX46" i="13"/>
  <c r="AO46" i="13"/>
  <c r="AN46" i="13"/>
  <c r="AI46" i="13"/>
  <c r="AP46" i="13" s="1"/>
  <c r="AH46" i="13"/>
  <c r="V46" i="13"/>
  <c r="U46" i="13"/>
  <c r="R46" i="13"/>
  <c r="Q46" i="13"/>
  <c r="S46" i="13" s="1"/>
  <c r="P46" i="13"/>
  <c r="M46" i="13"/>
  <c r="K46" i="13"/>
  <c r="J46" i="13"/>
  <c r="AX45" i="13"/>
  <c r="AO45" i="13"/>
  <c r="AN45" i="13"/>
  <c r="AI45" i="13"/>
  <c r="AP45" i="13" s="1"/>
  <c r="AH45" i="13"/>
  <c r="V45" i="13"/>
  <c r="U45" i="13"/>
  <c r="R45" i="13"/>
  <c r="Q45" i="13"/>
  <c r="S45" i="13" s="1"/>
  <c r="P45" i="13"/>
  <c r="M45" i="13"/>
  <c r="K45" i="13"/>
  <c r="J45" i="13"/>
  <c r="AX44" i="13"/>
  <c r="AO44" i="13"/>
  <c r="AN44" i="13"/>
  <c r="AI44" i="13"/>
  <c r="AP44" i="13" s="1"/>
  <c r="AH44" i="13"/>
  <c r="V44" i="13"/>
  <c r="U44" i="13"/>
  <c r="R44" i="13"/>
  <c r="Q44" i="13"/>
  <c r="S44" i="13" s="1"/>
  <c r="P44" i="13"/>
  <c r="M44" i="13"/>
  <c r="K44" i="13"/>
  <c r="J44" i="13"/>
  <c r="AX43" i="13"/>
  <c r="AO43" i="13"/>
  <c r="AN43" i="13"/>
  <c r="AI43" i="13"/>
  <c r="AP43" i="13" s="1"/>
  <c r="AH43" i="13"/>
  <c r="V43" i="13"/>
  <c r="U43" i="13"/>
  <c r="R43" i="13"/>
  <c r="Q43" i="13"/>
  <c r="S43" i="13" s="1"/>
  <c r="P43" i="13"/>
  <c r="M43" i="13"/>
  <c r="K43" i="13"/>
  <c r="J43" i="13"/>
  <c r="AX42" i="13"/>
  <c r="AO42" i="13"/>
  <c r="AN42" i="13"/>
  <c r="AI42" i="13"/>
  <c r="AP42" i="13" s="1"/>
  <c r="AH42" i="13"/>
  <c r="V42" i="13"/>
  <c r="U42" i="13"/>
  <c r="R42" i="13"/>
  <c r="Q42" i="13"/>
  <c r="S42" i="13" s="1"/>
  <c r="P42" i="13"/>
  <c r="M42" i="13"/>
  <c r="K42" i="13"/>
  <c r="J42" i="13"/>
  <c r="AX41" i="13"/>
  <c r="AO41" i="13"/>
  <c r="AN41" i="13"/>
  <c r="AI41" i="13"/>
  <c r="AP41" i="13" s="1"/>
  <c r="AH41" i="13"/>
  <c r="V41" i="13"/>
  <c r="U41" i="13"/>
  <c r="R41" i="13"/>
  <c r="Q41" i="13"/>
  <c r="S41" i="13" s="1"/>
  <c r="P41" i="13"/>
  <c r="M41" i="13"/>
  <c r="K41" i="13"/>
  <c r="J41" i="13"/>
  <c r="AX40" i="13"/>
  <c r="AO40" i="13"/>
  <c r="AN40" i="13"/>
  <c r="AI40" i="13"/>
  <c r="AP40" i="13" s="1"/>
  <c r="AH40" i="13"/>
  <c r="V40" i="13"/>
  <c r="U40" i="13"/>
  <c r="R40" i="13"/>
  <c r="Q40" i="13"/>
  <c r="S40" i="13" s="1"/>
  <c r="P40" i="13"/>
  <c r="M40" i="13"/>
  <c r="K40" i="13"/>
  <c r="J40" i="13"/>
  <c r="AX39" i="13"/>
  <c r="AO39" i="13"/>
  <c r="AN39" i="13"/>
  <c r="AI39" i="13"/>
  <c r="AP39" i="13" s="1"/>
  <c r="AH39" i="13"/>
  <c r="V39" i="13"/>
  <c r="U39" i="13"/>
  <c r="R39" i="13"/>
  <c r="Q39" i="13"/>
  <c r="P39" i="13"/>
  <c r="M39" i="13"/>
  <c r="K39" i="13"/>
  <c r="J39" i="13"/>
  <c r="AX38" i="13"/>
  <c r="AO38" i="13"/>
  <c r="AN38" i="13"/>
  <c r="AI38" i="13"/>
  <c r="AP38" i="13" s="1"/>
  <c r="AH38" i="13"/>
  <c r="V38" i="13"/>
  <c r="U38" i="13"/>
  <c r="R38" i="13"/>
  <c r="Q38" i="13"/>
  <c r="P38" i="13"/>
  <c r="M38" i="13"/>
  <c r="K38" i="13"/>
  <c r="J38" i="13"/>
  <c r="AX37" i="13"/>
  <c r="AO37" i="13"/>
  <c r="AN37" i="13"/>
  <c r="AI37" i="13"/>
  <c r="AP37" i="13" s="1"/>
  <c r="AH37" i="13"/>
  <c r="V37" i="13"/>
  <c r="U37" i="13"/>
  <c r="R37" i="13"/>
  <c r="Q37" i="13"/>
  <c r="P37" i="13"/>
  <c r="M37" i="13"/>
  <c r="K37" i="13"/>
  <c r="J37" i="13"/>
  <c r="AX36" i="13"/>
  <c r="AO36" i="13"/>
  <c r="AN36" i="13"/>
  <c r="AI36" i="13"/>
  <c r="AP36" i="13" s="1"/>
  <c r="AH36" i="13"/>
  <c r="V36" i="13"/>
  <c r="U36" i="13"/>
  <c r="R36" i="13"/>
  <c r="Q36" i="13"/>
  <c r="P36" i="13"/>
  <c r="M36" i="13"/>
  <c r="K36" i="13"/>
  <c r="J36" i="13"/>
  <c r="AX35" i="13"/>
  <c r="AO35" i="13"/>
  <c r="AN35" i="13"/>
  <c r="AI35" i="13"/>
  <c r="AP35" i="13" s="1"/>
  <c r="AH35" i="13"/>
  <c r="R35" i="13"/>
  <c r="Q35" i="13"/>
  <c r="P35" i="13"/>
  <c r="M35" i="13"/>
  <c r="K35" i="13"/>
  <c r="J35" i="13"/>
  <c r="AX34" i="13"/>
  <c r="AO34" i="13"/>
  <c r="AN34" i="13"/>
  <c r="AI34" i="13"/>
  <c r="AP34" i="13" s="1"/>
  <c r="AH34" i="13"/>
  <c r="R34" i="13"/>
  <c r="Q34" i="13"/>
  <c r="P34" i="13"/>
  <c r="M34" i="13"/>
  <c r="K34" i="13"/>
  <c r="J34" i="13"/>
  <c r="AX33" i="13"/>
  <c r="AO33" i="13"/>
  <c r="AN33" i="13"/>
  <c r="AI33" i="13"/>
  <c r="AP33" i="13" s="1"/>
  <c r="AH33" i="13"/>
  <c r="V33" i="13"/>
  <c r="U33" i="13"/>
  <c r="R33" i="13"/>
  <c r="Q33" i="13"/>
  <c r="P33" i="13"/>
  <c r="M33" i="13"/>
  <c r="K33" i="13"/>
  <c r="J33" i="13"/>
  <c r="AO32" i="13"/>
  <c r="AX32" i="13" s="1"/>
  <c r="AN32" i="13"/>
  <c r="AI32" i="13"/>
  <c r="AP32" i="13" s="1"/>
  <c r="AH32" i="13"/>
  <c r="V32" i="13"/>
  <c r="U32" i="13"/>
  <c r="R32" i="13"/>
  <c r="Q32" i="13"/>
  <c r="P32" i="13"/>
  <c r="M32" i="13"/>
  <c r="K32" i="13"/>
  <c r="J32" i="13"/>
  <c r="AO31" i="13"/>
  <c r="AX31" i="13" s="1"/>
  <c r="AN31" i="13"/>
  <c r="AI31" i="13"/>
  <c r="AP31" i="13" s="1"/>
  <c r="AH31" i="13"/>
  <c r="V31" i="13"/>
  <c r="U31" i="13"/>
  <c r="R31" i="13"/>
  <c r="Q31" i="13"/>
  <c r="P31" i="13"/>
  <c r="M31" i="13"/>
  <c r="K31" i="13"/>
  <c r="J31" i="13"/>
  <c r="AO30" i="13"/>
  <c r="AX30" i="13" s="1"/>
  <c r="AN30" i="13"/>
  <c r="AI30" i="13"/>
  <c r="AP30" i="13" s="1"/>
  <c r="AH30" i="13"/>
  <c r="V30" i="13"/>
  <c r="U30" i="13"/>
  <c r="R30" i="13"/>
  <c r="Q30" i="13"/>
  <c r="P30" i="13"/>
  <c r="M30" i="13"/>
  <c r="K30" i="13"/>
  <c r="J30" i="13"/>
  <c r="AO29" i="13"/>
  <c r="AX29" i="13" s="1"/>
  <c r="AN29" i="13"/>
  <c r="AI29" i="13"/>
  <c r="AP29" i="13" s="1"/>
  <c r="AH29" i="13"/>
  <c r="V29" i="13"/>
  <c r="U29" i="13"/>
  <c r="R29" i="13"/>
  <c r="Q29" i="13"/>
  <c r="P29" i="13"/>
  <c r="M29" i="13"/>
  <c r="K29" i="13"/>
  <c r="J29" i="13"/>
  <c r="AO28" i="13"/>
  <c r="AX28" i="13" s="1"/>
  <c r="AN28" i="13"/>
  <c r="AI28" i="13"/>
  <c r="AP28" i="13" s="1"/>
  <c r="AH28" i="13"/>
  <c r="V28" i="13"/>
  <c r="U28" i="13"/>
  <c r="R28" i="13"/>
  <c r="Q28" i="13"/>
  <c r="P28" i="13"/>
  <c r="M28" i="13"/>
  <c r="K28" i="13"/>
  <c r="J28" i="13"/>
  <c r="AO27" i="13"/>
  <c r="AX27" i="13" s="1"/>
  <c r="AN27" i="13"/>
  <c r="AI27" i="13"/>
  <c r="AP27" i="13" s="1"/>
  <c r="AH27" i="13"/>
  <c r="V27" i="13"/>
  <c r="U27" i="13"/>
  <c r="R27" i="13"/>
  <c r="Q27" i="13"/>
  <c r="P27" i="13"/>
  <c r="M27" i="13"/>
  <c r="K27" i="13"/>
  <c r="J27" i="13"/>
  <c r="AO26" i="13"/>
  <c r="AX26" i="13" s="1"/>
  <c r="AN26" i="13"/>
  <c r="AI26" i="13"/>
  <c r="AP26" i="13" s="1"/>
  <c r="AH26" i="13"/>
  <c r="V26" i="13"/>
  <c r="U26" i="13"/>
  <c r="R26" i="13"/>
  <c r="Q26" i="13"/>
  <c r="P26" i="13"/>
  <c r="M26" i="13"/>
  <c r="K26" i="13"/>
  <c r="J26" i="13"/>
  <c r="AO25" i="13"/>
  <c r="AX25" i="13" s="1"/>
  <c r="AN25" i="13"/>
  <c r="AI25" i="13"/>
  <c r="AP25" i="13" s="1"/>
  <c r="AH25" i="13"/>
  <c r="V25" i="13"/>
  <c r="U25" i="13"/>
  <c r="R25" i="13"/>
  <c r="Q25" i="13"/>
  <c r="P25" i="13"/>
  <c r="M25" i="13"/>
  <c r="K25" i="13"/>
  <c r="J25" i="13"/>
  <c r="AO24" i="13"/>
  <c r="AX24" i="13" s="1"/>
  <c r="AN24" i="13"/>
  <c r="AI24" i="13"/>
  <c r="AP24" i="13" s="1"/>
  <c r="AH24" i="13"/>
  <c r="V24" i="13"/>
  <c r="U24" i="13"/>
  <c r="R24" i="13"/>
  <c r="Q24" i="13"/>
  <c r="P24" i="13"/>
  <c r="M24" i="13"/>
  <c r="K24" i="13"/>
  <c r="J24" i="13"/>
  <c r="AO23" i="13"/>
  <c r="AX23" i="13" s="1"/>
  <c r="AN23" i="13"/>
  <c r="AI23" i="13"/>
  <c r="AP23" i="13" s="1"/>
  <c r="AH23" i="13"/>
  <c r="V23" i="13"/>
  <c r="U23" i="13"/>
  <c r="R23" i="13"/>
  <c r="Q23" i="13"/>
  <c r="P23" i="13"/>
  <c r="M23" i="13"/>
  <c r="K23" i="13"/>
  <c r="J23" i="13"/>
  <c r="AO22" i="13"/>
  <c r="AX22" i="13" s="1"/>
  <c r="AN22" i="13"/>
  <c r="AI22" i="13"/>
  <c r="AP22" i="13" s="1"/>
  <c r="AH22" i="13"/>
  <c r="V22" i="13"/>
  <c r="U22" i="13"/>
  <c r="R22" i="13"/>
  <c r="Q22" i="13"/>
  <c r="P22" i="13"/>
  <c r="M22" i="13"/>
  <c r="K22" i="13"/>
  <c r="J22" i="13"/>
  <c r="AO21" i="13"/>
  <c r="AX21" i="13" s="1"/>
  <c r="AN21" i="13"/>
  <c r="AI21" i="13"/>
  <c r="AP21" i="13" s="1"/>
  <c r="AH21" i="13"/>
  <c r="V21" i="13"/>
  <c r="U21" i="13"/>
  <c r="R21" i="13"/>
  <c r="Q21" i="13"/>
  <c r="P21" i="13"/>
  <c r="M21" i="13"/>
  <c r="K21" i="13"/>
  <c r="J21" i="13"/>
  <c r="AO20" i="13"/>
  <c r="AX20" i="13" s="1"/>
  <c r="AN20" i="13"/>
  <c r="AI20" i="13"/>
  <c r="AP20" i="13" s="1"/>
  <c r="AH20" i="13"/>
  <c r="V20" i="13"/>
  <c r="U20" i="13"/>
  <c r="R20" i="13"/>
  <c r="Q20" i="13"/>
  <c r="P20" i="13"/>
  <c r="M20" i="13"/>
  <c r="K20" i="13"/>
  <c r="J20" i="13"/>
  <c r="AO19" i="13"/>
  <c r="AX19" i="13" s="1"/>
  <c r="AN19" i="13"/>
  <c r="AI19" i="13"/>
  <c r="AP19" i="13" s="1"/>
  <c r="AH19" i="13"/>
  <c r="V19" i="13"/>
  <c r="U19" i="13"/>
  <c r="R19" i="13"/>
  <c r="Q19" i="13"/>
  <c r="P19" i="13"/>
  <c r="M19" i="13"/>
  <c r="K19" i="13"/>
  <c r="J19" i="13"/>
  <c r="AO18" i="13"/>
  <c r="AX18" i="13" s="1"/>
  <c r="AN18" i="13"/>
  <c r="AI18" i="13"/>
  <c r="AP18" i="13" s="1"/>
  <c r="AH18" i="13"/>
  <c r="V18" i="13"/>
  <c r="U18" i="13"/>
  <c r="R18" i="13"/>
  <c r="Q18" i="13"/>
  <c r="P18" i="13"/>
  <c r="M18" i="13"/>
  <c r="K18" i="13"/>
  <c r="J18" i="13"/>
  <c r="AO17" i="13"/>
  <c r="AX17" i="13" s="1"/>
  <c r="AN17" i="13"/>
  <c r="AI17" i="13"/>
  <c r="AP17" i="13" s="1"/>
  <c r="AH17" i="13"/>
  <c r="V17" i="13"/>
  <c r="U17" i="13"/>
  <c r="R17" i="13"/>
  <c r="Q17" i="13"/>
  <c r="P17" i="13"/>
  <c r="M17" i="13"/>
  <c r="K17" i="13"/>
  <c r="J17" i="13"/>
  <c r="AO16" i="13"/>
  <c r="AX16" i="13" s="1"/>
  <c r="AN16" i="13"/>
  <c r="AI16" i="13"/>
  <c r="AP16" i="13" s="1"/>
  <c r="AH16" i="13"/>
  <c r="R16" i="13"/>
  <c r="Q16" i="13"/>
  <c r="P16" i="13"/>
  <c r="M16" i="13"/>
  <c r="K16" i="13"/>
  <c r="J16" i="13"/>
  <c r="AO15" i="13"/>
  <c r="AX15" i="13" s="1"/>
  <c r="AN15" i="13"/>
  <c r="AI15" i="13"/>
  <c r="AP15" i="13" s="1"/>
  <c r="AH15" i="13"/>
  <c r="R15" i="13"/>
  <c r="Q15" i="13"/>
  <c r="P15" i="13"/>
  <c r="M15" i="13"/>
  <c r="K15" i="13"/>
  <c r="J15" i="13"/>
  <c r="AO14" i="13"/>
  <c r="AX14" i="13" s="1"/>
  <c r="AN14" i="13"/>
  <c r="AI14" i="13"/>
  <c r="AP14" i="13" s="1"/>
  <c r="AH14" i="13"/>
  <c r="V14" i="13"/>
  <c r="U14" i="13"/>
  <c r="R14" i="13"/>
  <c r="Q14" i="13"/>
  <c r="P14" i="13"/>
  <c r="M14" i="13"/>
  <c r="K14" i="13"/>
  <c r="J14" i="13"/>
  <c r="AO13" i="13"/>
  <c r="AX13" i="13" s="1"/>
  <c r="AN13" i="13"/>
  <c r="AI13" i="13"/>
  <c r="AP13" i="13" s="1"/>
  <c r="AH13" i="13"/>
  <c r="V13" i="13"/>
  <c r="U13" i="13"/>
  <c r="R13" i="13"/>
  <c r="Q13" i="13"/>
  <c r="P13" i="13"/>
  <c r="M13" i="13"/>
  <c r="K13" i="13"/>
  <c r="J13" i="13"/>
  <c r="AO12" i="13"/>
  <c r="AX12" i="13" s="1"/>
  <c r="AN12" i="13"/>
  <c r="AI12" i="13"/>
  <c r="AP12" i="13" s="1"/>
  <c r="AH12" i="13"/>
  <c r="V12" i="13"/>
  <c r="U12" i="13"/>
  <c r="R12" i="13"/>
  <c r="Q12" i="13"/>
  <c r="P12" i="13"/>
  <c r="M12" i="13"/>
  <c r="K12" i="13"/>
  <c r="J12" i="13"/>
  <c r="AO11" i="13"/>
  <c r="AX11" i="13" s="1"/>
  <c r="AN11" i="13"/>
  <c r="AI11" i="13"/>
  <c r="AP11" i="13" s="1"/>
  <c r="AH11" i="13"/>
  <c r="V11" i="13"/>
  <c r="U11" i="13"/>
  <c r="R11" i="13"/>
  <c r="Q11" i="13"/>
  <c r="P11" i="13"/>
  <c r="M11" i="13"/>
  <c r="K11" i="13"/>
  <c r="J11" i="13"/>
  <c r="AO10" i="13"/>
  <c r="AX10" i="13" s="1"/>
  <c r="AN10" i="13"/>
  <c r="AI10" i="13"/>
  <c r="AP10" i="13" s="1"/>
  <c r="AH10" i="13"/>
  <c r="V10" i="13"/>
  <c r="U10" i="13"/>
  <c r="R10" i="13"/>
  <c r="Q10" i="13"/>
  <c r="P10" i="13"/>
  <c r="M10" i="13"/>
  <c r="K10" i="13"/>
  <c r="J10" i="13"/>
  <c r="AO9" i="13"/>
  <c r="AX9" i="13" s="1"/>
  <c r="AN9" i="13"/>
  <c r="AI9" i="13"/>
  <c r="AP9" i="13" s="1"/>
  <c r="AH9" i="13"/>
  <c r="V9" i="13"/>
  <c r="U9" i="13"/>
  <c r="R9" i="13"/>
  <c r="Q9" i="13"/>
  <c r="P9" i="13"/>
  <c r="M9" i="13"/>
  <c r="K9" i="13"/>
  <c r="J9" i="13"/>
  <c r="AO8" i="13"/>
  <c r="AX8" i="13" s="1"/>
  <c r="AN8" i="13"/>
  <c r="AI8" i="13"/>
  <c r="AP8" i="13" s="1"/>
  <c r="AH8" i="13"/>
  <c r="V8" i="13"/>
  <c r="U8" i="13"/>
  <c r="R8" i="13"/>
  <c r="Q8" i="13"/>
  <c r="P8" i="13"/>
  <c r="M8" i="13"/>
  <c r="K8" i="13"/>
  <c r="J8" i="13"/>
  <c r="AO7" i="13"/>
  <c r="AX7" i="13" s="1"/>
  <c r="AN7" i="13"/>
  <c r="AI7" i="13"/>
  <c r="AP7" i="13" s="1"/>
  <c r="AH7" i="13"/>
  <c r="V7" i="13"/>
  <c r="U7" i="13"/>
  <c r="R7" i="13"/>
  <c r="Q7" i="13"/>
  <c r="P7" i="13"/>
  <c r="M7" i="13"/>
  <c r="K7" i="13"/>
  <c r="J7" i="13"/>
  <c r="AO6" i="13"/>
  <c r="AX6" i="13" s="1"/>
  <c r="AN6" i="13"/>
  <c r="AI6" i="13"/>
  <c r="AP6" i="13" s="1"/>
  <c r="AH6" i="13"/>
  <c r="V6" i="13"/>
  <c r="U6" i="13"/>
  <c r="R6" i="13"/>
  <c r="Q6" i="13"/>
  <c r="P6" i="13"/>
  <c r="M6" i="13"/>
  <c r="K6" i="13"/>
  <c r="J6" i="13"/>
  <c r="AO5" i="13"/>
  <c r="AX5" i="13" s="1"/>
  <c r="AN5" i="13"/>
  <c r="AI5" i="13"/>
  <c r="AP5" i="13" s="1"/>
  <c r="AH5" i="13"/>
  <c r="V5" i="13"/>
  <c r="U5" i="13"/>
  <c r="R5" i="13"/>
  <c r="Q5" i="13"/>
  <c r="P5" i="13"/>
  <c r="M5" i="13"/>
  <c r="K5" i="13"/>
  <c r="J5" i="13"/>
  <c r="AO4" i="13"/>
  <c r="AX4" i="13" s="1"/>
  <c r="AN4" i="13"/>
  <c r="AI4" i="13"/>
  <c r="AP4" i="13" s="1"/>
  <c r="AH4" i="13"/>
  <c r="V4" i="13"/>
  <c r="U4" i="13"/>
  <c r="R4" i="13"/>
  <c r="Q4" i="13"/>
  <c r="P4" i="13"/>
  <c r="M4" i="13"/>
  <c r="K4" i="13"/>
  <c r="J4" i="13"/>
  <c r="AO3" i="13"/>
  <c r="AX3" i="13" s="1"/>
  <c r="AN3" i="13"/>
  <c r="AI3" i="13"/>
  <c r="AP3" i="13" s="1"/>
  <c r="AH3" i="13"/>
  <c r="V3" i="13"/>
  <c r="U3" i="13"/>
  <c r="R3" i="13"/>
  <c r="Q3" i="13"/>
  <c r="P3" i="13"/>
  <c r="M3" i="13"/>
  <c r="K3" i="13"/>
  <c r="J3" i="13"/>
  <c r="AO2" i="13"/>
  <c r="AX2" i="13" s="1"/>
  <c r="AN2" i="13"/>
  <c r="AI2" i="13"/>
  <c r="AP2" i="13" s="1"/>
  <c r="AH2" i="13"/>
  <c r="V2" i="13"/>
  <c r="U2" i="13"/>
  <c r="R2" i="13"/>
  <c r="Q2" i="13"/>
  <c r="P2" i="13"/>
  <c r="M2" i="13"/>
  <c r="K2" i="13"/>
  <c r="J2" i="13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L22" i="8"/>
  <c r="E22" i="8"/>
  <c r="D22" i="8"/>
  <c r="C22" i="8"/>
  <c r="B22" i="8"/>
  <c r="A22" i="8"/>
  <c r="J21" i="8"/>
  <c r="I21" i="8"/>
  <c r="H21" i="8"/>
  <c r="G21" i="8"/>
  <c r="E21" i="8"/>
  <c r="D21" i="8"/>
  <c r="C21" i="8"/>
  <c r="B21" i="8"/>
  <c r="A21" i="8"/>
  <c r="J20" i="8"/>
  <c r="I20" i="8"/>
  <c r="H20" i="8"/>
  <c r="G20" i="8"/>
  <c r="E20" i="8"/>
  <c r="D20" i="8"/>
  <c r="C20" i="8"/>
  <c r="B20" i="8"/>
  <c r="E19" i="8"/>
  <c r="M16" i="8"/>
  <c r="M15" i="8"/>
  <c r="E15" i="8"/>
  <c r="M14" i="8"/>
  <c r="E14" i="8"/>
  <c r="M13" i="8"/>
  <c r="I11" i="8"/>
  <c r="M10" i="8"/>
  <c r="L10" i="8"/>
  <c r="K10" i="8"/>
  <c r="A4" i="6"/>
  <c r="A3" i="6"/>
  <c r="L15" i="11"/>
  <c r="M15" i="11" s="1"/>
  <c r="I15" i="11"/>
  <c r="F15" i="11"/>
  <c r="L14" i="11"/>
  <c r="M14" i="11" s="1"/>
  <c r="I14" i="11"/>
  <c r="F14" i="11"/>
  <c r="L11" i="11"/>
  <c r="M11" i="11" s="1"/>
  <c r="L10" i="11"/>
  <c r="M10" i="11" s="1"/>
  <c r="J10" i="11"/>
  <c r="I10" i="11"/>
  <c r="L9" i="11"/>
  <c r="M9" i="11" s="1"/>
  <c r="J9" i="11"/>
  <c r="I9" i="11"/>
  <c r="L8" i="11"/>
  <c r="M8" i="11" s="1"/>
  <c r="J8" i="11"/>
  <c r="I8" i="11"/>
  <c r="G8" i="11"/>
  <c r="F8" i="11"/>
  <c r="L7" i="11"/>
  <c r="M7" i="11" s="1"/>
  <c r="J7" i="11"/>
  <c r="I7" i="11"/>
  <c r="G7" i="11"/>
  <c r="F7" i="11"/>
  <c r="L6" i="11"/>
  <c r="M6" i="11" s="1"/>
  <c r="J6" i="11"/>
  <c r="I6" i="11"/>
  <c r="G6" i="11"/>
  <c r="F6" i="11"/>
  <c r="L5" i="11"/>
  <c r="M5" i="11" s="1"/>
  <c r="J5" i="11"/>
  <c r="I5" i="11"/>
  <c r="G5" i="11"/>
  <c r="F5" i="11"/>
  <c r="L4" i="11"/>
  <c r="M4" i="11" s="1"/>
  <c r="J4" i="11"/>
  <c r="I4" i="11"/>
  <c r="G4" i="11"/>
  <c r="F4" i="11"/>
  <c r="L3" i="11"/>
  <c r="M3" i="11" s="1"/>
  <c r="J3" i="11"/>
  <c r="I3" i="11"/>
  <c r="G3" i="11"/>
  <c r="F3" i="11"/>
  <c r="L2" i="11"/>
  <c r="M2" i="11" s="1"/>
  <c r="J2" i="11"/>
  <c r="I2" i="11"/>
  <c r="G2" i="11"/>
  <c r="F2" i="11"/>
  <c r="AB3" i="2" l="1"/>
  <c r="AB2" i="2"/>
  <c r="AD2" i="2"/>
  <c r="AD3" i="2"/>
  <c r="AB194" i="13"/>
  <c r="AB117" i="13"/>
  <c r="AD340" i="13"/>
  <c r="AD336" i="13"/>
  <c r="AD332" i="13"/>
  <c r="AD328" i="13"/>
  <c r="AD324" i="13"/>
  <c r="AD320" i="13"/>
  <c r="AD316" i="13"/>
  <c r="AD312" i="13"/>
  <c r="AD308" i="13"/>
  <c r="AD304" i="13"/>
  <c r="AD300" i="13"/>
  <c r="AD296" i="13"/>
  <c r="AD292" i="13"/>
  <c r="AD288" i="13"/>
  <c r="AD284" i="13"/>
  <c r="AD280" i="13"/>
  <c r="AD276" i="13"/>
  <c r="AD272" i="13"/>
  <c r="AD268" i="13"/>
  <c r="AD264" i="13"/>
  <c r="AD260" i="13"/>
  <c r="AD256" i="13"/>
  <c r="AD252" i="13"/>
  <c r="AD248" i="13"/>
  <c r="AD244" i="13"/>
  <c r="AD240" i="13"/>
  <c r="AD236" i="13"/>
  <c r="AD232" i="13"/>
  <c r="AD228" i="13"/>
  <c r="AD224" i="13"/>
  <c r="AD220" i="13"/>
  <c r="AD216" i="13"/>
  <c r="AD212" i="13"/>
  <c r="AD208" i="13"/>
  <c r="AD204" i="13"/>
  <c r="AD200" i="13"/>
  <c r="AD196" i="13"/>
  <c r="AD192" i="13"/>
  <c r="AD188" i="13"/>
  <c r="AD184" i="13"/>
  <c r="AD180" i="13"/>
  <c r="AD176" i="13"/>
  <c r="AD172" i="13"/>
  <c r="AD168" i="13"/>
  <c r="AD164" i="13"/>
  <c r="AD160" i="13"/>
  <c r="AD156" i="13"/>
  <c r="AD152" i="13"/>
  <c r="AD339" i="13"/>
  <c r="AD335" i="13"/>
  <c r="AD331" i="13"/>
  <c r="AD327" i="13"/>
  <c r="AD323" i="13"/>
  <c r="AD319" i="13"/>
  <c r="AD315" i="13"/>
  <c r="AD311" i="13"/>
  <c r="AD307" i="13"/>
  <c r="AD303" i="13"/>
  <c r="AD299" i="13"/>
  <c r="AD295" i="13"/>
  <c r="AD291" i="13"/>
  <c r="AD287" i="13"/>
  <c r="AD283" i="13"/>
  <c r="AD279" i="13"/>
  <c r="AD275" i="13"/>
  <c r="AD271" i="13"/>
  <c r="AD267" i="13"/>
  <c r="AD263" i="13"/>
  <c r="AD259" i="13"/>
  <c r="AD255" i="13"/>
  <c r="AD251" i="13"/>
  <c r="AD247" i="13"/>
  <c r="AD243" i="13"/>
  <c r="AD239" i="13"/>
  <c r="AD235" i="13"/>
  <c r="AD231" i="13"/>
  <c r="AD227" i="13"/>
  <c r="AD223" i="13"/>
  <c r="AD219" i="13"/>
  <c r="AD215" i="13"/>
  <c r="AD211" i="13"/>
  <c r="AD207" i="13"/>
  <c r="AD203" i="13"/>
  <c r="AD199" i="13"/>
  <c r="AD195" i="13"/>
  <c r="AD191" i="13"/>
  <c r="AD187" i="13"/>
  <c r="AD183" i="13"/>
  <c r="AD179" i="13"/>
  <c r="AD175" i="13"/>
  <c r="AD171" i="13"/>
  <c r="AD167" i="13"/>
  <c r="AD163" i="13"/>
  <c r="AD159" i="13"/>
  <c r="AD155" i="13"/>
  <c r="AD341" i="13"/>
  <c r="AD337" i="13"/>
  <c r="AD333" i="13"/>
  <c r="AD329" i="13"/>
  <c r="AD325" i="13"/>
  <c r="AD321" i="13"/>
  <c r="AD317" i="13"/>
  <c r="AD313" i="13"/>
  <c r="AD309" i="13"/>
  <c r="AD305" i="13"/>
  <c r="AD301" i="13"/>
  <c r="AD297" i="13"/>
  <c r="AD293" i="13"/>
  <c r="AD289" i="13"/>
  <c r="AD285" i="13"/>
  <c r="AD281" i="13"/>
  <c r="AD277" i="13"/>
  <c r="AD273" i="13"/>
  <c r="AD269" i="13"/>
  <c r="AD265" i="13"/>
  <c r="AD261" i="13"/>
  <c r="AD257" i="13"/>
  <c r="AD253" i="13"/>
  <c r="AD249" i="13"/>
  <c r="AD245" i="13"/>
  <c r="AD241" i="13"/>
  <c r="AD237" i="13"/>
  <c r="AD233" i="13"/>
  <c r="AD229" i="13"/>
  <c r="AD225" i="13"/>
  <c r="AD221" i="13"/>
  <c r="AD217" i="13"/>
  <c r="AD213" i="13"/>
  <c r="AD338" i="13"/>
  <c r="AD322" i="13"/>
  <c r="AD306" i="13"/>
  <c r="AD290" i="13"/>
  <c r="AD274" i="13"/>
  <c r="AD258" i="13"/>
  <c r="AD242" i="13"/>
  <c r="AD226" i="13"/>
  <c r="AD210" i="13"/>
  <c r="AD202" i="13"/>
  <c r="AD194" i="13"/>
  <c r="AD186" i="13"/>
  <c r="AD178" i="13"/>
  <c r="AD170" i="13"/>
  <c r="AD162" i="13"/>
  <c r="AD154" i="13"/>
  <c r="AD149" i="13"/>
  <c r="AD145" i="13"/>
  <c r="AD141" i="13"/>
  <c r="AD137" i="13"/>
  <c r="AD133" i="13"/>
  <c r="AD129" i="13"/>
  <c r="AD125" i="13"/>
  <c r="AD121" i="13"/>
  <c r="AD117" i="13"/>
  <c r="AD113" i="13"/>
  <c r="AD109" i="13"/>
  <c r="AD105" i="13"/>
  <c r="AD101" i="13"/>
  <c r="AD97" i="13"/>
  <c r="AD93" i="13"/>
  <c r="AD89" i="13"/>
  <c r="AD85" i="13"/>
  <c r="AD81" i="13"/>
  <c r="AD77" i="13"/>
  <c r="AD73" i="13"/>
  <c r="AD69" i="13"/>
  <c r="AD65" i="13"/>
  <c r="AD61" i="13"/>
  <c r="AD57" i="13"/>
  <c r="AD53" i="13"/>
  <c r="AD49" i="13"/>
  <c r="AD45" i="13"/>
  <c r="AD41" i="13"/>
  <c r="AD37" i="13"/>
  <c r="AD33" i="13"/>
  <c r="AD29" i="13"/>
  <c r="AD25" i="13"/>
  <c r="AD21" i="13"/>
  <c r="AD17" i="13"/>
  <c r="AD13" i="13"/>
  <c r="AD9" i="13"/>
  <c r="AD5" i="13"/>
  <c r="AD334" i="13"/>
  <c r="AD318" i="13"/>
  <c r="AD302" i="13"/>
  <c r="AD286" i="13"/>
  <c r="AD270" i="13"/>
  <c r="AD254" i="13"/>
  <c r="AD238" i="13"/>
  <c r="AD222" i="13"/>
  <c r="AD209" i="13"/>
  <c r="AD201" i="13"/>
  <c r="AD193" i="13"/>
  <c r="AD185" i="13"/>
  <c r="AD177" i="13"/>
  <c r="AD169" i="13"/>
  <c r="AD161" i="13"/>
  <c r="AD153" i="13"/>
  <c r="AD148" i="13"/>
  <c r="AD144" i="13"/>
  <c r="AD140" i="13"/>
  <c r="AD136" i="13"/>
  <c r="AD132" i="13"/>
  <c r="AD128" i="13"/>
  <c r="AD124" i="13"/>
  <c r="AD120" i="13"/>
  <c r="AD116" i="13"/>
  <c r="AD112" i="13"/>
  <c r="AD108" i="13"/>
  <c r="AD104" i="13"/>
  <c r="AD100" i="13"/>
  <c r="AD96" i="13"/>
  <c r="AD92" i="13"/>
  <c r="AD88" i="13"/>
  <c r="AD84" i="13"/>
  <c r="AD80" i="13"/>
  <c r="AD76" i="13"/>
  <c r="AD72" i="13"/>
  <c r="AD68" i="13"/>
  <c r="AD64" i="13"/>
  <c r="AD60" i="13"/>
  <c r="AD56" i="13"/>
  <c r="AD52" i="13"/>
  <c r="AD48" i="13"/>
  <c r="AD44" i="13"/>
  <c r="AD40" i="13"/>
  <c r="AD36" i="13"/>
  <c r="AD32" i="13"/>
  <c r="AD28" i="13"/>
  <c r="AD24" i="13"/>
  <c r="AD20" i="13"/>
  <c r="AD16" i="13"/>
  <c r="AD12" i="13"/>
  <c r="AD8" i="13"/>
  <c r="AD4" i="13"/>
  <c r="AD330" i="13"/>
  <c r="AD314" i="13"/>
  <c r="AD298" i="13"/>
  <c r="AD282" i="13"/>
  <c r="AD266" i="13"/>
  <c r="AD250" i="13"/>
  <c r="AD234" i="13"/>
  <c r="AD218" i="13"/>
  <c r="AD206" i="13"/>
  <c r="AD198" i="13"/>
  <c r="AD190" i="13"/>
  <c r="AD182" i="13"/>
  <c r="AD174" i="13"/>
  <c r="AD166" i="13"/>
  <c r="AD158" i="13"/>
  <c r="AD151" i="13"/>
  <c r="AD147" i="13"/>
  <c r="AD143" i="13"/>
  <c r="AD139" i="13"/>
  <c r="AD135" i="13"/>
  <c r="AD131" i="13"/>
  <c r="AD127" i="13"/>
  <c r="AD123" i="13"/>
  <c r="AD119" i="13"/>
  <c r="AD115" i="13"/>
  <c r="AD111" i="13"/>
  <c r="AD107" i="13"/>
  <c r="AD103" i="13"/>
  <c r="AD99" i="13"/>
  <c r="AD95" i="13"/>
  <c r="AD91" i="13"/>
  <c r="AD87" i="13"/>
  <c r="AD83" i="13"/>
  <c r="AD79" i="13"/>
  <c r="AD75" i="13"/>
  <c r="AD71" i="13"/>
  <c r="AD67" i="13"/>
  <c r="AD63" i="13"/>
  <c r="AD59" i="13"/>
  <c r="AD55" i="13"/>
  <c r="AD51" i="13"/>
  <c r="AD47" i="13"/>
  <c r="AD43" i="13"/>
  <c r="AD39" i="13"/>
  <c r="AD35" i="13"/>
  <c r="AD31" i="13"/>
  <c r="AD27" i="13"/>
  <c r="AD23" i="13"/>
  <c r="AD19" i="13"/>
  <c r="AD15" i="13"/>
  <c r="AD11" i="13"/>
  <c r="AD7" i="13"/>
  <c r="AD3" i="13"/>
  <c r="AD342" i="13"/>
  <c r="AD326" i="13"/>
  <c r="AD310" i="13"/>
  <c r="AD294" i="13"/>
  <c r="AD278" i="13"/>
  <c r="AD262" i="13"/>
  <c r="AD246" i="13"/>
  <c r="AD230" i="13"/>
  <c r="AD214" i="13"/>
  <c r="AD205" i="13"/>
  <c r="AD197" i="13"/>
  <c r="AD189" i="13"/>
  <c r="AD181" i="13"/>
  <c r="AD173" i="13"/>
  <c r="AD165" i="13"/>
  <c r="AD157" i="13"/>
  <c r="AD150" i="13"/>
  <c r="AD146" i="13"/>
  <c r="AD142" i="13"/>
  <c r="AD138" i="13"/>
  <c r="AD134" i="13"/>
  <c r="AD130" i="13"/>
  <c r="AD126" i="13"/>
  <c r="AD122" i="13"/>
  <c r="AD118" i="13"/>
  <c r="AD114" i="13"/>
  <c r="AD110" i="13"/>
  <c r="AD106" i="13"/>
  <c r="AD102" i="13"/>
  <c r="AD98" i="13"/>
  <c r="AD94" i="13"/>
  <c r="AD90" i="13"/>
  <c r="AD86" i="13"/>
  <c r="AD82" i="13"/>
  <c r="AD78" i="13"/>
  <c r="AD74" i="13"/>
  <c r="AD70" i="13"/>
  <c r="AD66" i="13"/>
  <c r="AD62" i="13"/>
  <c r="AD58" i="13"/>
  <c r="AD54" i="13"/>
  <c r="AD50" i="13"/>
  <c r="AD46" i="13"/>
  <c r="AD42" i="13"/>
  <c r="AD38" i="13"/>
  <c r="AD34" i="13"/>
  <c r="AD30" i="13"/>
  <c r="AD26" i="13"/>
  <c r="AD22" i="13"/>
  <c r="AD18" i="13"/>
  <c r="AD14" i="13"/>
  <c r="AD10" i="13"/>
  <c r="AD6" i="13"/>
  <c r="AD2" i="13"/>
  <c r="AB3" i="13"/>
  <c r="AB15" i="13"/>
  <c r="AB19" i="13"/>
  <c r="AB27" i="13"/>
  <c r="AB34" i="13"/>
  <c r="AB38" i="13"/>
  <c r="AB44" i="13"/>
  <c r="AB48" i="13"/>
  <c r="AB52" i="13"/>
  <c r="AB56" i="13"/>
  <c r="AB78" i="13"/>
  <c r="AB136" i="13"/>
  <c r="AB4" i="13"/>
  <c r="AB8" i="13"/>
  <c r="AB12" i="13"/>
  <c r="AB16" i="13"/>
  <c r="AB20" i="13"/>
  <c r="AB24" i="13"/>
  <c r="AB28" i="13"/>
  <c r="AB32" i="13"/>
  <c r="AB59" i="13"/>
  <c r="AB61" i="13"/>
  <c r="AB63" i="13"/>
  <c r="AB65" i="13"/>
  <c r="AB67" i="13"/>
  <c r="AB69" i="13"/>
  <c r="AB71" i="13"/>
  <c r="AB73" i="13"/>
  <c r="AB75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7" i="13"/>
  <c r="AB11" i="13"/>
  <c r="AB23" i="13"/>
  <c r="AB31" i="13"/>
  <c r="AB36" i="13"/>
  <c r="AB40" i="13"/>
  <c r="AB42" i="13"/>
  <c r="AB46" i="13"/>
  <c r="AB50" i="13"/>
  <c r="AB54" i="13"/>
  <c r="AB77" i="13"/>
  <c r="AB79" i="13"/>
  <c r="AB135" i="13"/>
  <c r="AB5" i="13"/>
  <c r="AB9" i="13"/>
  <c r="AB13" i="13"/>
  <c r="AB17" i="13"/>
  <c r="AB21" i="13"/>
  <c r="AB25" i="13"/>
  <c r="AB29" i="13"/>
  <c r="AB33" i="13"/>
  <c r="AB35" i="13"/>
  <c r="AB37" i="13"/>
  <c r="AB39" i="13"/>
  <c r="AB41" i="13"/>
  <c r="AB43" i="13"/>
  <c r="AB45" i="13"/>
  <c r="AB47" i="13"/>
  <c r="AB49" i="13"/>
  <c r="AB51" i="13"/>
  <c r="AB53" i="13"/>
  <c r="AB55" i="13"/>
  <c r="AB57" i="13"/>
  <c r="AB76" i="13"/>
  <c r="AB94" i="13"/>
  <c r="AB95" i="13"/>
  <c r="AB114" i="13"/>
  <c r="AB115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7" i="13"/>
  <c r="AB2" i="13"/>
  <c r="AB6" i="13"/>
  <c r="AB10" i="13"/>
  <c r="AB14" i="13"/>
  <c r="AB18" i="13"/>
  <c r="AB22" i="13"/>
  <c r="AB26" i="13"/>
  <c r="AB30" i="13"/>
  <c r="AB58" i="13"/>
  <c r="AB60" i="13"/>
  <c r="AB62" i="13"/>
  <c r="AB64" i="13"/>
  <c r="AB66" i="13"/>
  <c r="AB68" i="13"/>
  <c r="AB70" i="13"/>
  <c r="AB72" i="13"/>
  <c r="AB74" i="13"/>
  <c r="AB96" i="13"/>
  <c r="AB116" i="13"/>
  <c r="AB134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BY3" i="2" l="1"/>
  <c r="CC3" i="2"/>
  <c r="CG3" i="2"/>
  <c r="CK3" i="2"/>
  <c r="CO3" i="2"/>
  <c r="CV3" i="2"/>
  <c r="DD3" i="2"/>
  <c r="BV3" i="2"/>
  <c r="BZ3" i="2"/>
  <c r="CD3" i="2"/>
  <c r="CH3" i="2"/>
  <c r="CL3" i="2"/>
  <c r="CP3" i="2"/>
  <c r="CX3" i="2"/>
  <c r="DE3" i="2"/>
  <c r="BW3" i="2"/>
  <c r="CA3" i="2"/>
  <c r="CE3" i="2"/>
  <c r="CI3" i="2"/>
  <c r="CM3" i="2"/>
  <c r="CR3" i="2"/>
  <c r="CZ3" i="2"/>
  <c r="DF3" i="2"/>
  <c r="CF3" i="2"/>
  <c r="DB3" i="2"/>
  <c r="CJ3" i="2"/>
  <c r="DG3" i="2"/>
  <c r="BX3" i="2"/>
  <c r="CB3" i="2"/>
  <c r="CN3" i="2"/>
  <c r="CT3" i="2"/>
  <c r="CQ3" i="2"/>
  <c r="CY3" i="2"/>
  <c r="CW3" i="2"/>
  <c r="CS3" i="2"/>
  <c r="DC3" i="2"/>
  <c r="DA3" i="2"/>
  <c r="CU3" i="2"/>
  <c r="BW2" i="2" l="1"/>
  <c r="CA2" i="2"/>
  <c r="CE2" i="2"/>
  <c r="CI2" i="2"/>
  <c r="CM2" i="2"/>
  <c r="CR2" i="2"/>
  <c r="CZ2" i="2"/>
  <c r="DF2" i="2"/>
  <c r="BX2" i="2"/>
  <c r="CB2" i="2"/>
  <c r="CF2" i="2"/>
  <c r="CJ2" i="2"/>
  <c r="CN2" i="2"/>
  <c r="CT2" i="2"/>
  <c r="DB2" i="2"/>
  <c r="BY2" i="2"/>
  <c r="CC2" i="2"/>
  <c r="CG2" i="2"/>
  <c r="CK2" i="2"/>
  <c r="CO2" i="2"/>
  <c r="CV2" i="2"/>
  <c r="DD2" i="2"/>
  <c r="CD2" i="2"/>
  <c r="CX2" i="2"/>
  <c r="CH2" i="2"/>
  <c r="DE2" i="2"/>
  <c r="BV2" i="2"/>
  <c r="BZ2" i="2"/>
  <c r="CL2" i="2"/>
  <c r="CP2" i="2"/>
  <c r="DC2" i="2"/>
  <c r="CW2" i="2"/>
  <c r="DA2" i="2"/>
  <c r="CS2" i="2"/>
  <c r="DG2" i="2"/>
  <c r="CQ2" i="2"/>
  <c r="CY2" i="2"/>
  <c r="CU2" i="2"/>
  <c r="U249" i="13"/>
  <c r="U307" i="13"/>
  <c r="U192" i="13"/>
  <c r="U34" i="13"/>
  <c r="U133" i="13"/>
  <c r="U53" i="13"/>
  <c r="U15" i="13"/>
  <c r="U113" i="13"/>
  <c r="U93" i="13"/>
  <c r="U73" i="13"/>
  <c r="U54" i="13"/>
  <c r="U134" i="13"/>
  <c r="U74" i="13"/>
  <c r="U16" i="13"/>
  <c r="U35" i="13"/>
  <c r="U114" i="13"/>
  <c r="U94" i="13"/>
  <c r="V249" i="13"/>
  <c r="V307" i="13"/>
  <c r="V192" i="13"/>
  <c r="V133" i="13"/>
  <c r="V53" i="13"/>
  <c r="V15" i="13"/>
  <c r="V113" i="13"/>
  <c r="V93" i="13"/>
  <c r="V73" i="13"/>
  <c r="V34" i="13"/>
  <c r="V134" i="13"/>
  <c r="V74" i="13"/>
  <c r="V16" i="13"/>
  <c r="V114" i="13"/>
  <c r="V94" i="13"/>
  <c r="V54" i="13"/>
  <c r="V3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</author>
  </authors>
  <commentList>
    <comment ref="E15" authorId="0" shapeId="0" xr:uid="{1B9E6D9D-58BD-406A-A2B3-7E7034DC82AD}">
      <text>
        <r>
          <rPr>
            <sz val="9"/>
            <color indexed="81"/>
            <rFont val="Tahoma"/>
            <family val="2"/>
          </rPr>
          <t xml:space="preserve">Este cálculo es automático
</t>
        </r>
      </text>
    </comment>
    <comment ref="E31" authorId="0" shapeId="0" xr:uid="{D4FEE125-8DCF-4C21-A04A-6A51F2CC6A21}">
      <text>
        <r>
          <rPr>
            <sz val="9"/>
            <color indexed="81"/>
            <rFont val="Tahoma"/>
            <family val="2"/>
          </rPr>
          <t xml:space="preserve">Al final de las 12 cuotas del ejemplo, el capital quedaría en ceros
</t>
        </r>
      </text>
    </comment>
  </commentList>
</comments>
</file>

<file path=xl/sharedStrings.xml><?xml version="1.0" encoding="utf-8"?>
<sst xmlns="http://schemas.openxmlformats.org/spreadsheetml/2006/main" count="4216" uniqueCount="544">
  <si>
    <t>N/A</t>
  </si>
  <si>
    <t xml:space="preserve">TRASLADO TECNICO </t>
  </si>
  <si>
    <t>TRASLADO PERSONAL T.E</t>
  </si>
  <si>
    <t xml:space="preserve">ANTICIPO SERVICIOS </t>
  </si>
  <si>
    <t>ENTREGA MATERIAL</t>
  </si>
  <si>
    <t xml:space="preserve">PRESTAMO </t>
  </si>
  <si>
    <t xml:space="preserve">ENTREGA FIRAZIR </t>
  </si>
  <si>
    <t>CONCEPTO PRESTAMO/CREDITO</t>
  </si>
  <si>
    <t xml:space="preserve">CITA GENETISTA </t>
  </si>
  <si>
    <t>CITA MEDICA PEDIGREE</t>
  </si>
  <si>
    <t>TRASLADO PERSONAL ADMINISTRATIVO</t>
  </si>
  <si>
    <t>CUMPLIDO CON H.E.</t>
  </si>
  <si>
    <t xml:space="preserve">TRASLADO PERSONAL HD </t>
  </si>
  <si>
    <t>PROGRAMADO NO CANCELADO</t>
  </si>
  <si>
    <t>TRASLADO MAQUINAS</t>
  </si>
  <si>
    <t>CONDUCTOR NO CUMPLIO</t>
  </si>
  <si>
    <t>CITA MEDICA</t>
  </si>
  <si>
    <t>PASAJERO CANCELO</t>
  </si>
  <si>
    <t>GOMEZ.M</t>
  </si>
  <si>
    <t>MELISA GOMEZ</t>
  </si>
  <si>
    <t>INFUSION</t>
  </si>
  <si>
    <t>PASAJERO NO REQUIERE</t>
  </si>
  <si>
    <t>MORA.G</t>
  </si>
  <si>
    <t>MORA GLORIA</t>
  </si>
  <si>
    <t>TRASLADO FUNCIONARIOS</t>
  </si>
  <si>
    <t>10 PM A 5 AM</t>
  </si>
  <si>
    <t>CUARTO TURNO</t>
  </si>
  <si>
    <t>IDA Y REGRESO</t>
  </si>
  <si>
    <t>CASTAÑEDA.F</t>
  </si>
  <si>
    <t>TRASLADO PACIENTES</t>
  </si>
  <si>
    <t>2 PM A 10 PM</t>
  </si>
  <si>
    <t>TERCER TURNO</t>
  </si>
  <si>
    <t>REGRESO</t>
  </si>
  <si>
    <t>RIVERA.O</t>
  </si>
  <si>
    <t>RIVERA ORLANDO</t>
  </si>
  <si>
    <t>VISITAS DOMICILIARIAS</t>
  </si>
  <si>
    <t>10 AM A 2 PM</t>
  </si>
  <si>
    <t>SEGUNDO TURNO</t>
  </si>
  <si>
    <t>IDA</t>
  </si>
  <si>
    <t>BERNAL.S</t>
  </si>
  <si>
    <t>BERNAL SANTIAGO</t>
  </si>
  <si>
    <t>TIPO DE SERVICIO</t>
  </si>
  <si>
    <t xml:space="preserve">5 AM - 10 AM </t>
  </si>
  <si>
    <t>PRIMER TURNO</t>
  </si>
  <si>
    <t>SERVICIO IDA / REGRESO / CUMPLIMIENTO</t>
  </si>
  <si>
    <t>SEMANA</t>
  </si>
  <si>
    <t>COORDINADOR</t>
  </si>
  <si>
    <t>CONSECUTIVO</t>
  </si>
  <si>
    <t>FECHA DE SOLICITUD DEL SERVICIO</t>
  </si>
  <si>
    <t xml:space="preserve"> FECHA DE PRESTACION DEL SERVICIO</t>
  </si>
  <si>
    <t>REVISION NOMBRE FMC</t>
  </si>
  <si>
    <t>CEDULA PACIENTE</t>
  </si>
  <si>
    <t>TELEFONO PACIENTE</t>
  </si>
  <si>
    <t>CLIENTE</t>
  </si>
  <si>
    <t>UR / SEDE</t>
  </si>
  <si>
    <t>CIUDAD</t>
  </si>
  <si>
    <t>CODIGO DEL PACIENTE</t>
  </si>
  <si>
    <t>CECO</t>
  </si>
  <si>
    <t>ZONA</t>
  </si>
  <si>
    <t xml:space="preserve">Direccion Autorizada Recogida </t>
  </si>
  <si>
    <t>Barrio</t>
  </si>
  <si>
    <t xml:space="preserve">Dirección del servicio </t>
  </si>
  <si>
    <t>Dirección Destino</t>
  </si>
  <si>
    <t>Kilometraje</t>
  </si>
  <si>
    <t xml:space="preserve">Tiempo </t>
  </si>
  <si>
    <t>Distancia</t>
  </si>
  <si>
    <t>HORA DE RECOGIDA</t>
  </si>
  <si>
    <t>TURNO</t>
  </si>
  <si>
    <t xml:space="preserve">CONDUCTOR PRINCIPAL (A QUIEN SE LE PAGA) </t>
  </si>
  <si>
    <t xml:space="preserve">CONDUCTOR QUE HACE EL SERVICIO </t>
  </si>
  <si>
    <t xml:space="preserve">TELEFONO CONDUCTOR </t>
  </si>
  <si>
    <t>EDUCADORA / COORDINADORA</t>
  </si>
  <si>
    <t>COSTO</t>
  </si>
  <si>
    <t>DESCUENTO PRESTAMO</t>
  </si>
  <si>
    <t xml:space="preserve">TOTAL CON DESCUENTO INCLUIDO </t>
  </si>
  <si>
    <t>TARIFA CLIENTE</t>
  </si>
  <si>
    <t>FACTURA</t>
  </si>
  <si>
    <t>Observaciones</t>
  </si>
  <si>
    <t>Terapia</t>
  </si>
  <si>
    <t xml:space="preserve">Precio de Alimentacion al conductor </t>
  </si>
  <si>
    <t xml:space="preserve">Precio Alimentacion al Cliente </t>
  </si>
  <si>
    <t xml:space="preserve">Total a pagar Con alimentacion incluida al conductor </t>
  </si>
  <si>
    <t>Total Cobro al Cliente</t>
  </si>
  <si>
    <t>Barrio de Origen</t>
  </si>
  <si>
    <t>Municipio</t>
  </si>
  <si>
    <t xml:space="preserve">CONDUCTOR RUT </t>
  </si>
  <si>
    <t xml:space="preserve">CEDULA CONDUCTOR RUT </t>
  </si>
  <si>
    <t>NUMERO PAGO</t>
  </si>
  <si>
    <t>FECHA DE PAGO</t>
  </si>
  <si>
    <t xml:space="preserve">VALOR BANCO </t>
  </si>
  <si>
    <t xml:space="preserve">SALDO </t>
  </si>
  <si>
    <t xml:space="preserve">NO ORDEN DE COMPRA </t>
  </si>
  <si>
    <t xml:space="preserve">DOCUMENTO EQUIVALENTE </t>
  </si>
  <si>
    <t>NOMBRE EMPLEADO</t>
  </si>
  <si>
    <t>DIRECCION EMPLEADO</t>
  </si>
  <si>
    <t>BARRIO</t>
  </si>
  <si>
    <t>BARRIO 2</t>
  </si>
  <si>
    <t>TELEFONOS</t>
  </si>
  <si>
    <t>UNIDAD RENAL</t>
  </si>
  <si>
    <t xml:space="preserve">DIRECCIÓN UNIDAD RENAL </t>
  </si>
  <si>
    <t>Rapid Express Final</t>
  </si>
  <si>
    <t>TARIFA  LOCAL</t>
  </si>
  <si>
    <t>contrapropuesta por un solo recorrido</t>
  </si>
  <si>
    <t>TARIVA ENVIADA POR MARKETING APLICADA EL 10%</t>
  </si>
  <si>
    <t>APLICADO 3%</t>
  </si>
  <si>
    <t>Rapid Express Final-OK</t>
  </si>
  <si>
    <t>Diferencia</t>
  </si>
  <si>
    <t>k</t>
  </si>
  <si>
    <t>t</t>
  </si>
  <si>
    <t>DISTANCIA</t>
  </si>
  <si>
    <t>TARIVA ENVIADA POR MARKETING</t>
  </si>
  <si>
    <t>dif con ML aplicada el 3%</t>
  </si>
  <si>
    <t>Tarifa negociada final</t>
  </si>
  <si>
    <t>ultimo correo 02/07/2020</t>
  </si>
  <si>
    <t>maria l</t>
  </si>
  <si>
    <t>FRESENIUS</t>
  </si>
  <si>
    <t xml:space="preserve"> Liz Maria Ortiz Vergara</t>
  </si>
  <si>
    <t>SOUL</t>
  </si>
  <si>
    <t xml:space="preserve">Barrio San pedro Tuchin Córdoba </t>
  </si>
  <si>
    <t>Murillo</t>
  </si>
  <si>
    <t>SINCELEJO</t>
  </si>
  <si>
    <t>MILAGROS FONTALVO</t>
  </si>
  <si>
    <t>CRA 5A # 41B 27 LA MAGDALENA</t>
  </si>
  <si>
    <t>Calle 45 # 9B - 08
Barrio La Victoria</t>
  </si>
  <si>
    <t>NOMBRE</t>
  </si>
  <si>
    <t>PRIMER APELLIDO</t>
  </si>
  <si>
    <t>SEGUNDO APELLIDO</t>
  </si>
  <si>
    <t>Ciudad</t>
  </si>
  <si>
    <t>Conductor</t>
  </si>
  <si>
    <t>CC conductor</t>
  </si>
  <si>
    <t>telefono conductor</t>
  </si>
  <si>
    <t>conductor alterno</t>
  </si>
  <si>
    <t>tipo de carro</t>
  </si>
  <si>
    <t>placa</t>
  </si>
  <si>
    <t>NOMBRE DEL CONDUCTOR</t>
  </si>
  <si>
    <t>FORMA DE PAGO</t>
  </si>
  <si>
    <t>EMPRESA DONDE ESTA AFILIADA</t>
  </si>
  <si>
    <t>RUT No. 2</t>
  </si>
  <si>
    <t>CC</t>
  </si>
  <si>
    <t>RUT No. 3</t>
  </si>
  <si>
    <t>RUT No. 4</t>
  </si>
  <si>
    <t>RUT No. 5</t>
  </si>
  <si>
    <t>RUT No. 6</t>
  </si>
  <si>
    <t>RUT No. 7</t>
  </si>
  <si>
    <t>AINER</t>
  </si>
  <si>
    <t>BARRERA</t>
  </si>
  <si>
    <t>NAVARRO</t>
  </si>
  <si>
    <t>PUBLICO</t>
  </si>
  <si>
    <t>TKK463</t>
  </si>
  <si>
    <t>ALEJANDRO</t>
  </si>
  <si>
    <t>ESPECIAL</t>
  </si>
  <si>
    <t>PARTICULAR</t>
  </si>
  <si>
    <t xml:space="preserve"> </t>
  </si>
  <si>
    <t>TAXI</t>
  </si>
  <si>
    <t>RUBEN</t>
  </si>
  <si>
    <t>BASE DE DATOS CUENTAS BANCARIAS</t>
  </si>
  <si>
    <t xml:space="preserve">CONDUCTOR </t>
  </si>
  <si>
    <t>DP</t>
  </si>
  <si>
    <t>CA</t>
  </si>
  <si>
    <t>JUAN CARLOS</t>
  </si>
  <si>
    <t>LUZ ADRIANA</t>
  </si>
  <si>
    <t>FECHA DEL PRESTAMO</t>
  </si>
  <si>
    <t xml:space="preserve">NOMBRE CONDUCTOR </t>
  </si>
  <si>
    <t xml:space="preserve">CONCEPTO </t>
  </si>
  <si>
    <t xml:space="preserve">TOTAL PRESTAMO /ANTICIPO </t>
  </si>
  <si>
    <t xml:space="preserve">CUOTAS </t>
  </si>
  <si>
    <t xml:space="preserve">VALOR MENSUAL A DESCONTAR </t>
  </si>
  <si>
    <t>FECHA</t>
  </si>
  <si>
    <t>SALDO</t>
  </si>
  <si>
    <t>FECHA DE LIQUIDACION</t>
  </si>
  <si>
    <t>NOMBRE DE DEUDOR</t>
  </si>
  <si>
    <t>DOCUMENTO DE IDENTIDAD</t>
  </si>
  <si>
    <t>VINCULO CON LA EMPRESA</t>
  </si>
  <si>
    <t>SIMULADOR CUOTA DE CRÉDITO</t>
  </si>
  <si>
    <t>Valor del préstamo u obligación financiera</t>
  </si>
  <si>
    <t>VERIFIQUE LA TASA SEGÚN EL CASO:</t>
  </si>
  <si>
    <t>DEDUCCIONES A REALIZAR EN EL DESEMBOLSO</t>
  </si>
  <si>
    <t>Cantidad de cuotas totales en las que se cubrirá la obligación</t>
  </si>
  <si>
    <t>TASA ANUAL PRESTAMO CONDUCTORES</t>
  </si>
  <si>
    <t>4 X MIL</t>
  </si>
  <si>
    <t>Tasa mensual de interés que generará la obligación</t>
  </si>
  <si>
    <t>TASA ANUAL SOAT</t>
  </si>
  <si>
    <t>SEGURO VIDA DEUDA 0 A 24 MESES</t>
  </si>
  <si>
    <t>Valor de la cuota mensual</t>
  </si>
  <si>
    <t>TASA ANUAL PRESTAMO EMPLEADOS</t>
  </si>
  <si>
    <t>SEGURO VIDA DEUDA 25 A 36 MESES</t>
  </si>
  <si>
    <t>Para comprobar que esa es la cuota con la que se cubriría correctamente la obligación a lo largo de los meses en que fue pactada, se haría el siguiente cuadro:</t>
  </si>
  <si>
    <t>SEGURO VIDA DEUDA 37 A 48 MESES</t>
  </si>
  <si>
    <t>Número de</t>
  </si>
  <si>
    <t>Valor total de</t>
  </si>
  <si>
    <t>Valor que abona</t>
  </si>
  <si>
    <t xml:space="preserve">Saldo de Capital </t>
  </si>
  <si>
    <t xml:space="preserve">SEGURO VIDA DEUDA 49 O MÁS </t>
  </si>
  <si>
    <t>la cuota</t>
  </si>
  <si>
    <t>a intereses</t>
  </si>
  <si>
    <t>al capital</t>
  </si>
  <si>
    <t>después del abono</t>
  </si>
  <si>
    <t>PROGRAMACION DE DESCUENTO</t>
  </si>
  <si>
    <t>SEMANA 1</t>
  </si>
  <si>
    <t>SEMANA 2</t>
  </si>
  <si>
    <t>SEMANA 3</t>
  </si>
  <si>
    <t>SEMANA 4</t>
  </si>
  <si>
    <t xml:space="preserve">MORA LORENA </t>
  </si>
  <si>
    <t>MORA.L</t>
  </si>
  <si>
    <t xml:space="preserve">CEDULA CONDUCTOR PRINCIPAL </t>
  </si>
  <si>
    <t>PERSONA A TRANSPORTAR</t>
  </si>
  <si>
    <t xml:space="preserve">COMPARENDO </t>
  </si>
  <si>
    <t>TRASLADO FUNCIONARIOS TEMPORAL</t>
  </si>
  <si>
    <t>TRASLADO FUNCIONARIOS CUARENTENA</t>
  </si>
  <si>
    <t>ACEVEDO JESUS</t>
  </si>
  <si>
    <t xml:space="preserve">HUMBERTO </t>
  </si>
  <si>
    <t>AGUIRRE BONILLA</t>
  </si>
  <si>
    <t>APELLIDOS</t>
  </si>
  <si>
    <t>NOMBRES</t>
  </si>
  <si>
    <t>CEDULA</t>
  </si>
  <si>
    <t xml:space="preserve">SIGLA BANCO </t>
  </si>
  <si>
    <t>TELLEZ RUIZ JAIRO ALEJANDRO</t>
  </si>
  <si>
    <t>GALLEGO MURILLO OSCAR MAURICIO</t>
  </si>
  <si>
    <t>CHAVARRO ALEXA</t>
  </si>
  <si>
    <t>CHAVARRO A.</t>
  </si>
  <si>
    <t xml:space="preserve">DEUDA </t>
  </si>
  <si>
    <t xml:space="preserve">CUOTA </t>
  </si>
  <si>
    <t>ESTADO</t>
  </si>
  <si>
    <t xml:space="preserve">GUERRERO MARTINEZ LUIS </t>
  </si>
  <si>
    <t xml:space="preserve">MORA. L </t>
  </si>
  <si>
    <t>HENAO MORA WALTER ALEXANDER</t>
  </si>
  <si>
    <t xml:space="preserve">ECHAVARRIA CASTAÑEDA JUAN </t>
  </si>
  <si>
    <t>CABARCAS ARATO JOSE DAVID</t>
  </si>
  <si>
    <t>BONOS PERDIDOS</t>
  </si>
  <si>
    <t>ESTADO DE CUENTA VINCULADOS</t>
  </si>
  <si>
    <t>NESTOR HENRY ALGECIRA</t>
  </si>
  <si>
    <t xml:space="preserve">POLIZAS Y SOAT </t>
  </si>
  <si>
    <t>ALDANA RODRIGUEZ HELMAN</t>
  </si>
  <si>
    <t xml:space="preserve">POLIZAS Y SOAT Y GPS Y LOGOS </t>
  </si>
  <si>
    <t>SANCHEZ PEÑALOZA CARLOS ALVEIRO</t>
  </si>
  <si>
    <t>CABARCA SANCHEZ ORLANDO</t>
  </si>
  <si>
    <t>DIAZ BEDOYA FILIBERTO ANTONIO</t>
  </si>
  <si>
    <t>SEVILLA BUSTOS JHON BAYRON </t>
  </si>
  <si>
    <t xml:space="preserve">Uber APP </t>
  </si>
  <si>
    <t>REYES URRIOLA YECIR FERNANDO</t>
  </si>
  <si>
    <t>PIRACON SUAREZ DAGOBERTO</t>
  </si>
  <si>
    <t>Etiquetas de fila</t>
  </si>
  <si>
    <t>Total general</t>
  </si>
  <si>
    <t>Suma de COSTO</t>
  </si>
  <si>
    <t>Suma de DESCUENTO PRESTAMO</t>
  </si>
  <si>
    <t xml:space="preserve">Suma de TOTAL CON DESCUENTO INCLUIDO </t>
  </si>
  <si>
    <t xml:space="preserve">TOVAR AMEZQUITA ARNULFO </t>
  </si>
  <si>
    <t>PEDRAZA DIANA PAOLA</t>
  </si>
  <si>
    <t>N° PRESTAMO</t>
  </si>
  <si>
    <t>PMO-00002</t>
  </si>
  <si>
    <t>PMO-00005</t>
  </si>
  <si>
    <t>PMO-00006</t>
  </si>
  <si>
    <t>PMO-00008</t>
  </si>
  <si>
    <t>PMO-00007</t>
  </si>
  <si>
    <t>PMO-00011</t>
  </si>
  <si>
    <t>PMO-00013</t>
  </si>
  <si>
    <t>PMO-00009</t>
  </si>
  <si>
    <t>PMO-00010</t>
  </si>
  <si>
    <t>CABANZO VANEGAS ANDRES EDUARDO</t>
  </si>
  <si>
    <t>PEÑA BARACALDO PEDRO PABLO</t>
  </si>
  <si>
    <t>GOMEZ FLOREZ JHONNY ESTEBAN</t>
  </si>
  <si>
    <t>GAZABON SANCHEZ RAFAEL DE JESUS</t>
  </si>
  <si>
    <t xml:space="preserve">PALACIO MOVILLA CRISTIAN </t>
  </si>
  <si>
    <t>TABARES UBER ALEXANDER</t>
  </si>
  <si>
    <t>PMO-00012</t>
  </si>
  <si>
    <t>PMO-00015</t>
  </si>
  <si>
    <t>PMO-00016</t>
  </si>
  <si>
    <t>OP-MAY-OR-0043</t>
  </si>
  <si>
    <t>BARRANQUILLA</t>
  </si>
  <si>
    <t>TRASLADO PERSONAL ASISTENCIAL</t>
  </si>
  <si>
    <t>TRASLADO PACIENTES SOSPECHOSO</t>
  </si>
  <si>
    <t>Julio JIMENEZ</t>
  </si>
  <si>
    <t>Henry Betancur</t>
  </si>
  <si>
    <t>Calle 58 # CRA 9-  91 -18</t>
  </si>
  <si>
    <t>CRA 4D 17 02</t>
  </si>
  <si>
    <t xml:space="preserve">LUZ DIAZ </t>
  </si>
  <si>
    <t xml:space="preserve">ELKIS BARCELO </t>
  </si>
  <si>
    <t xml:space="preserve">OLGA ZARATE </t>
  </si>
  <si>
    <t xml:space="preserve">ANTONIA TORRES </t>
  </si>
  <si>
    <t xml:space="preserve">MAURICIO GUALDRON </t>
  </si>
  <si>
    <t>JOSELIN PEREZ</t>
  </si>
  <si>
    <t>DILAR CABALLERO</t>
  </si>
  <si>
    <t>KAREN RUIZ</t>
  </si>
  <si>
    <t xml:space="preserve">NINFA MARCELA BUSTILLO </t>
  </si>
  <si>
    <t xml:space="preserve">MARTHA DELGADO </t>
  </si>
  <si>
    <t xml:space="preserve">GUSTAVO CARDENAS </t>
  </si>
  <si>
    <t>CARMEN MONTERROSA</t>
  </si>
  <si>
    <t xml:space="preserve">NEIDY BURGOS </t>
  </si>
  <si>
    <t xml:space="preserve">CARLOS ORTEGA </t>
  </si>
  <si>
    <t xml:space="preserve">EVELIN PEREZ </t>
  </si>
  <si>
    <t xml:space="preserve">SHIRLEY </t>
  </si>
  <si>
    <t xml:space="preserve">BETTY Velez </t>
  </si>
  <si>
    <t>CALLE 61 # 41-50</t>
  </si>
  <si>
    <t xml:space="preserve">CALLE 15 # 15B - 41 </t>
  </si>
  <si>
    <t>TRANSVERSAL 10  # 61 c - 93 terranova 2soledad Atlántico</t>
  </si>
  <si>
    <t>CALLE 47 # 33-90</t>
  </si>
  <si>
    <t>CRA 9E 54-39</t>
  </si>
  <si>
    <t>CRA2 58C-20</t>
  </si>
  <si>
    <t>CRA5C 91-26</t>
  </si>
  <si>
    <t>CRA21B 18-04</t>
  </si>
  <si>
    <t>CRA13B #54-08</t>
  </si>
  <si>
    <t>CALLE 44 10C-17</t>
  </si>
  <si>
    <t>CALLE18 1A-196</t>
  </si>
  <si>
    <t>CALLE 82A 41E-192</t>
  </si>
  <si>
    <t xml:space="preserve">Calle 117 # 42 - 189 Alameda del rio - conjunto canario </t>
  </si>
  <si>
    <t xml:space="preserve">Calle 53 d # 17-32 Barrio el carmen </t>
  </si>
  <si>
    <t xml:space="preserve">19:00 am -03:00 am </t>
  </si>
  <si>
    <t xml:space="preserve">5:30 am -1:30 pm </t>
  </si>
  <si>
    <t>1:30 pm -9:30 pm</t>
  </si>
  <si>
    <t xml:space="preserve">INCAPACITADO </t>
  </si>
  <si>
    <t xml:space="preserve">9:00 pm -03:00 am </t>
  </si>
  <si>
    <t>D</t>
  </si>
  <si>
    <t>7:00-18:00</t>
  </si>
  <si>
    <t xml:space="preserve">D </t>
  </si>
  <si>
    <t xml:space="preserve">VACACIONES </t>
  </si>
  <si>
    <t>L</t>
  </si>
  <si>
    <t xml:space="preserve">Riomar </t>
  </si>
  <si>
    <t>FIERRO  ARCANGEL</t>
  </si>
  <si>
    <t>FIERRO ARCANGEL</t>
  </si>
  <si>
    <t>NA</t>
  </si>
  <si>
    <t xml:space="preserve">CARRERA 51 No.82-197 UR RIOMAR </t>
  </si>
  <si>
    <t xml:space="preserve">SARA MEZA </t>
  </si>
  <si>
    <t xml:space="preserve">Revisar con quien fue </t>
  </si>
  <si>
    <t xml:space="preserve">Revisar con quien se hizo </t>
  </si>
  <si>
    <t xml:space="preserve">NA </t>
  </si>
  <si>
    <t>TAXI 359 BARRANQUILLA</t>
  </si>
  <si>
    <t>TAXI EMPRESA BARRANQUILLA</t>
  </si>
  <si>
    <t xml:space="preserve">REGRESO </t>
  </si>
  <si>
    <t xml:space="preserve">CUARTO TURNO </t>
  </si>
  <si>
    <t xml:space="preserve">TERCER TURNO </t>
  </si>
  <si>
    <t xml:space="preserve">ROCIO LOPES MARTINEZ </t>
  </si>
  <si>
    <t xml:space="preserve">JOGENIS FUENTES </t>
  </si>
  <si>
    <t xml:space="preserve">KATHERINE AHUMADA </t>
  </si>
  <si>
    <t xml:space="preserve">VICKYS DIAZ VILLAREAL </t>
  </si>
  <si>
    <t xml:space="preserve">JULIO HERNANDEZ </t>
  </si>
  <si>
    <t xml:space="preserve">CARMEN CAMACHO VALENCIZ </t>
  </si>
  <si>
    <t>SHADIA PUELLO</t>
  </si>
  <si>
    <t>NELSON PADILLA</t>
  </si>
  <si>
    <t>RAUL CASTRO</t>
  </si>
  <si>
    <t>MARCO DE LA ROSA</t>
  </si>
  <si>
    <t>AMALFY MARBELLO</t>
  </si>
  <si>
    <t>ALFREDO SANPAYO</t>
  </si>
  <si>
    <t>DOMINGO VEGA</t>
  </si>
  <si>
    <t>MIGUEL ANGARITA</t>
  </si>
  <si>
    <t>MANUEL MEZA</t>
  </si>
  <si>
    <t>CAYETANA RODRIGUEZ</t>
  </si>
  <si>
    <t>DEVIS MENDOZA</t>
  </si>
  <si>
    <t>JOHANNA BARRETO</t>
  </si>
  <si>
    <t>ADRIANA TORRES</t>
  </si>
  <si>
    <t>JAVIER LFARO</t>
  </si>
  <si>
    <t>CASTULO CAMARGO</t>
  </si>
  <si>
    <t>MARIA SANDOVAL</t>
  </si>
  <si>
    <t>ALEXANDER CAZES</t>
  </si>
  <si>
    <t>JULIA CONTRERAS</t>
  </si>
  <si>
    <t>MIGUEL LARA</t>
  </si>
  <si>
    <t>JUAN CEPEDA</t>
  </si>
  <si>
    <t>Julvia OJEDA</t>
  </si>
  <si>
    <t>LUIS MEJIA</t>
  </si>
  <si>
    <t>HERNANDO RODRIGUEZ</t>
  </si>
  <si>
    <t>VIVIANA GALE</t>
  </si>
  <si>
    <t xml:space="preserve">FERNANDO ROCHA </t>
  </si>
  <si>
    <t xml:space="preserve">PEDRO DIAZ </t>
  </si>
  <si>
    <t xml:space="preserve">LUDIS DIAZ </t>
  </si>
  <si>
    <t>JORDY MONSALVO</t>
  </si>
  <si>
    <t>SOSPECHOSO</t>
  </si>
  <si>
    <t>NUEVO / PREGUNTAR SI LLEVA ACOMP</t>
  </si>
  <si>
    <t xml:space="preserve">ES POSITIVO COVID YA NO SE TRANSPORTA </t>
  </si>
  <si>
    <t xml:space="preserve">POR SER POSITIVO YA NO SE TRANSPORTA / La dra shirley llamo para autorizar el transporte del paciente ya que no se tenia conocimient de que era positivo para covid / el señor fierro le pago la carrera de IDA </t>
  </si>
  <si>
    <t>9:00 am - 3:00 am</t>
  </si>
  <si>
    <t xml:space="preserve">DUVAN </t>
  </si>
  <si>
    <t>VACACIONES</t>
  </si>
  <si>
    <t>NO HAY DIRECCION ESTOS DIAS ESTUVO EN VACACIONES?</t>
  </si>
  <si>
    <t>COSTO CLAUDIA</t>
  </si>
  <si>
    <t>EMPRESA TAXI</t>
  </si>
  <si>
    <t xml:space="preserve">IDA Y REGRESO </t>
  </si>
  <si>
    <t>MANUEL ROJANO</t>
  </si>
  <si>
    <t>FRANCISCO VIÑAS</t>
  </si>
  <si>
    <t xml:space="preserve">PEDRO GONZALES </t>
  </si>
  <si>
    <t xml:space="preserve">FRANKLIN TERAN </t>
  </si>
  <si>
    <t>ULFRAN RHENAL</t>
  </si>
  <si>
    <t>JOSE VILLAMIZAR</t>
  </si>
  <si>
    <t>LUIS HERNANDEZ</t>
  </si>
  <si>
    <t>LUIS MONSALVE</t>
  </si>
  <si>
    <t>CLAUDIA JIMENEZ</t>
  </si>
  <si>
    <t>JESUS FONSECA</t>
  </si>
  <si>
    <t>LESBIA GONZALEZ</t>
  </si>
  <si>
    <t>FRANCISCO RODRIGUEZ</t>
  </si>
  <si>
    <t>ESMILDA RIQUETT</t>
  </si>
  <si>
    <t>HUMBERTO GUTIERREZ</t>
  </si>
  <si>
    <t>SILFREDO GALINDO</t>
  </si>
  <si>
    <t>NURIS DIAZ</t>
  </si>
  <si>
    <t>JOSE FERRER</t>
  </si>
  <si>
    <t>LUIS DIAZ</t>
  </si>
  <si>
    <t>SAMANDA ANDRADE</t>
  </si>
  <si>
    <t>JANER ALTAHOMA</t>
  </si>
  <si>
    <t>LUISA ARIZA</t>
  </si>
  <si>
    <t>JOSE ROMERO</t>
  </si>
  <si>
    <t>PATRICIA DE ALBA</t>
  </si>
  <si>
    <t>ALICIA PEDROZA</t>
  </si>
  <si>
    <t>ALEX  CIENFUEGOS</t>
  </si>
  <si>
    <t>OMAR OSPINO</t>
  </si>
  <si>
    <t xml:space="preserve">CESAR PATIÑO </t>
  </si>
  <si>
    <t xml:space="preserve">HOSPITALIZADO POR COVID </t>
  </si>
  <si>
    <t xml:space="preserve">NUEVO SOLO POR HOY DEBE ESTAR A LAS 8 PM / 7:30 </t>
  </si>
  <si>
    <t xml:space="preserve">Nueva  se dialiso ayer su proxima dialisis es el jueves </t>
  </si>
  <si>
    <t xml:space="preserve">CHARLI / WILDER </t>
  </si>
  <si>
    <t xml:space="preserve">CUARTO TURNIO </t>
  </si>
  <si>
    <t xml:space="preserve">TUBERCULOSIS / hospitalizado </t>
  </si>
  <si>
    <t>Fernando Rocha</t>
  </si>
  <si>
    <t>Unirenal Calle 70B # 38 - 152</t>
  </si>
  <si>
    <t xml:space="preserve">Según autorización de Riomar este paciente debia ir a Unirenal </t>
  </si>
  <si>
    <t xml:space="preserve">Javier serrano </t>
  </si>
  <si>
    <t xml:space="preserve">PASO A MJS </t>
  </si>
  <si>
    <t>NO</t>
  </si>
  <si>
    <t xml:space="preserve">JUAN CARLOS </t>
  </si>
  <si>
    <t xml:space="preserve">Revisar si se le paga directamtne a juan carlos </t>
  </si>
  <si>
    <t xml:space="preserve">Revisar </t>
  </si>
  <si>
    <t xml:space="preserve">Paso a LMJ </t>
  </si>
  <si>
    <t xml:space="preserve">solo iba por el 04 </t>
  </si>
  <si>
    <t xml:space="preserve">DESISTIO DE TRATAMIENTO </t>
  </si>
  <si>
    <t xml:space="preserve">ARCANGEL FIERRO </t>
  </si>
  <si>
    <t xml:space="preserve">TUBERCULOSIS /Esta hospitalizado </t>
  </si>
  <si>
    <t>Unirenal Calle 70B # 38 - 153</t>
  </si>
  <si>
    <t>Unirenal Calle 70B # 38 - 154</t>
  </si>
  <si>
    <t>Unirenal Calle 70B # 38 - 155</t>
  </si>
  <si>
    <t>Unirenal Calle 70B # 38 - 156</t>
  </si>
  <si>
    <t>Unirenal Calle 70B # 38 - 157</t>
  </si>
  <si>
    <t>Unirenal Calle 70B # 38 - 158</t>
  </si>
  <si>
    <t>Unirenal Calle 70B # 38 - 159</t>
  </si>
  <si>
    <t>Unirenal Calle 70B # 38 - 160</t>
  </si>
  <si>
    <t>Unirenal Calle 70B # 38 - 161</t>
  </si>
  <si>
    <t>Unirenal Calle 70B # 38 - 162</t>
  </si>
  <si>
    <t>Unirenal Calle 70B # 38 - 163</t>
  </si>
  <si>
    <t>Unirenal Calle 70B # 38 - 164</t>
  </si>
  <si>
    <t>Unirenal Calle 70B # 38 - 165</t>
  </si>
  <si>
    <t>Unirenal Calle 70B # 38 - 166</t>
  </si>
  <si>
    <t>Unirenal Calle 70B # 38 - 167</t>
  </si>
  <si>
    <t>Unirenal Calle 70B # 38 - 168</t>
  </si>
  <si>
    <t>Unirenal Calle 70B # 38 - 169</t>
  </si>
  <si>
    <t>Unirenal Calle 70B # 38 - 170</t>
  </si>
  <si>
    <t>Unirenal Calle 70B # 38 - 171</t>
  </si>
  <si>
    <t>Unirenal Calle 70B # 38 - 172</t>
  </si>
  <si>
    <t>Unirenal Calle 70B # 38 - 173</t>
  </si>
  <si>
    <t>Unirenal Calle 70B # 38 - 174</t>
  </si>
  <si>
    <t>Unirenal Calle 70B # 38 - 175</t>
  </si>
  <si>
    <t>Unirenal Calle 70B # 38 - 176</t>
  </si>
  <si>
    <t>Unirenal Calle 70B # 38 - 177</t>
  </si>
  <si>
    <t>Unirenal Calle 70B # 38 - 178</t>
  </si>
  <si>
    <t>Unirenal Calle 70B # 38 - 179</t>
  </si>
  <si>
    <t>Unirenal Calle 70B # 38 - 180</t>
  </si>
  <si>
    <t>Unirenal Calle 70B # 38 - 181</t>
  </si>
  <si>
    <t xml:space="preserve">SOSPECHOSO </t>
  </si>
  <si>
    <t>ZAMBRANO  ANGEL</t>
  </si>
  <si>
    <t xml:space="preserve">ANGEL ZAMBRANO </t>
  </si>
  <si>
    <t>TRASLADO FUNCIONARIOS CASALIMPIA</t>
  </si>
  <si>
    <t xml:space="preserve">Nombre conductor </t>
  </si>
  <si>
    <t xml:space="preserve">Apellido conductor </t>
  </si>
  <si>
    <t xml:space="preserve">Cédula </t>
  </si>
  <si>
    <t>Correo Electrónico</t>
  </si>
  <si>
    <t>CEDULA - PLACA</t>
  </si>
  <si>
    <t>Telefono</t>
  </si>
  <si>
    <t>Número de la licencia</t>
  </si>
  <si>
    <t>Dirección</t>
  </si>
  <si>
    <t>Placa</t>
  </si>
  <si>
    <t>Modelo</t>
  </si>
  <si>
    <t>Clase de vehículo</t>
  </si>
  <si>
    <t>Marca de vehículo</t>
  </si>
  <si>
    <t xml:space="preserve">Ciudad donde trabaja </t>
  </si>
  <si>
    <t>Nombre del propietario</t>
  </si>
  <si>
    <t>NIT/Cédula del propietario</t>
  </si>
  <si>
    <t>Correo del propietario</t>
  </si>
  <si>
    <t xml:space="preserve">Vinculado a la empresa </t>
  </si>
  <si>
    <t xml:space="preserve">FECHA VENCIMIENTO  LICENCIA DE CONDUCCIÓN </t>
  </si>
  <si>
    <t>FECHA DOCUMENTOS SEGURO OBLIGATORIO</t>
  </si>
  <si>
    <t xml:space="preserve">FECHA DOCUMENTOS POLIZAS CONTRA </t>
  </si>
  <si>
    <t xml:space="preserve">FECHA DOCUMENTOS POLIZAS EXTRA  </t>
  </si>
  <si>
    <t>FECHA DOCUMENTOS TARJETA OPERACIÓN</t>
  </si>
  <si>
    <t>FECHA DOCUMENTOS TECNOMECANICA</t>
  </si>
  <si>
    <t>FECHA DOCUMENTOS PREVENTIVA</t>
  </si>
  <si>
    <t>PROCESO CONVENIO</t>
  </si>
  <si>
    <t>FECHA DOCUMENTOS CONVENIO</t>
  </si>
  <si>
    <t xml:space="preserve">FUEC </t>
  </si>
  <si>
    <t>LICENCIA DE CONDUCIR</t>
  </si>
  <si>
    <t>PLANILLA DE SS</t>
  </si>
  <si>
    <t>RUT</t>
  </si>
  <si>
    <t>SIMIT</t>
  </si>
  <si>
    <t>RUNT</t>
  </si>
  <si>
    <t>CERTF. ANTECEDENTES</t>
  </si>
  <si>
    <t>CURSOS ADICIONALES</t>
  </si>
  <si>
    <t>FOTO VEHICULO</t>
  </si>
  <si>
    <t>LICENCIA DE TRANS</t>
  </si>
  <si>
    <t>SOAT</t>
  </si>
  <si>
    <t>REVISION TEC</t>
  </si>
  <si>
    <t>TARJETA DE OPERACIÓN</t>
  </si>
  <si>
    <t xml:space="preserve">POLIZA RCC </t>
  </si>
  <si>
    <t xml:space="preserve">POLIZA RCE </t>
  </si>
  <si>
    <t>REVISION PREVENTIVA</t>
  </si>
  <si>
    <t xml:space="preserve">EMPRESA AFILIADORA </t>
  </si>
  <si>
    <t>FUEC MOVLIFE</t>
  </si>
  <si>
    <t>fuec cliente</t>
  </si>
  <si>
    <t>TELEFONO</t>
  </si>
  <si>
    <t>CONTACTO</t>
  </si>
  <si>
    <t>CIUDAD EMPRESA</t>
  </si>
  <si>
    <t>OBSERVACIONES</t>
  </si>
  <si>
    <t>FIRMADO</t>
  </si>
  <si>
    <t>SIN CONVENIO</t>
  </si>
  <si>
    <t>X</t>
  </si>
  <si>
    <t>SI</t>
  </si>
  <si>
    <t>3197875127 / 3166259518</t>
  </si>
  <si>
    <t>OK</t>
  </si>
  <si>
    <t>SANTA MARTHA</t>
  </si>
  <si>
    <t>REVISADO ALEXA DOC</t>
  </si>
  <si>
    <t>CONDUCTORES</t>
  </si>
  <si>
    <t xml:space="preserve">PLACA DEL VEHICULO QUE HACE EL SERVICIO </t>
  </si>
  <si>
    <t xml:space="preserve">TELEFONO </t>
  </si>
  <si>
    <t>LIMAS</t>
  </si>
  <si>
    <t>TIPO DE DESCUENTO</t>
  </si>
  <si>
    <t>ISRAEL ORTIZ ROA</t>
  </si>
  <si>
    <t>Acompañante</t>
  </si>
  <si>
    <t xml:space="preserve">TIPO DE CARRO </t>
  </si>
  <si>
    <t xml:space="preserve">PLACA </t>
  </si>
  <si>
    <t>HORA DE LA CITA-INFUSION-EXAMEN</t>
  </si>
  <si>
    <t>HORA DE TERMINACION DE LA CITA/INFUSION/ EXAMEN</t>
  </si>
  <si>
    <t>TIEMPO PROMEDIO DE ESPERA</t>
  </si>
  <si>
    <t># PERSONAS AUTORIZADAS A TOMAR EL TRANSPORTE</t>
  </si>
  <si>
    <t>NOMBRE DEL ACUDIENTE/ACOMPAÑANTE</t>
  </si>
  <si>
    <t>DOCUMENTO DEL ACOMPAÑANATE</t>
  </si>
  <si>
    <t>PARENTESCO</t>
  </si>
  <si>
    <t xml:space="preserve">PROGRAMA </t>
  </si>
  <si>
    <t xml:space="preserve">OBSERVACION PAGO CONDUCTORES </t>
  </si>
  <si>
    <t xml:space="preserve">OBSERVACIÓN A LA FACTURA </t>
  </si>
  <si>
    <t>observaciones del servicio</t>
  </si>
  <si>
    <t>OTRAS NOVEDADES</t>
  </si>
  <si>
    <t>RODRIGUEZ SUAREZ YESENIA MEZZURI</t>
  </si>
  <si>
    <t xml:space="preserve">De 1 a 5 La actitud del coductor </t>
  </si>
  <si>
    <t xml:space="preserve">De 1 a 5 Puntualidad del servicio </t>
  </si>
  <si>
    <t xml:space="preserve">De 1 a 5 Estado del vehículo </t>
  </si>
  <si>
    <t xml:space="preserve">Observaciones </t>
  </si>
  <si>
    <t>CASTRO SAN JUAN CESAR AUGUSTO</t>
  </si>
  <si>
    <t>CESAR AUGUSTO CASTRO  SAN JUAN</t>
  </si>
  <si>
    <t>OP-JUL-OR-0001</t>
  </si>
  <si>
    <t>OP-JUL-OR-0002</t>
  </si>
  <si>
    <t xml:space="preserve">No tiene Whatsapp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</si>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</sst>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-F400]h:mm:ss\ AM/PM"/>
    <numFmt numFmtId="170" formatCode="_-* #,##0\ _€_-;\-* #,##0\ _€_-;_-* &quot;-&quot;??\ _€_-;_-@_-"/>
    <numFmt numFmtId="171" formatCode="_-* #,##0_-;\-* #,##0_-;_-* &quot;-&quot;??_-;_-@_-"/>
    <numFmt numFmtId="173" formatCode="_-&quot;$&quot;\ * #,##0_-;\-&quot;$&quot;\ * #,##0_-;_-&quot;$&quot;\ * &quot;-&quot;??_-;_-@_-"/>
    <numFmt numFmtId="174" formatCode="_ &quot;$&quot;\ * #,##0.00_ ;_ &quot;$&quot;\ * \-#,##0.00_ ;_ &quot;$&quot;\ * &quot;-&quot;??_ ;_ @_ "/>
    <numFmt numFmtId="175" formatCode="0.0%"/>
    <numFmt numFmtId="176" formatCode="_ &quot;$&quot;\ * #,##0_ ;_ &quot;$&quot;\ * \-#,##0_ ;_ &quot;$&quot;\ * &quot;-&quot;??_ ;_ @_ "/>
    <numFmt numFmtId="177" formatCode="&quot;$&quot;\ #,##0;[Red]&quot;$&quot;\ \-#,##0"/>
    <numFmt numFmtId="178" formatCode="0.000000%"/>
    <numFmt numFmtId="179" formatCode="&quot;$&quot;\ 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iandra GD"/>
      <family val="2"/>
    </font>
    <font>
      <sz val="10"/>
      <name val="Maiandra GD"/>
      <family val="2"/>
    </font>
    <font>
      <b/>
      <sz val="10"/>
      <color theme="1"/>
      <name val="Maiandra GD"/>
      <family val="2"/>
    </font>
    <font>
      <sz val="11"/>
      <color theme="1"/>
      <name val="Maiandra GD"/>
      <family val="2"/>
    </font>
    <font>
      <b/>
      <sz val="11"/>
      <color theme="1"/>
      <name val="Maiandra GD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Maiandra GD"/>
      <family val="2"/>
    </font>
    <font>
      <b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Maiandra GD"/>
      <family val="2"/>
    </font>
    <font>
      <b/>
      <u/>
      <sz val="10"/>
      <color rgb="FF434343"/>
      <name val="Arial"/>
      <family val="2"/>
    </font>
    <font>
      <sz val="11"/>
      <name val="Maiandra GD"/>
      <family val="2"/>
    </font>
    <font>
      <b/>
      <sz val="12"/>
      <color theme="1"/>
      <name val="Calibri"/>
      <family val="2"/>
      <scheme val="minor"/>
    </font>
    <font>
      <sz val="11"/>
      <color theme="8" tint="-0.249977111117893"/>
      <name val="Maiandra GD"/>
      <family val="2"/>
    </font>
    <font>
      <b/>
      <sz val="10"/>
      <name val="Maiandra GD"/>
      <family val="2"/>
    </font>
    <font>
      <b/>
      <sz val="10"/>
      <color rgb="FF000000"/>
      <name val="Maiandra GD"/>
      <family val="2"/>
    </font>
    <font>
      <b/>
      <sz val="9"/>
      <color theme="1"/>
      <name val="Maiandra GD"/>
      <family val="2"/>
    </font>
    <font>
      <b/>
      <sz val="8"/>
      <color theme="1"/>
      <name val="Maiandra GD"/>
      <family val="2"/>
    </font>
    <font>
      <b/>
      <sz val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4" fillId="0" borderId="0"/>
    <xf numFmtId="174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2" xfId="0" applyFill="1" applyBorder="1"/>
    <xf numFmtId="0" fontId="0" fillId="4" borderId="0" xfId="0" applyFill="1" applyAlignment="1">
      <alignment wrapText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/>
      <protection locked="0"/>
    </xf>
    <xf numFmtId="43" fontId="4" fillId="5" borderId="2" xfId="1" applyFont="1" applyFill="1" applyBorder="1" applyAlignment="1" applyProtection="1">
      <alignment horizontal="center" vertical="center" wrapText="1"/>
      <protection locked="0"/>
    </xf>
    <xf numFmtId="171" fontId="4" fillId="5" borderId="2" xfId="1" applyNumberFormat="1" applyFont="1" applyFill="1" applyBorder="1" applyAlignment="1" applyProtection="1">
      <alignment horizontal="center" vertical="center"/>
      <protection locked="0"/>
    </xf>
    <xf numFmtId="9" fontId="4" fillId="5" borderId="2" xfId="0" applyNumberFormat="1" applyFont="1" applyFill="1" applyBorder="1" applyAlignment="1" applyProtection="1">
      <alignment horizontal="center" vertical="center"/>
      <protection locked="0"/>
    </xf>
    <xf numFmtId="41" fontId="4" fillId="5" borderId="2" xfId="2" applyFont="1" applyFill="1" applyBorder="1" applyAlignment="1" applyProtection="1">
      <alignment horizontal="center" vertical="center"/>
      <protection locked="0"/>
    </xf>
    <xf numFmtId="0" fontId="2" fillId="14" borderId="2" xfId="0" applyFont="1" applyFill="1" applyBorder="1" applyAlignment="1" applyProtection="1">
      <alignment horizontal="left"/>
      <protection locked="0"/>
    </xf>
    <xf numFmtId="171" fontId="2" fillId="14" borderId="2" xfId="1" applyNumberFormat="1" applyFont="1" applyFill="1" applyBorder="1" applyProtection="1">
      <protection locked="0"/>
    </xf>
    <xf numFmtId="0" fontId="2" fillId="14" borderId="2" xfId="0" applyFont="1" applyFill="1" applyBorder="1" applyAlignment="1" applyProtection="1">
      <alignment horizontal="center"/>
      <protection locked="0"/>
    </xf>
    <xf numFmtId="0" fontId="2" fillId="14" borderId="2" xfId="0" applyFont="1" applyFill="1" applyBorder="1" applyAlignment="1" applyProtection="1">
      <alignment horizontal="left" vertical="top"/>
      <protection locked="0"/>
    </xf>
    <xf numFmtId="169" fontId="2" fillId="14" borderId="2" xfId="0" applyNumberFormat="1" applyFont="1" applyFill="1" applyBorder="1" applyAlignment="1" applyProtection="1">
      <alignment horizontal="left"/>
      <protection locked="0"/>
    </xf>
    <xf numFmtId="0" fontId="9" fillId="15" borderId="2" xfId="0" applyFont="1" applyFill="1" applyBorder="1" applyAlignment="1">
      <alignment horizontal="left" vertical="center" wrapText="1"/>
    </xf>
    <xf numFmtId="0" fontId="9" fillId="15" borderId="1" xfId="0" applyFont="1" applyFill="1" applyBorder="1" applyAlignment="1">
      <alignment horizontal="left" vertical="center" wrapText="1"/>
    </xf>
    <xf numFmtId="171" fontId="10" fillId="0" borderId="0" xfId="1" applyNumberFormat="1" applyFont="1" applyFill="1" applyBorder="1" applyAlignment="1" applyProtection="1"/>
    <xf numFmtId="0" fontId="0" fillId="0" borderId="0" xfId="0" applyAlignment="1">
      <alignment horizontal="left"/>
    </xf>
    <xf numFmtId="0" fontId="0" fillId="0" borderId="2" xfId="0" applyBorder="1"/>
    <xf numFmtId="14" fontId="0" fillId="0" borderId="2" xfId="0" applyNumberFormat="1" applyBorder="1"/>
    <xf numFmtId="0" fontId="15" fillId="0" borderId="0" xfId="8" applyFont="1"/>
    <xf numFmtId="0" fontId="15" fillId="0" borderId="0" xfId="8" applyFont="1" applyAlignment="1">
      <alignment vertical="center"/>
    </xf>
    <xf numFmtId="0" fontId="16" fillId="0" borderId="0" xfId="8" applyFont="1"/>
    <xf numFmtId="168" fontId="15" fillId="0" borderId="0" xfId="8" applyNumberFormat="1" applyFont="1"/>
    <xf numFmtId="174" fontId="16" fillId="18" borderId="7" xfId="9" applyFont="1" applyFill="1" applyBorder="1" applyAlignment="1">
      <alignment horizontal="right"/>
    </xf>
    <xf numFmtId="170" fontId="16" fillId="16" borderId="11" xfId="6" applyNumberFormat="1" applyFont="1" applyFill="1" applyBorder="1" applyAlignment="1">
      <alignment horizontal="right"/>
    </xf>
    <xf numFmtId="175" fontId="16" fillId="16" borderId="15" xfId="8" applyNumberFormat="1" applyFont="1" applyFill="1" applyBorder="1" applyAlignment="1">
      <alignment horizontal="center" vertical="center"/>
    </xf>
    <xf numFmtId="0" fontId="16" fillId="16" borderId="9" xfId="8" applyFont="1" applyFill="1" applyBorder="1" applyAlignment="1">
      <alignment vertical="top" wrapText="1"/>
    </xf>
    <xf numFmtId="176" fontId="16" fillId="16" borderId="16" xfId="9" applyNumberFormat="1" applyFont="1" applyFill="1" applyBorder="1"/>
    <xf numFmtId="175" fontId="16" fillId="16" borderId="19" xfId="8" applyNumberFormat="1" applyFont="1" applyFill="1" applyBorder="1" applyAlignment="1">
      <alignment horizontal="right"/>
    </xf>
    <xf numFmtId="175" fontId="16" fillId="16" borderId="22" xfId="8" applyNumberFormat="1" applyFont="1" applyFill="1" applyBorder="1" applyAlignment="1">
      <alignment horizontal="center" vertical="center"/>
    </xf>
    <xf numFmtId="0" fontId="16" fillId="16" borderId="17" xfId="8" applyFont="1" applyFill="1" applyBorder="1" applyAlignment="1">
      <alignment vertical="top" wrapText="1"/>
    </xf>
    <xf numFmtId="176" fontId="15" fillId="16" borderId="19" xfId="9" applyNumberFormat="1" applyFont="1" applyFill="1" applyBorder="1"/>
    <xf numFmtId="177" fontId="16" fillId="16" borderId="25" xfId="8" applyNumberFormat="1" applyFont="1" applyFill="1" applyBorder="1" applyAlignment="1">
      <alignment horizontal="right"/>
    </xf>
    <xf numFmtId="175" fontId="16" fillId="16" borderId="29" xfId="8" applyNumberFormat="1" applyFont="1" applyFill="1" applyBorder="1" applyAlignment="1">
      <alignment horizontal="center" vertical="center"/>
    </xf>
    <xf numFmtId="9" fontId="15" fillId="0" borderId="0" xfId="5" applyFont="1"/>
    <xf numFmtId="0" fontId="16" fillId="0" borderId="0" xfId="8" applyFont="1" applyAlignment="1">
      <alignment vertical="center" wrapText="1"/>
    </xf>
    <xf numFmtId="178" fontId="16" fillId="0" borderId="0" xfId="8" applyNumberFormat="1" applyFont="1" applyAlignment="1">
      <alignment horizontal="center" vertical="center"/>
    </xf>
    <xf numFmtId="0" fontId="16" fillId="0" borderId="30" xfId="8" applyFont="1" applyBorder="1" applyAlignment="1">
      <alignment horizontal="center"/>
    </xf>
    <xf numFmtId="0" fontId="16" fillId="16" borderId="23" xfId="8" applyFont="1" applyFill="1" applyBorder="1" applyAlignment="1">
      <alignment vertical="top" wrapText="1"/>
    </xf>
    <xf numFmtId="0" fontId="15" fillId="16" borderId="31" xfId="8" applyFont="1" applyFill="1" applyBorder="1"/>
    <xf numFmtId="0" fontId="16" fillId="0" borderId="31" xfId="8" applyFont="1" applyBorder="1" applyAlignment="1">
      <alignment horizontal="center"/>
    </xf>
    <xf numFmtId="174" fontId="16" fillId="12" borderId="0" xfId="9" applyFont="1" applyFill="1"/>
    <xf numFmtId="0" fontId="16" fillId="16" borderId="2" xfId="8" applyFont="1" applyFill="1" applyBorder="1"/>
    <xf numFmtId="0" fontId="15" fillId="0" borderId="2" xfId="8" applyFont="1" applyBorder="1" applyAlignment="1">
      <alignment horizontal="center"/>
    </xf>
    <xf numFmtId="177" fontId="15" fillId="0" borderId="2" xfId="8" applyNumberFormat="1" applyFont="1" applyBorder="1"/>
    <xf numFmtId="176" fontId="17" fillId="0" borderId="2" xfId="9" applyNumberFormat="1" applyFont="1" applyBorder="1"/>
    <xf numFmtId="0" fontId="15" fillId="0" borderId="2" xfId="8" applyFont="1" applyBorder="1"/>
    <xf numFmtId="0" fontId="16" fillId="0" borderId="2" xfId="8" applyFont="1" applyBorder="1" applyAlignment="1">
      <alignment vertical="top" wrapText="1"/>
    </xf>
    <xf numFmtId="2" fontId="2" fillId="8" borderId="2" xfId="0" applyNumberFormat="1" applyFont="1" applyFill="1" applyBorder="1" applyAlignment="1">
      <alignment horizontal="center" vertical="center" wrapText="1"/>
    </xf>
    <xf numFmtId="14" fontId="2" fillId="8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2" fillId="8" borderId="2" xfId="3" applyNumberFormat="1" applyFont="1" applyFill="1" applyBorder="1" applyAlignment="1">
      <alignment horizontal="left" vertical="center" wrapText="1"/>
    </xf>
    <xf numFmtId="1" fontId="2" fillId="8" borderId="2" xfId="3" applyNumberFormat="1" applyFont="1" applyFill="1" applyBorder="1" applyAlignment="1">
      <alignment horizontal="center" vertical="center" wrapText="1"/>
    </xf>
    <xf numFmtId="169" fontId="2" fillId="8" borderId="2" xfId="3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165" fontId="2" fillId="8" borderId="2" xfId="3" applyFont="1" applyFill="1" applyBorder="1" applyAlignment="1">
      <alignment horizontal="center" vertical="center" wrapText="1"/>
    </xf>
    <xf numFmtId="41" fontId="2" fillId="8" borderId="2" xfId="2" applyFont="1" applyFill="1" applyBorder="1" applyAlignment="1">
      <alignment horizontal="center" vertical="center" wrapText="1"/>
    </xf>
    <xf numFmtId="170" fontId="2" fillId="9" borderId="2" xfId="3" applyNumberFormat="1" applyFont="1" applyFill="1" applyBorder="1" applyAlignment="1">
      <alignment horizontal="center" vertical="center" wrapText="1"/>
    </xf>
    <xf numFmtId="14" fontId="2" fillId="9" borderId="2" xfId="0" applyNumberFormat="1" applyFont="1" applyFill="1" applyBorder="1" applyAlignment="1">
      <alignment horizontal="center" vertical="center" wrapText="1"/>
    </xf>
    <xf numFmtId="164" fontId="2" fillId="9" borderId="2" xfId="4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11" borderId="2" xfId="0" applyFont="1" applyFill="1" applyBorder="1" applyAlignment="1">
      <alignment horizontal="right" vertical="center" wrapText="1"/>
    </xf>
    <xf numFmtId="173" fontId="2" fillId="12" borderId="2" xfId="3" applyNumberFormat="1" applyFont="1" applyFill="1" applyBorder="1" applyAlignment="1">
      <alignment horizontal="center" vertical="center" wrapText="1"/>
    </xf>
    <xf numFmtId="173" fontId="2" fillId="13" borderId="2" xfId="3" applyNumberFormat="1" applyFont="1" applyFill="1" applyBorder="1" applyAlignment="1">
      <alignment horizontal="center" vertical="center" wrapText="1"/>
    </xf>
    <xf numFmtId="173" fontId="0" fillId="0" borderId="0" xfId="3" applyNumberFormat="1" applyFont="1"/>
    <xf numFmtId="0" fontId="0" fillId="0" borderId="2" xfId="0" applyFill="1" applyBorder="1"/>
    <xf numFmtId="0" fontId="2" fillId="14" borderId="2" xfId="0" applyFont="1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173" fontId="2" fillId="8" borderId="2" xfId="3" applyNumberFormat="1" applyFont="1" applyFill="1" applyBorder="1" applyAlignment="1">
      <alignment horizontal="center" vertical="center" wrapText="1"/>
    </xf>
    <xf numFmtId="0" fontId="0" fillId="9" borderId="2" xfId="0" applyFill="1" applyBorder="1"/>
    <xf numFmtId="0" fontId="2" fillId="14" borderId="0" xfId="0" applyFont="1" applyFill="1" applyBorder="1" applyProtection="1">
      <protection locked="0"/>
    </xf>
    <xf numFmtId="0" fontId="12" fillId="0" borderId="0" xfId="0" applyFont="1" applyFill="1"/>
    <xf numFmtId="41" fontId="0" fillId="0" borderId="2" xfId="2" applyFont="1" applyFill="1" applyBorder="1"/>
    <xf numFmtId="0" fontId="19" fillId="19" borderId="3" xfId="0" applyFont="1" applyFill="1" applyBorder="1" applyAlignment="1">
      <alignment horizontal="center" vertical="center" wrapText="1"/>
    </xf>
    <xf numFmtId="14" fontId="19" fillId="19" borderId="3" xfId="0" applyNumberFormat="1" applyFont="1" applyFill="1" applyBorder="1" applyAlignment="1">
      <alignment horizontal="center" vertical="center" wrapText="1"/>
    </xf>
    <xf numFmtId="41" fontId="19" fillId="19" borderId="3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41" fontId="0" fillId="0" borderId="0" xfId="2" applyFont="1" applyFill="1" applyBorder="1" applyAlignment="1"/>
    <xf numFmtId="173" fontId="2" fillId="8" borderId="3" xfId="3" applyNumberFormat="1" applyFont="1" applyFill="1" applyBorder="1" applyAlignment="1">
      <alignment horizontal="center" vertical="center" wrapText="1"/>
    </xf>
    <xf numFmtId="173" fontId="12" fillId="0" borderId="0" xfId="3" applyNumberFormat="1" applyFont="1" applyFill="1"/>
    <xf numFmtId="0" fontId="12" fillId="0" borderId="0" xfId="0" applyFont="1" applyFill="1" applyAlignment="1">
      <alignment horizontal="left"/>
    </xf>
    <xf numFmtId="0" fontId="2" fillId="8" borderId="2" xfId="0" applyFont="1" applyFill="1" applyBorder="1" applyAlignment="1">
      <alignment horizontal="right" vertical="center" wrapText="1"/>
    </xf>
    <xf numFmtId="14" fontId="0" fillId="0" borderId="0" xfId="0" applyNumberFormat="1"/>
    <xf numFmtId="0" fontId="19" fillId="19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0" borderId="2" xfId="0" applyFill="1" applyBorder="1"/>
    <xf numFmtId="14" fontId="0" fillId="20" borderId="2" xfId="0" applyNumberFormat="1" applyFill="1" applyBorder="1"/>
    <xf numFmtId="41" fontId="0" fillId="20" borderId="2" xfId="2" applyFont="1" applyFill="1" applyBorder="1"/>
    <xf numFmtId="0" fontId="19" fillId="20" borderId="2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41" fontId="0" fillId="0" borderId="0" xfId="2" applyFo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" fontId="0" fillId="0" borderId="2" xfId="0" applyNumberFormat="1" applyBorder="1" applyAlignment="1">
      <alignment horizontal="right"/>
    </xf>
    <xf numFmtId="173" fontId="15" fillId="0" borderId="2" xfId="3" applyNumberFormat="1" applyFont="1" applyBorder="1"/>
    <xf numFmtId="0" fontId="0" fillId="20" borderId="3" xfId="0" applyFill="1" applyBorder="1"/>
    <xf numFmtId="14" fontId="0" fillId="20" borderId="3" xfId="0" applyNumberFormat="1" applyFill="1" applyBorder="1"/>
    <xf numFmtId="41" fontId="0" fillId="20" borderId="3" xfId="2" applyFont="1" applyFill="1" applyBorder="1"/>
    <xf numFmtId="0" fontId="19" fillId="20" borderId="3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14" fontId="0" fillId="9" borderId="2" xfId="0" applyNumberFormat="1" applyFill="1" applyBorder="1"/>
    <xf numFmtId="41" fontId="0" fillId="9" borderId="2" xfId="2" applyFont="1" applyFill="1" applyBorder="1"/>
    <xf numFmtId="0" fontId="19" fillId="9" borderId="2" xfId="0" applyFont="1" applyFill="1" applyBorder="1" applyAlignment="1">
      <alignment horizontal="center"/>
    </xf>
    <xf numFmtId="14" fontId="0" fillId="0" borderId="32" xfId="0" applyNumberFormat="1" applyBorder="1"/>
    <xf numFmtId="0" fontId="9" fillId="15" borderId="2" xfId="0" applyFont="1" applyFill="1" applyBorder="1" applyAlignment="1">
      <alignment horizontal="right" vertical="center" wrapText="1"/>
    </xf>
    <xf numFmtId="0" fontId="13" fillId="0" borderId="2" xfId="0" applyFont="1" applyBorder="1" applyAlignment="1">
      <alignment horizontal="center"/>
    </xf>
    <xf numFmtId="0" fontId="0" fillId="0" borderId="0" xfId="0" applyBorder="1"/>
    <xf numFmtId="0" fontId="12" fillId="0" borderId="0" xfId="0" applyFont="1"/>
    <xf numFmtId="0" fontId="12" fillId="0" borderId="2" xfId="0" applyFont="1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12" fillId="0" borderId="0" xfId="0" applyFont="1" applyBorder="1"/>
    <xf numFmtId="14" fontId="0" fillId="0" borderId="0" xfId="0" applyNumberForma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73" fontId="12" fillId="0" borderId="0" xfId="3" applyNumberFormat="1" applyFont="1" applyFill="1" applyBorder="1"/>
    <xf numFmtId="0" fontId="0" fillId="0" borderId="0" xfId="0" applyFont="1" applyFill="1" applyBorder="1" applyAlignment="1" applyProtection="1">
      <alignment horizontal="center"/>
      <protection locked="0"/>
    </xf>
    <xf numFmtId="14" fontId="0" fillId="0" borderId="0" xfId="0" applyNumberFormat="1" applyFill="1" applyBorder="1" applyAlignment="1">
      <alignment horizontal="center"/>
    </xf>
    <xf numFmtId="173" fontId="0" fillId="0" borderId="0" xfId="0" applyNumberFormat="1" applyFill="1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right"/>
    </xf>
    <xf numFmtId="171" fontId="2" fillId="14" borderId="2" xfId="1" applyNumberFormat="1" applyFont="1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173" fontId="0" fillId="0" borderId="0" xfId="3" applyNumberFormat="1" applyFont="1" applyBorder="1"/>
    <xf numFmtId="0" fontId="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73" fontId="0" fillId="0" borderId="0" xfId="3" applyNumberFormat="1" applyFont="1" applyFill="1" applyBorder="1"/>
    <xf numFmtId="0" fontId="0" fillId="0" borderId="0" xfId="0" applyFont="1" applyFill="1" applyBorder="1" applyAlignment="1">
      <alignment horizontal="center"/>
    </xf>
    <xf numFmtId="14" fontId="0" fillId="0" borderId="0" xfId="0" applyNumberFormat="1" applyBorder="1"/>
    <xf numFmtId="0" fontId="0" fillId="20" borderId="0" xfId="0" applyFill="1" applyBorder="1" applyAlignment="1">
      <alignment wrapText="1"/>
    </xf>
    <xf numFmtId="169" fontId="2" fillId="8" borderId="2" xfId="3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3" fontId="0" fillId="0" borderId="0" xfId="3" applyNumberFormat="1" applyFont="1" applyFill="1"/>
    <xf numFmtId="0" fontId="4" fillId="5" borderId="34" xfId="0" applyFont="1" applyFill="1" applyBorder="1" applyAlignment="1" applyProtection="1">
      <alignment horizontal="center" vertical="center" wrapText="1"/>
      <protection locked="0"/>
    </xf>
    <xf numFmtId="0" fontId="2" fillId="14" borderId="34" xfId="0" applyFont="1" applyFill="1" applyBorder="1" applyProtection="1">
      <protection locked="0"/>
    </xf>
    <xf numFmtId="0" fontId="4" fillId="5" borderId="33" xfId="0" applyFont="1" applyFill="1" applyBorder="1" applyAlignment="1" applyProtection="1">
      <alignment horizontal="center" vertical="center" wrapText="1"/>
      <protection locked="0"/>
    </xf>
    <xf numFmtId="0" fontId="2" fillId="14" borderId="33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8" fontId="0" fillId="0" borderId="0" xfId="0" applyNumberFormat="1" applyFill="1"/>
    <xf numFmtId="0" fontId="0" fillId="0" borderId="0" xfId="0" applyBorder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wrapText="1"/>
    </xf>
    <xf numFmtId="0" fontId="0" fillId="17" borderId="13" xfId="0" applyFill="1" applyBorder="1" applyAlignment="1">
      <alignment horizontal="center"/>
    </xf>
    <xf numFmtId="164" fontId="2" fillId="9" borderId="1" xfId="4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Border="1" applyAlignment="1">
      <alignment horizontal="left" wrapText="1"/>
    </xf>
    <xf numFmtId="0" fontId="21" fillId="0" borderId="3" xfId="0" applyFont="1" applyBorder="1" applyAlignment="1">
      <alignment horizontal="left" vertical="center" wrapText="1"/>
    </xf>
    <xf numFmtId="14" fontId="0" fillId="0" borderId="0" xfId="0" applyNumberFormat="1" applyFill="1" applyBorder="1" applyAlignment="1"/>
    <xf numFmtId="0" fontId="12" fillId="0" borderId="0" xfId="0" applyFont="1" applyFill="1" applyBorder="1" applyAlignment="1"/>
    <xf numFmtId="173" fontId="0" fillId="0" borderId="0" xfId="3" applyNumberFormat="1" applyFont="1" applyFill="1" applyBorder="1" applyAlignment="1"/>
    <xf numFmtId="0" fontId="2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2" fillId="20" borderId="3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4" fillId="0" borderId="2" xfId="0" applyFont="1" applyBorder="1"/>
    <xf numFmtId="0" fontId="0" fillId="9" borderId="2" xfId="0" applyFill="1" applyBorder="1" applyAlignment="1">
      <alignment horizontal="center"/>
    </xf>
    <xf numFmtId="0" fontId="12" fillId="0" borderId="2" xfId="0" applyFont="1" applyBorder="1"/>
    <xf numFmtId="14" fontId="0" fillId="6" borderId="2" xfId="0" applyNumberFormat="1" applyFill="1" applyBorder="1"/>
    <xf numFmtId="1" fontId="27" fillId="6" borderId="2" xfId="0" applyNumberFormat="1" applyFont="1" applyFill="1" applyBorder="1" applyAlignment="1">
      <alignment horizontal="center" vertical="center" wrapText="1"/>
    </xf>
    <xf numFmtId="14" fontId="27" fillId="6" borderId="2" xfId="0" applyNumberFormat="1" applyFont="1" applyFill="1" applyBorder="1" applyAlignment="1">
      <alignment horizontal="center" vertical="center" wrapText="1"/>
    </xf>
    <xf numFmtId="1" fontId="12" fillId="6" borderId="2" xfId="0" applyNumberFormat="1" applyFont="1" applyFill="1" applyBorder="1" applyAlignment="1">
      <alignment horizontal="center" vertical="center"/>
    </xf>
    <xf numFmtId="1" fontId="29" fillId="6" borderId="2" xfId="0" applyNumberFormat="1" applyFont="1" applyFill="1" applyBorder="1" applyAlignment="1">
      <alignment horizontal="center" vertical="center" wrapText="1"/>
    </xf>
    <xf numFmtId="1" fontId="30" fillId="6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32" fillId="0" borderId="2" xfId="0" applyFont="1" applyBorder="1"/>
    <xf numFmtId="0" fontId="33" fillId="0" borderId="2" xfId="0" applyFont="1" applyBorder="1"/>
    <xf numFmtId="0" fontId="30" fillId="0" borderId="2" xfId="0" applyFont="1" applyBorder="1"/>
    <xf numFmtId="14" fontId="12" fillId="0" borderId="2" xfId="0" applyNumberFormat="1" applyFont="1" applyBorder="1"/>
    <xf numFmtId="1" fontId="12" fillId="0" borderId="2" xfId="0" applyNumberFormat="1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14" fontId="34" fillId="0" borderId="2" xfId="0" applyNumberFormat="1" applyFont="1" applyBorder="1" applyAlignment="1">
      <alignment horizontal="center" vertical="center" wrapText="1"/>
    </xf>
    <xf numFmtId="14" fontId="27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 wrapText="1"/>
    </xf>
    <xf numFmtId="1" fontId="29" fillId="0" borderId="2" xfId="0" applyNumberFormat="1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/>
    <xf numFmtId="0" fontId="36" fillId="0" borderId="2" xfId="0" applyFont="1" applyBorder="1"/>
    <xf numFmtId="14" fontId="0" fillId="0" borderId="2" xfId="0" applyNumberFormat="1" applyBorder="1" applyAlignment="1">
      <alignment horizontal="right"/>
    </xf>
    <xf numFmtId="14" fontId="0" fillId="0" borderId="2" xfId="0" applyNumberFormat="1" applyBorder="1" applyAlignment="1">
      <alignment horizontal="center"/>
    </xf>
    <xf numFmtId="1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/>
    <xf numFmtId="0" fontId="27" fillId="0" borderId="2" xfId="0" applyFont="1" applyBorder="1" applyAlignment="1">
      <alignment horizontal="right"/>
    </xf>
    <xf numFmtId="0" fontId="12" fillId="0" borderId="0" xfId="0" applyFont="1" applyAlignment="1">
      <alignment horizontal="center"/>
    </xf>
    <xf numFmtId="14" fontId="28" fillId="0" borderId="2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/>
    </xf>
    <xf numFmtId="14" fontId="27" fillId="0" borderId="2" xfId="0" applyNumberFormat="1" applyFont="1" applyBorder="1"/>
    <xf numFmtId="14" fontId="12" fillId="0" borderId="2" xfId="0" applyNumberFormat="1" applyFont="1" applyBorder="1" applyAlignment="1">
      <alignment horizontal="right"/>
    </xf>
    <xf numFmtId="0" fontId="19" fillId="0" borderId="0" xfId="0" applyFon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79" fontId="0" fillId="0" borderId="0" xfId="0" applyNumberFormat="1" applyFill="1"/>
    <xf numFmtId="1" fontId="0" fillId="0" borderId="0" xfId="0" applyNumberFormat="1" applyFill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right"/>
    </xf>
    <xf numFmtId="0" fontId="12" fillId="0" borderId="0" xfId="0" applyFont="1" applyFill="1"/>
    <xf numFmtId="0" fontId="0" fillId="0" borderId="2" xfId="0" applyBorder="1" applyAlignment="1">
      <alignment horizontal="right"/>
    </xf>
    <xf numFmtId="0" fontId="10" fillId="0" borderId="0" xfId="0" applyFont="1" applyAlignment="1">
      <alignment horizontal="right" vertical="top"/>
    </xf>
    <xf numFmtId="0" fontId="5" fillId="0" borderId="0" xfId="0" applyFont="1"/>
    <xf numFmtId="0" fontId="2" fillId="0" borderId="0" xfId="0" applyFont="1"/>
    <xf numFmtId="2" fontId="0" fillId="0" borderId="2" xfId="0" applyNumberForma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6" fillId="0" borderId="0" xfId="0" applyFont="1"/>
    <xf numFmtId="14" fontId="0" fillId="0" borderId="0" xfId="0" applyNumberFormat="1" applyAlignment="1">
      <alignment horizontal="right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" fillId="0" borderId="0" xfId="0" applyFont="1"/>
    <xf numFmtId="2" fontId="5" fillId="0" borderId="0" xfId="0" applyNumberFormat="1" applyFont="1" applyAlignment="1">
      <alignment horizontal="center"/>
    </xf>
    <xf numFmtId="0" fontId="43" fillId="0" borderId="0" xfId="0" applyFont="1"/>
    <xf numFmtId="0" fontId="4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" fontId="30" fillId="0" borderId="0" xfId="0" applyNumberFormat="1" applyFont="1" applyAlignment="1">
      <alignment horizontal="right" vertical="center" wrapText="1"/>
    </xf>
    <xf numFmtId="0" fontId="47" fillId="0" borderId="2" xfId="0" applyFont="1" applyBorder="1" applyAlignment="1">
      <alignment horizontal="center" vertical="center" wrapText="1"/>
    </xf>
    <xf numFmtId="18" fontId="0" fillId="0" borderId="0" xfId="0" applyNumberFormat="1" applyAlignment="1">
      <alignment horizontal="left"/>
    </xf>
    <xf numFmtId="173" fontId="0" fillId="0" borderId="0" xfId="0" applyNumberFormat="1" applyFill="1"/>
    <xf numFmtId="0" fontId="0" fillId="0" borderId="0" xfId="0" applyFill="1"/>
    <xf numFmtId="41" fontId="30" fillId="9" borderId="2" xfId="261" applyFont="1" applyFill="1" applyBorder="1" applyAlignment="1">
      <alignment horizontal="center" vertical="center" wrapText="1"/>
    </xf>
    <xf numFmtId="170" fontId="30" fillId="9" borderId="2" xfId="3" applyNumberFormat="1" applyFont="1" applyFill="1" applyBorder="1" applyAlignment="1">
      <alignment horizontal="center" vertical="center" wrapText="1"/>
    </xf>
    <xf numFmtId="14" fontId="30" fillId="9" borderId="2" xfId="0" applyNumberFormat="1" applyFont="1" applyFill="1" applyBorder="1" applyAlignment="1">
      <alignment horizontal="center" vertical="center" wrapText="1"/>
    </xf>
    <xf numFmtId="164" fontId="30" fillId="9" borderId="2" xfId="4" applyFont="1" applyFill="1" applyBorder="1" applyAlignment="1">
      <alignment horizontal="center" vertical="center" wrapText="1"/>
    </xf>
    <xf numFmtId="2" fontId="30" fillId="8" borderId="2" xfId="0" applyNumberFormat="1" applyFont="1" applyFill="1" applyBorder="1" applyAlignment="1">
      <alignment horizontal="center" vertical="center" wrapText="1"/>
    </xf>
    <xf numFmtId="14" fontId="30" fillId="8" borderId="2" xfId="0" applyNumberFormat="1" applyFont="1" applyFill="1" applyBorder="1" applyAlignment="1">
      <alignment horizontal="center" vertical="center" wrapText="1"/>
    </xf>
    <xf numFmtId="0" fontId="30" fillId="5" borderId="2" xfId="0" applyFont="1" applyFill="1" applyBorder="1" applyAlignment="1">
      <alignment horizontal="center" vertical="center" wrapText="1"/>
    </xf>
    <xf numFmtId="1" fontId="30" fillId="8" borderId="2" xfId="3" applyNumberFormat="1" applyFont="1" applyFill="1" applyBorder="1" applyAlignment="1">
      <alignment horizontal="center" vertical="center" wrapText="1"/>
    </xf>
    <xf numFmtId="169" fontId="30" fillId="8" borderId="2" xfId="3" applyNumberFormat="1" applyFont="1" applyFill="1" applyBorder="1" applyAlignment="1">
      <alignment horizontal="center" vertical="center" wrapText="1"/>
    </xf>
    <xf numFmtId="0" fontId="30" fillId="9" borderId="2" xfId="0" applyFont="1" applyFill="1" applyBorder="1" applyAlignment="1" applyProtection="1">
      <alignment horizontal="center" vertical="center" wrapText="1"/>
      <protection locked="0"/>
    </xf>
    <xf numFmtId="165" fontId="30" fillId="8" borderId="2" xfId="3" applyFont="1" applyFill="1" applyBorder="1" applyAlignment="1">
      <alignment horizontal="center" vertical="center" wrapText="1"/>
    </xf>
    <xf numFmtId="41" fontId="30" fillId="8" borderId="2" xfId="261" applyFont="1" applyFill="1" applyBorder="1" applyAlignment="1">
      <alignment horizontal="center" vertical="center" wrapText="1"/>
    </xf>
    <xf numFmtId="171" fontId="30" fillId="8" borderId="2" xfId="260" applyNumberFormat="1" applyFont="1" applyFill="1" applyBorder="1" applyAlignment="1">
      <alignment horizontal="center" vertical="center" wrapText="1"/>
    </xf>
    <xf numFmtId="171" fontId="30" fillId="12" borderId="2" xfId="260" applyNumberFormat="1" applyFont="1" applyFill="1" applyBorder="1" applyAlignment="1">
      <alignment horizontal="center" vertical="center" wrapText="1"/>
    </xf>
    <xf numFmtId="1" fontId="30" fillId="13" borderId="2" xfId="261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30" fillId="9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169" fontId="30" fillId="16" borderId="2" xfId="0" applyNumberFormat="1" applyFont="1" applyFill="1" applyBorder="1" applyAlignment="1">
      <alignment horizontal="center" vertical="center" wrapText="1"/>
    </xf>
    <xf numFmtId="0" fontId="30" fillId="16" borderId="2" xfId="0" applyFont="1" applyFill="1" applyBorder="1" applyAlignment="1">
      <alignment horizontal="center" vertical="center" wrapText="1"/>
    </xf>
    <xf numFmtId="0" fontId="30" fillId="17" borderId="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6" fillId="0" borderId="2" xfId="133" applyFont="1" applyFill="1" applyBorder="1"/>
    <xf numFmtId="0" fontId="12" fillId="0" borderId="2" xfId="133" applyFont="1" applyFill="1" applyBorder="1" applyAlignment="1">
      <alignment horizontal="center"/>
    </xf>
    <xf numFmtId="0" fontId="31" fillId="0" borderId="2" xfId="133" applyFont="1" applyFill="1" applyBorder="1"/>
    <xf numFmtId="0" fontId="25" fillId="0" borderId="2" xfId="133" applyFill="1" applyBorder="1"/>
    <xf numFmtId="0" fontId="35" fillId="0" borderId="2" xfId="0" applyFont="1" applyBorder="1" applyAlignment="1">
      <alignment horizontal="center"/>
    </xf>
    <xf numFmtId="0" fontId="19" fillId="16" borderId="2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textRotation="90" wrapText="1"/>
    </xf>
    <xf numFmtId="0" fontId="48" fillId="8" borderId="2" xfId="0" applyFont="1" applyFill="1" applyBorder="1" applyAlignment="1">
      <alignment horizontal="center" vertical="center" textRotation="90" wrapText="1"/>
    </xf>
    <xf numFmtId="0" fontId="48" fillId="21" borderId="2" xfId="0" applyFont="1" applyFill="1" applyBorder="1" applyAlignment="1">
      <alignment horizontal="center" vertical="center" textRotation="90" wrapText="1"/>
    </xf>
    <xf numFmtId="1" fontId="19" fillId="0" borderId="2" xfId="0" applyNumberFormat="1" applyFont="1" applyBorder="1" applyAlignment="1">
      <alignment horizontal="center" vertical="center" wrapText="1"/>
    </xf>
    <xf numFmtId="14" fontId="0" fillId="0" borderId="0" xfId="0" applyNumberFormat="1" applyFill="1"/>
    <xf numFmtId="0" fontId="12" fillId="0" borderId="0" xfId="0" applyFont="1" applyFill="1" applyAlignment="1">
      <alignment horizontal="right"/>
    </xf>
    <xf numFmtId="14" fontId="0" fillId="0" borderId="2" xfId="0" applyNumberFormat="1" applyFill="1" applyBorder="1"/>
    <xf numFmtId="1" fontId="0" fillId="0" borderId="2" xfId="0" applyNumberFormat="1" applyFill="1" applyBorder="1"/>
    <xf numFmtId="14" fontId="30" fillId="8" borderId="34" xfId="0" applyNumberFormat="1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1" fontId="40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9" fillId="22" borderId="0" xfId="0" applyFont="1" applyFill="1" applyAlignment="1">
      <alignment horizontal="center" vertical="center" wrapText="1"/>
    </xf>
    <xf numFmtId="1" fontId="30" fillId="0" borderId="2" xfId="0" applyNumberFormat="1" applyFont="1" applyBorder="1" applyAlignment="1">
      <alignment horizontal="right" vertical="center" wrapText="1"/>
    </xf>
    <xf numFmtId="0" fontId="37" fillId="0" borderId="2" xfId="0" applyFont="1" applyBorder="1" applyAlignment="1">
      <alignment horizontal="right"/>
    </xf>
    <xf numFmtId="0" fontId="0" fillId="23" borderId="0" xfId="0" applyFill="1"/>
    <xf numFmtId="0" fontId="23" fillId="0" borderId="2" xfId="0" applyFont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right"/>
    </xf>
    <xf numFmtId="0" fontId="19" fillId="0" borderId="18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45" fillId="0" borderId="35" xfId="0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9" borderId="2" xfId="0" applyFont="1" applyFill="1" applyBorder="1" applyAlignment="1">
      <alignment horizontal="center" vertical="center" wrapText="1"/>
    </xf>
    <xf numFmtId="0" fontId="45" fillId="9" borderId="13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right" vertical="center" wrapText="1"/>
    </xf>
    <xf numFmtId="0" fontId="45" fillId="0" borderId="13" xfId="0" applyFont="1" applyBorder="1" applyAlignment="1">
      <alignment horizontal="right" vertical="center" wrapText="1"/>
    </xf>
    <xf numFmtId="0" fontId="4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6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19" fillId="7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6" fillId="16" borderId="23" xfId="8" applyFont="1" applyFill="1" applyBorder="1" applyAlignment="1">
      <alignment horizontal="left"/>
    </xf>
    <xf numFmtId="0" fontId="16" fillId="16" borderId="24" xfId="8" applyFont="1" applyFill="1" applyBorder="1" applyAlignment="1">
      <alignment horizontal="left"/>
    </xf>
    <xf numFmtId="0" fontId="16" fillId="16" borderId="26" xfId="8" applyFont="1" applyFill="1" applyBorder="1" applyAlignment="1">
      <alignment horizontal="left" vertical="center" wrapText="1"/>
    </xf>
    <xf numFmtId="0" fontId="16" fillId="16" borderId="27" xfId="8" applyFont="1" applyFill="1" applyBorder="1" applyAlignment="1">
      <alignment horizontal="left" vertical="center" wrapText="1"/>
    </xf>
    <xf numFmtId="0" fontId="16" fillId="16" borderId="28" xfId="8" applyFont="1" applyFill="1" applyBorder="1" applyAlignment="1">
      <alignment horizontal="left" vertical="center" wrapText="1"/>
    </xf>
    <xf numFmtId="0" fontId="16" fillId="0" borderId="0" xfId="8" applyFont="1" applyAlignment="1">
      <alignment horizontal="left" vertical="top" wrapText="1"/>
    </xf>
    <xf numFmtId="0" fontId="16" fillId="16" borderId="2" xfId="8" applyFont="1" applyFill="1" applyBorder="1" applyAlignment="1">
      <alignment horizontal="center"/>
    </xf>
    <xf numFmtId="0" fontId="16" fillId="18" borderId="5" xfId="8" applyFont="1" applyFill="1" applyBorder="1"/>
    <xf numFmtId="0" fontId="16" fillId="18" borderId="6" xfId="8" applyFont="1" applyFill="1" applyBorder="1"/>
    <xf numFmtId="0" fontId="16" fillId="18" borderId="5" xfId="8" applyFont="1" applyFill="1" applyBorder="1" applyAlignment="1">
      <alignment horizontal="center" vertical="center"/>
    </xf>
    <xf numFmtId="0" fontId="16" fillId="18" borderId="6" xfId="8" applyFont="1" applyFill="1" applyBorder="1" applyAlignment="1">
      <alignment horizontal="center" vertical="center"/>
    </xf>
    <xf numFmtId="0" fontId="16" fillId="18" borderId="8" xfId="8" applyFont="1" applyFill="1" applyBorder="1" applyAlignment="1">
      <alignment horizontal="center" vertical="center"/>
    </xf>
    <xf numFmtId="0" fontId="16" fillId="18" borderId="5" xfId="8" applyFont="1" applyFill="1" applyBorder="1" applyAlignment="1">
      <alignment horizontal="center"/>
    </xf>
    <xf numFmtId="0" fontId="16" fillId="18" borderId="8" xfId="8" applyFont="1" applyFill="1" applyBorder="1" applyAlignment="1">
      <alignment horizontal="center"/>
    </xf>
    <xf numFmtId="0" fontId="16" fillId="16" borderId="9" xfId="8" applyFont="1" applyFill="1" applyBorder="1"/>
    <xf numFmtId="0" fontId="16" fillId="16" borderId="10" xfId="8" applyFont="1" applyFill="1" applyBorder="1"/>
    <xf numFmtId="0" fontId="16" fillId="16" borderId="12" xfId="8" applyFont="1" applyFill="1" applyBorder="1" applyAlignment="1">
      <alignment horizontal="left" vertical="center" wrapText="1"/>
    </xf>
    <xf numFmtId="0" fontId="16" fillId="16" borderId="13" xfId="8" applyFont="1" applyFill="1" applyBorder="1" applyAlignment="1">
      <alignment horizontal="left" vertical="center" wrapText="1"/>
    </xf>
    <xf numFmtId="0" fontId="16" fillId="16" borderId="14" xfId="8" applyFont="1" applyFill="1" applyBorder="1" applyAlignment="1">
      <alignment horizontal="left" vertical="center" wrapText="1"/>
    </xf>
    <xf numFmtId="0" fontId="16" fillId="16" borderId="17" xfId="8" applyFont="1" applyFill="1" applyBorder="1" applyAlignment="1">
      <alignment horizontal="left"/>
    </xf>
    <xf numFmtId="0" fontId="16" fillId="16" borderId="18" xfId="8" applyFont="1" applyFill="1" applyBorder="1" applyAlignment="1">
      <alignment horizontal="left"/>
    </xf>
    <xf numFmtId="0" fontId="16" fillId="16" borderId="20" xfId="8" applyFont="1" applyFill="1" applyBorder="1" applyAlignment="1">
      <alignment horizontal="left" vertical="center" wrapText="1"/>
    </xf>
    <xf numFmtId="0" fontId="16" fillId="16" borderId="2" xfId="8" applyFont="1" applyFill="1" applyBorder="1" applyAlignment="1">
      <alignment horizontal="left" vertical="center" wrapText="1"/>
    </xf>
    <xf numFmtId="0" fontId="16" fillId="16" borderId="21" xfId="8" applyFont="1" applyFill="1" applyBorder="1" applyAlignment="1">
      <alignment horizontal="left" vertical="center" wrapText="1"/>
    </xf>
    <xf numFmtId="0" fontId="15" fillId="0" borderId="0" xfId="8" applyFont="1" applyAlignment="1">
      <alignment horizontal="center" vertical="center"/>
    </xf>
    <xf numFmtId="0" fontId="15" fillId="0" borderId="4" xfId="8" applyFont="1" applyBorder="1" applyAlignment="1">
      <alignment horizontal="center" vertical="center"/>
    </xf>
  </cellXfs>
  <cellStyles count="445">
    <cellStyle name="Hipervínculo" xfId="133" builtinId="8"/>
    <cellStyle name="Millares" xfId="1" builtinId="3"/>
    <cellStyle name="Millares [0]" xfId="2" builtinId="6"/>
    <cellStyle name="Millares [0] 2" xfId="15" xr:uid="{A7496B62-E9DC-482F-97F3-B137B22C8630}"/>
    <cellStyle name="Millares [0] 2 2" xfId="47" xr:uid="{D2EFE60C-B80E-4399-9452-63AC51F1A50E}"/>
    <cellStyle name="Millares [0] 2 2 2" xfId="174" xr:uid="{51AFE4E0-5CC0-484A-8B85-F8C59FAD7D8C}"/>
    <cellStyle name="Millares [0] 2 2 2 2" xfId="385" xr:uid="{CDAD95B9-C1B8-4D1E-AF1D-8B060FD959B1}"/>
    <cellStyle name="Millares [0] 2 2 3" xfId="293" xr:uid="{476994B1-9675-4791-9A48-F542AAE001E2}"/>
    <cellStyle name="Millares [0] 2 3" xfId="105" xr:uid="{C1BE17EE-BD0C-4E99-B9C0-14C704FD0AD2}"/>
    <cellStyle name="Millares [0] 2 3 2" xfId="232" xr:uid="{B9BD65E1-C2D0-4666-B902-3BA545D8A95A}"/>
    <cellStyle name="Millares [0] 2 3 2 2" xfId="420" xr:uid="{22C73920-FBA4-4A8E-9E79-E25F2E688689}"/>
    <cellStyle name="Millares [0] 2 3 3" xfId="329" xr:uid="{EE147E2D-41FB-42A0-AA63-D6C4F7E009A5}"/>
    <cellStyle name="Millares [0] 2 4" xfId="143" xr:uid="{5385D13D-FC76-4A49-90D1-74DB62C83687}"/>
    <cellStyle name="Millares [0] 2 4 2" xfId="358" xr:uid="{6A8BAD70-3714-4FA9-BD06-D4AA40398D89}"/>
    <cellStyle name="Millares [0] 2 5" xfId="266" xr:uid="{4D4283BF-C4D1-462E-AB70-17B3EC9F40A8}"/>
    <cellStyle name="Millares [0] 3" xfId="23" xr:uid="{84634C73-597F-47C5-BB3A-DFE5DA62AC7B}"/>
    <cellStyle name="Millares [0] 3 2" xfId="56" xr:uid="{71A5BB9E-84EB-48DB-81AD-ECC52DD174A7}"/>
    <cellStyle name="Millares [0] 3 2 2" xfId="183" xr:uid="{DF64087C-DD30-4AC6-B5D6-F8D3DF87AE8C}"/>
    <cellStyle name="Millares [0] 3 2 2 2" xfId="392" xr:uid="{76A4870D-AECD-4582-9E68-D8CCFAFF1EAA}"/>
    <cellStyle name="Millares [0] 3 2 3" xfId="301" xr:uid="{108F3287-33B5-40F5-BED8-4DDB229BD336}"/>
    <cellStyle name="Millares [0] 3 3" xfId="112" xr:uid="{0620BF7D-5C57-4271-9503-1BB7C58E2FE5}"/>
    <cellStyle name="Millares [0] 3 3 2" xfId="239" xr:uid="{603E287C-5780-4A7C-B4E6-A14506C1203A}"/>
    <cellStyle name="Millares [0] 3 3 2 2" xfId="426" xr:uid="{72109C07-1A5F-4B4F-88AC-02C63459EB2E}"/>
    <cellStyle name="Millares [0] 3 3 3" xfId="335" xr:uid="{EEC95859-16F6-40AB-ABC2-FA5D9B3B9DCF}"/>
    <cellStyle name="Millares [0] 3 4" xfId="150" xr:uid="{B94E674E-8CAD-4214-BD16-3C28AAE3C606}"/>
    <cellStyle name="Millares [0] 3 4 2" xfId="364" xr:uid="{E0299300-D2FB-4E7A-8DEA-38B1B7C904EB}"/>
    <cellStyle name="Millares [0] 3 5" xfId="272" xr:uid="{9799E552-42A5-4D99-8C39-C668A9162F87}"/>
    <cellStyle name="Millares [0] 4" xfId="20" xr:uid="{231A702F-1CC7-4EC6-A48F-10AFECFEB0B2}"/>
    <cellStyle name="Millares [0] 4 2" xfId="109" xr:uid="{413F9B1F-7C74-4D48-9ADE-CC34AEFC5039}"/>
    <cellStyle name="Millares [0] 4 2 2" xfId="236" xr:uid="{23812C21-4026-4E17-96B0-E27EF8E71E6A}"/>
    <cellStyle name="Millares [0] 4 2 2 2" xfId="424" xr:uid="{DA03F9D2-03C0-436C-9AED-8D88F94462BE}"/>
    <cellStyle name="Millares [0] 4 2 3" xfId="333" xr:uid="{4F724E28-30FD-41DD-B7EF-18CE7F4DAE6B}"/>
    <cellStyle name="Millares [0] 4 3" xfId="147" xr:uid="{C0388FD0-3EF9-43AB-9441-D5397FCA7797}"/>
    <cellStyle name="Millares [0] 4 3 2" xfId="362" xr:uid="{8EBE21C4-F50C-4BFA-AC53-8725F3324354}"/>
    <cellStyle name="Millares [0] 4 4" xfId="270" xr:uid="{03BEE663-E466-467A-A00C-05A25916825D}"/>
    <cellStyle name="Millares [0] 5" xfId="53" xr:uid="{A9260DB4-5C10-4B7F-879E-716E586D6EFD}"/>
    <cellStyle name="Millares [0] 5 2" xfId="180" xr:uid="{0EC66B00-B8E5-4A87-A2C3-C46F73777914}"/>
    <cellStyle name="Millares [0] 5 2 2" xfId="390" xr:uid="{1412EA86-0923-4F3A-8384-3C637C1A19D5}"/>
    <cellStyle name="Millares [0] 5 3" xfId="298" xr:uid="{A063C919-F71B-4E8B-91F5-E231CF6F293F}"/>
    <cellStyle name="Millares [0] 6" xfId="97" xr:uid="{68576BF1-4216-4D17-A39C-8B59B71C626A}"/>
    <cellStyle name="Millares [0] 6 2" xfId="224" xr:uid="{8E2E161A-14E6-4A18-BA0C-C6304AFFBCF6}"/>
    <cellStyle name="Millares [0] 6 2 2" xfId="417" xr:uid="{F3392949-0608-4808-BA4C-3C203436D59B}"/>
    <cellStyle name="Millares [0] 6 3" xfId="326" xr:uid="{25F7CBAA-9ED9-4A47-9724-AFE682D18E71}"/>
    <cellStyle name="Millares [0] 7" xfId="135" xr:uid="{7D548426-134E-4085-9233-3BBDB4067108}"/>
    <cellStyle name="Millares [0] 7 2" xfId="355" xr:uid="{2CE9F098-C4E3-4F71-8B28-4DCC3E7F57D9}"/>
    <cellStyle name="Millares [0] 8" xfId="261" xr:uid="{83E726FD-6601-476B-B99C-7D8CCB7B4909}"/>
    <cellStyle name="Millares 10" xfId="28" xr:uid="{EB1DA3DB-41AE-464A-B4E6-127092F95C66}"/>
    <cellStyle name="Millares 10 2" xfId="61" xr:uid="{09D9F7F0-3A72-4199-AA52-A65394970414}"/>
    <cellStyle name="Millares 10 2 2" xfId="188" xr:uid="{8377DD51-CF0C-4072-8A0D-F012E6175D8C}"/>
    <cellStyle name="Millares 10 2 2 2" xfId="397" xr:uid="{B2A56CAB-4C9C-430B-AB29-DAA91E1281D1}"/>
    <cellStyle name="Millares 10 2 3" xfId="306" xr:uid="{AB9E6688-83DB-4BD6-81E2-D1E8A5B265AE}"/>
    <cellStyle name="Millares 10 3" xfId="117" xr:uid="{4B238A99-E0AF-4E50-96E2-80C2E348D191}"/>
    <cellStyle name="Millares 10 3 2" xfId="244" xr:uid="{FB0B27BF-A5DD-4002-96B5-244626627F88}"/>
    <cellStyle name="Millares 10 3 2 2" xfId="431" xr:uid="{DB6D4196-68C7-4668-8D61-96DEE4E87D5E}"/>
    <cellStyle name="Millares 10 3 3" xfId="340" xr:uid="{102CA1A4-5A63-4DCE-86D7-9F65EF07719A}"/>
    <cellStyle name="Millares 10 4" xfId="155" xr:uid="{D5D6C5E1-65FF-445E-A01E-DBD2B53C8238}"/>
    <cellStyle name="Millares 10 4 2" xfId="369" xr:uid="{14AA38FD-4CDF-4310-AE1D-F3F2CE1B69EC}"/>
    <cellStyle name="Millares 10 5" xfId="277" xr:uid="{C5AED270-F292-4649-B5F8-ABD1592B18ED}"/>
    <cellStyle name="Millares 11" xfId="26" xr:uid="{9D3C11D8-2628-4DB2-B9C6-DD7CB2703078}"/>
    <cellStyle name="Millares 11 2" xfId="59" xr:uid="{F89D7129-053B-413C-8CAA-5D3FFF30B250}"/>
    <cellStyle name="Millares 11 2 2" xfId="186" xr:uid="{90B5C662-1B9C-42B0-85DE-566E8DB3BC42}"/>
    <cellStyle name="Millares 11 2 2 2" xfId="395" xr:uid="{CD9390D0-A7B5-4F15-9B33-6121D20839AA}"/>
    <cellStyle name="Millares 11 2 3" xfId="304" xr:uid="{A9D9B63B-C39C-4D65-A95E-729DE9122D71}"/>
    <cellStyle name="Millares 11 3" xfId="115" xr:uid="{D8CE23C6-FE14-453A-A60A-15E6E34C37E8}"/>
    <cellStyle name="Millares 11 3 2" xfId="242" xr:uid="{C1D51CD4-70F6-4B03-BE2C-E2035BF299D0}"/>
    <cellStyle name="Millares 11 3 2 2" xfId="429" xr:uid="{CA52C426-7310-4EBF-B11B-1A28973DBE16}"/>
    <cellStyle name="Millares 11 3 3" xfId="338" xr:uid="{C579A4B8-EBFD-4C31-B9CB-3D345DDC2758}"/>
    <cellStyle name="Millares 11 4" xfId="153" xr:uid="{BD69885D-75EF-4B7F-8B06-89BD71C618AF}"/>
    <cellStyle name="Millares 11 4 2" xfId="367" xr:uid="{9C89DFC0-76A0-4D71-BFE2-0E62ABF26B7F}"/>
    <cellStyle name="Millares 11 5" xfId="275" xr:uid="{50E97643-67ED-4E05-AA03-95201838CBB4}"/>
    <cellStyle name="Millares 12" xfId="31" xr:uid="{F43B725B-81D9-49CD-A0C8-3170CF1F37D7}"/>
    <cellStyle name="Millares 12 2" xfId="120" xr:uid="{201CF256-AF70-4976-895C-BA084EA739B4}"/>
    <cellStyle name="Millares 12 2 2" xfId="247" xr:uid="{60626B61-A12E-4F34-9349-97E19A8EC427}"/>
    <cellStyle name="Millares 12 2 2 2" xfId="433" xr:uid="{4E00CF1B-B391-4995-AFB7-B16314E54835}"/>
    <cellStyle name="Millares 12 2 3" xfId="342" xr:uid="{13198817-B8D9-43A6-9A7E-AB6DE6DCEC2C}"/>
    <cellStyle name="Millares 12 3" xfId="158" xr:uid="{8AAF94C5-B207-4E25-80C9-0855B6D98E81}"/>
    <cellStyle name="Millares 12 3 2" xfId="371" xr:uid="{4C95E7C1-CCFD-4EC6-BAAB-BF55F23B406B}"/>
    <cellStyle name="Millares 12 4" xfId="279" xr:uid="{00432832-CCC5-44F5-AEF5-297E312AE232}"/>
    <cellStyle name="Millares 13" xfId="32" xr:uid="{075EFA54-E50E-4EB5-9A40-D7D681CD6441}"/>
    <cellStyle name="Millares 13 2" xfId="121" xr:uid="{67F77BD0-5CF7-4B8E-B38F-B28DE8C76F6A}"/>
    <cellStyle name="Millares 13 2 2" xfId="248" xr:uid="{89485E0B-C6C1-4FEC-B9E9-833472DE44DC}"/>
    <cellStyle name="Millares 13 2 2 2" xfId="434" xr:uid="{758A14A9-FC82-49F9-AE85-5CFA8A921E7E}"/>
    <cellStyle name="Millares 13 2 3" xfId="343" xr:uid="{30C03B6B-D8CC-43AC-A02C-534A94E8D5F8}"/>
    <cellStyle name="Millares 13 3" xfId="159" xr:uid="{68723F62-C1D0-4EC9-A72C-51C8CF3481FE}"/>
    <cellStyle name="Millares 13 3 2" xfId="372" xr:uid="{665DFD60-2505-4A99-9F7E-0D5223908D1F}"/>
    <cellStyle name="Millares 13 4" xfId="280" xr:uid="{CA77149F-7C10-45FB-B3C7-58992AE4BA3A}"/>
    <cellStyle name="Millares 14" xfId="33" xr:uid="{6FA35F97-69BE-4261-B400-0158E467A9BD}"/>
    <cellStyle name="Millares 14 2" xfId="122" xr:uid="{8ED65DE8-4BC6-4D67-80DE-66C3D902DC71}"/>
    <cellStyle name="Millares 14 2 2" xfId="249" xr:uid="{877179BE-1162-4DC2-9C9E-08FF14317DF9}"/>
    <cellStyle name="Millares 14 2 2 2" xfId="435" xr:uid="{8E86AE82-8605-4922-A407-02EEA6933A63}"/>
    <cellStyle name="Millares 14 2 3" xfId="344" xr:uid="{59E7F4FB-97F9-47E0-8A9F-EC7BC67E3617}"/>
    <cellStyle name="Millares 14 3" xfId="160" xr:uid="{26C11057-9169-4E59-890A-29A8D1308C11}"/>
    <cellStyle name="Millares 14 3 2" xfId="373" xr:uid="{CB1BFE75-4B15-429A-B5D1-7624315392AB}"/>
    <cellStyle name="Millares 14 4" xfId="281" xr:uid="{FF99E6A7-990B-47A2-A392-D06CB0D46007}"/>
    <cellStyle name="Millares 15" xfId="34" xr:uid="{ACC03C9A-941A-43D9-A3D7-B9DA96A8BD51}"/>
    <cellStyle name="Millares 15 2" xfId="123" xr:uid="{CEB841FE-9A9B-4790-8FBF-BD2B9A313DD0}"/>
    <cellStyle name="Millares 15 2 2" xfId="250" xr:uid="{B9966954-74DF-43A4-8C90-47C87DBB05AE}"/>
    <cellStyle name="Millares 15 2 2 2" xfId="436" xr:uid="{E11278F6-185F-4A99-B561-E8995F0D6F35}"/>
    <cellStyle name="Millares 15 2 3" xfId="345" xr:uid="{A498E1C3-B3AA-4178-B168-15772F0438A1}"/>
    <cellStyle name="Millares 15 3" xfId="161" xr:uid="{91ED519D-1EF9-46DF-94B8-56F6CDC9EBC6}"/>
    <cellStyle name="Millares 15 3 2" xfId="374" xr:uid="{3B9BE948-3438-4585-8B8D-EC09859F4763}"/>
    <cellStyle name="Millares 15 4" xfId="282" xr:uid="{FC9AACAC-99F4-439C-BBC7-51E6DD4BACAC}"/>
    <cellStyle name="Millares 16" xfId="35" xr:uid="{E10D70F4-3462-44F7-A0FF-80B112FB9E06}"/>
    <cellStyle name="Millares 16 2" xfId="124" xr:uid="{9B48E88C-F71A-42C1-8BAF-4789CC644F6F}"/>
    <cellStyle name="Millares 16 2 2" xfId="251" xr:uid="{53FF72C3-9310-4D72-8EC1-F72030889EFE}"/>
    <cellStyle name="Millares 16 2 2 2" xfId="437" xr:uid="{326263E6-ECA6-422E-9072-A92C1B0FAF63}"/>
    <cellStyle name="Millares 16 2 3" xfId="346" xr:uid="{03BA4581-ACB4-4A0A-B13F-37CBFA224303}"/>
    <cellStyle name="Millares 16 3" xfId="162" xr:uid="{F3B1B2C7-D2FF-4EF5-8174-00719AEE3308}"/>
    <cellStyle name="Millares 16 3 2" xfId="375" xr:uid="{0723B829-7C7D-411B-9FA0-4389B7C255DF}"/>
    <cellStyle name="Millares 16 4" xfId="283" xr:uid="{1754BE80-EB3F-44BA-B9DB-F468763E3D24}"/>
    <cellStyle name="Millares 17" xfId="36" xr:uid="{710A2877-2B24-45ED-835D-EF27AEA345D9}"/>
    <cellStyle name="Millares 17 2" xfId="125" xr:uid="{F8234E7A-89A3-400A-825F-FE3B43A768EB}"/>
    <cellStyle name="Millares 17 2 2" xfId="252" xr:uid="{1A9D4B9F-E0B6-4EE9-AB2F-43B74619280F}"/>
    <cellStyle name="Millares 17 2 2 2" xfId="438" xr:uid="{0F1B7C93-6240-48C2-972F-18052720D807}"/>
    <cellStyle name="Millares 17 2 3" xfId="347" xr:uid="{19B81600-5DF1-4C05-9794-4FCACE855EE3}"/>
    <cellStyle name="Millares 17 3" xfId="163" xr:uid="{1DA0D65A-DFE5-4582-9529-D24951D992E6}"/>
    <cellStyle name="Millares 17 3 2" xfId="376" xr:uid="{942CC917-A929-4472-BEA7-5A2D63E5A9BB}"/>
    <cellStyle name="Millares 17 4" xfId="284" xr:uid="{92BBC149-DA5B-4072-A61B-6E1F7021586A}"/>
    <cellStyle name="Millares 18" xfId="37" xr:uid="{2D32AD8B-0D9E-482B-87B8-C4B84C0A732B}"/>
    <cellStyle name="Millares 18 2" xfId="126" xr:uid="{F839CEDE-47FE-4DE7-8D12-C66D50C30697}"/>
    <cellStyle name="Millares 18 2 2" xfId="253" xr:uid="{4B92196A-BC2E-462C-902D-4742372EB157}"/>
    <cellStyle name="Millares 18 2 2 2" xfId="439" xr:uid="{46AAD2A9-905D-44FB-ADC8-C30F98668F4F}"/>
    <cellStyle name="Millares 18 2 3" xfId="348" xr:uid="{BE267D7A-FA9A-483D-84B2-E2F4ABAFC844}"/>
    <cellStyle name="Millares 18 3" xfId="164" xr:uid="{BAD4F360-DF3C-4588-88E9-44235C16A500}"/>
    <cellStyle name="Millares 18 3 2" xfId="377" xr:uid="{1A87C170-11F2-48B2-9EDB-CD401E08BD31}"/>
    <cellStyle name="Millares 18 4" xfId="285" xr:uid="{D42F0CF4-CD18-453F-B64A-646FFD585933}"/>
    <cellStyle name="Millares 19" xfId="38" xr:uid="{FF7EFAC9-FFAB-4C67-AB24-107B35A6C01F}"/>
    <cellStyle name="Millares 19 2" xfId="127" xr:uid="{78C24AF0-9D4C-42E1-BEC8-372A1EBEAC25}"/>
    <cellStyle name="Millares 19 2 2" xfId="254" xr:uid="{6F7783BA-1A63-4C75-BAC7-AFD7C164E8A4}"/>
    <cellStyle name="Millares 19 2 2 2" xfId="440" xr:uid="{86417541-5C52-4FD1-84DC-0FEC6B6EB838}"/>
    <cellStyle name="Millares 19 2 3" xfId="349" xr:uid="{90028226-9447-4F36-BF33-A9C2ADC0FFB5}"/>
    <cellStyle name="Millares 19 3" xfId="165" xr:uid="{64FD4325-49FE-4F8E-8287-55E6DDB54403}"/>
    <cellStyle name="Millares 19 3 2" xfId="378" xr:uid="{B0675C33-39C3-44A3-8B30-1AC2D6734BF5}"/>
    <cellStyle name="Millares 19 4" xfId="286" xr:uid="{01CE58A1-D927-4477-AB25-4227A0EE5FAE}"/>
    <cellStyle name="Millares 2" xfId="16" xr:uid="{666C1F8E-33A6-4813-9F83-04E2001DFE6F}"/>
    <cellStyle name="Millares 2 2" xfId="24" xr:uid="{021A370C-9C87-4A89-BEE1-E0ADA3073302}"/>
    <cellStyle name="Millares 2 2 2" xfId="57" xr:uid="{C3070AFC-0F78-4F91-A113-35B3CCDB4D77}"/>
    <cellStyle name="Millares 2 2 2 2" xfId="184" xr:uid="{BBD92206-E3AC-47C5-A3E8-570F3A03FC8A}"/>
    <cellStyle name="Millares 2 2 2 2 2" xfId="393" xr:uid="{D10A8D78-CC65-407D-8461-3C2209477BAC}"/>
    <cellStyle name="Millares 2 2 2 3" xfId="302" xr:uid="{F7A89381-6789-470A-9C11-922660FFA9F7}"/>
    <cellStyle name="Millares 2 2 3" xfId="113" xr:uid="{2EDE3089-1252-4BF4-8AEE-5C8FCE898646}"/>
    <cellStyle name="Millares 2 2 3 2" xfId="240" xr:uid="{5225B533-C03B-4B78-80C2-5C709A25DFC4}"/>
    <cellStyle name="Millares 2 2 3 2 2" xfId="427" xr:uid="{A8A9825F-04D3-4CE7-B476-6864A187E479}"/>
    <cellStyle name="Millares 2 2 3 3" xfId="336" xr:uid="{2A843EE7-3C0F-4C18-9F97-A667A27D3A85}"/>
    <cellStyle name="Millares 2 2 4" xfId="151" xr:uid="{EAD2E8F3-440F-4DD9-A9A4-25801C2A6FE0}"/>
    <cellStyle name="Millares 2 2 4 2" xfId="365" xr:uid="{A796DA94-3E92-46A2-A513-134AC06FD739}"/>
    <cellStyle name="Millares 2 2 5" xfId="273" xr:uid="{D6A2DFFB-C071-4371-9237-ED3191F1C595}"/>
    <cellStyle name="Millares 2 3" xfId="48" xr:uid="{80D04112-D312-431F-89FB-2149D64055E7}"/>
    <cellStyle name="Millares 2 3 2" xfId="175" xr:uid="{4E23476A-0D3B-41A2-B77B-F0DE929A57E5}"/>
    <cellStyle name="Millares 2 3 2 2" xfId="386" xr:uid="{B3791313-5D52-4FC7-AA03-4DB10A6D6110}"/>
    <cellStyle name="Millares 2 3 3" xfId="294" xr:uid="{9D462B0B-7E6C-4ACC-A062-4D51708F9FE9}"/>
    <cellStyle name="Millares 2 4" xfId="106" xr:uid="{E6850B0A-B4CC-4F52-A648-7D42BAD7B90C}"/>
    <cellStyle name="Millares 2 4 2" xfId="233" xr:uid="{78B26FF5-1F02-428A-8BC5-EF88DA831ADD}"/>
    <cellStyle name="Millares 2 4 2 2" xfId="421" xr:uid="{3FB0FB6B-3F70-409E-A808-96D488CC54AF}"/>
    <cellStyle name="Millares 2 4 3" xfId="330" xr:uid="{429355A4-66F6-41B7-82FC-FF821C415CA6}"/>
    <cellStyle name="Millares 2 5" xfId="144" xr:uid="{F7F5B5C1-2CA9-4F2E-950D-193A406CEDEA}"/>
    <cellStyle name="Millares 2 5 2" xfId="359" xr:uid="{C32984AE-3025-4E3B-8327-06307A722F91}"/>
    <cellStyle name="Millares 2 6" xfId="267" xr:uid="{027F48EF-EC6D-458C-950A-1376A4CBDB88}"/>
    <cellStyle name="Millares 20" xfId="39" xr:uid="{0413EF62-7EEA-451E-9719-79EAE162B1FC}"/>
    <cellStyle name="Millares 20 2" xfId="128" xr:uid="{34AA3BCA-D93A-46B8-A718-2C8383596A97}"/>
    <cellStyle name="Millares 20 2 2" xfId="255" xr:uid="{B79FABC1-C055-4D45-AD86-30CF0A1CDF40}"/>
    <cellStyle name="Millares 20 2 2 2" xfId="441" xr:uid="{B5C2F2CA-EC31-4F28-B0C1-734DDAAD49D8}"/>
    <cellStyle name="Millares 20 2 3" xfId="350" xr:uid="{8810CF0D-4AF7-4401-BE63-EE270E09146E}"/>
    <cellStyle name="Millares 20 3" xfId="166" xr:uid="{91638D57-F5C2-4DED-90C6-5411B22B9E63}"/>
    <cellStyle name="Millares 20 3 2" xfId="379" xr:uid="{0729A7E8-A95E-4EC9-8AE9-B0477705BFA5}"/>
    <cellStyle name="Millares 20 4" xfId="287" xr:uid="{F83B1B91-C795-439B-A492-4B45AA3B3578}"/>
    <cellStyle name="Millares 21" xfId="40" xr:uid="{A90CED8F-770B-4692-ADC9-8F3357A01144}"/>
    <cellStyle name="Millares 21 2" xfId="129" xr:uid="{3F0EDC5C-220F-4A2A-B320-6B7A33FEC926}"/>
    <cellStyle name="Millares 21 2 2" xfId="256" xr:uid="{6607323E-3FEC-43B3-9BD6-5C9B1EE337DE}"/>
    <cellStyle name="Millares 21 2 2 2" xfId="442" xr:uid="{3979C814-3790-4F18-9F6A-B5E068E0BDE4}"/>
    <cellStyle name="Millares 21 2 3" xfId="351" xr:uid="{F3ABFCC6-6037-4E9A-88DD-0BEFA5FA597D}"/>
    <cellStyle name="Millares 21 3" xfId="167" xr:uid="{5ECE6E7D-BA25-420B-B0AE-83D31ABEBAA8}"/>
    <cellStyle name="Millares 21 3 2" xfId="380" xr:uid="{DD6B9F69-8FCA-4D89-9848-A649F5788093}"/>
    <cellStyle name="Millares 21 4" xfId="288" xr:uid="{2387F5AE-B228-4B6D-BECD-2A217E83326E}"/>
    <cellStyle name="Millares 22" xfId="41" xr:uid="{E726EED7-801E-491C-850D-A0919EC0E986}"/>
    <cellStyle name="Millares 22 2" xfId="130" xr:uid="{A836BDA6-8144-4568-B9E3-CDCC13A37013}"/>
    <cellStyle name="Millares 22 2 2" xfId="257" xr:uid="{5218655E-A62D-4A15-AB66-2161CF2ACB92}"/>
    <cellStyle name="Millares 22 2 2 2" xfId="443" xr:uid="{9AC1C364-B153-4C07-9755-07E1A7EAC6D1}"/>
    <cellStyle name="Millares 22 2 3" xfId="352" xr:uid="{7009D7A6-F1D0-45F8-976F-87D27EFE70C0}"/>
    <cellStyle name="Millares 22 3" xfId="168" xr:uid="{A0905C08-BEE9-40BA-A4AA-3692E3367533}"/>
    <cellStyle name="Millares 22 3 2" xfId="381" xr:uid="{306CCAE2-46E3-4E67-B76B-1E2626A938C2}"/>
    <cellStyle name="Millares 22 4" xfId="289" xr:uid="{5830B4C0-95F1-4464-A3B2-94F81B61C62C}"/>
    <cellStyle name="Millares 23" xfId="42" xr:uid="{5A8E83CB-B923-415F-A949-C4DF4A95DD85}"/>
    <cellStyle name="Millares 23 2" xfId="131" xr:uid="{39B37980-D11A-43AA-A8DB-712561017070}"/>
    <cellStyle name="Millares 23 2 2" xfId="258" xr:uid="{541359DA-838B-41B4-BAF2-BC7A47EF20FB}"/>
    <cellStyle name="Millares 23 2 2 2" xfId="444" xr:uid="{8613F267-EF5D-4E7F-832A-5C6F6FF8EB08}"/>
    <cellStyle name="Millares 23 2 3" xfId="353" xr:uid="{821B70E9-9A3E-4041-A846-CE205CF2A63D}"/>
    <cellStyle name="Millares 23 3" xfId="169" xr:uid="{85616289-5C7B-4862-A4E9-7D5AE5A8DC60}"/>
    <cellStyle name="Millares 23 3 2" xfId="382" xr:uid="{B25D2BB6-C56E-482F-9250-75558A869556}"/>
    <cellStyle name="Millares 23 4" xfId="290" xr:uid="{A419EC89-565A-43F9-91F1-458900434125}"/>
    <cellStyle name="Millares 24" xfId="6" xr:uid="{C57BD47A-8E4A-44E2-B8A2-EACB1D217F8D}"/>
    <cellStyle name="Millares 24 2" xfId="101" xr:uid="{2ED0ADD9-8A08-4199-9344-45CED43FE978}"/>
    <cellStyle name="Millares 24 2 2" xfId="228" xr:uid="{A5FDB8DA-4C52-4A57-8BA6-8A90FB805461}"/>
    <cellStyle name="Millares 24 2 2 2" xfId="418" xr:uid="{E0FA3169-7B80-4751-A791-F6AE297C349F}"/>
    <cellStyle name="Millares 24 2 3" xfId="327" xr:uid="{A4CE2560-9024-4F64-BD60-6B33D9B614E5}"/>
    <cellStyle name="Millares 24 3" xfId="11" xr:uid="{2DB79019-FD95-432E-919B-44F690FB6659}"/>
    <cellStyle name="Millares 24 3 2" xfId="139" xr:uid="{63562C6A-3A0D-4D3C-95C3-3B751605581A}"/>
    <cellStyle name="Millares 24 3 2 2" xfId="356" xr:uid="{7E3DA05D-2E76-42B6-8BA5-4F35EB69C01C}"/>
    <cellStyle name="Millares 24 3 3" xfId="264" xr:uid="{2AA000A3-E476-4BDC-B14D-9A58F5E5BE2F}"/>
    <cellStyle name="Millares 25" xfId="43" xr:uid="{FF567BFD-0937-4366-8DED-35D236E8B7DB}"/>
    <cellStyle name="Millares 25 2" xfId="170" xr:uid="{A4D279B8-6BFE-4B11-B34D-98C7EBC92404}"/>
    <cellStyle name="Millares 25 2 2" xfId="383" xr:uid="{6054E359-8CFB-42B8-85AB-F5EF20BC6B0D}"/>
    <cellStyle name="Millares 25 3" xfId="291" xr:uid="{8443CE55-5D15-47BD-AF46-ED12333662DA}"/>
    <cellStyle name="Millares 26" xfId="52" xr:uid="{7E5926D1-AA06-4165-9CEE-922156A0E791}"/>
    <cellStyle name="Millares 26 2" xfId="179" xr:uid="{DA5B431E-C04E-4FEB-B2E6-31921D7FCF57}"/>
    <cellStyle name="Millares 26 2 2" xfId="389" xr:uid="{0DAA4F26-310D-419B-8ABF-820A934144CF}"/>
    <cellStyle name="Millares 26 3" xfId="297" xr:uid="{C4AA4B86-0976-4D8F-9ABA-2C4A88C9F7DE}"/>
    <cellStyle name="Millares 27" xfId="69" xr:uid="{5E2DF79D-33A7-4C07-885D-802F2A97E3EF}"/>
    <cellStyle name="Millares 27 2" xfId="196" xr:uid="{62405E60-8EF3-4CAB-B193-8B79DA7B18C4}"/>
    <cellStyle name="Millares 27 2 2" xfId="403" xr:uid="{2DB2DE3B-64BA-4E19-9F47-BF11F82B6650}"/>
    <cellStyle name="Millares 27 3" xfId="312" xr:uid="{F302FA75-9553-47E1-89A2-9857C2F4B724}"/>
    <cellStyle name="Millares 28" xfId="68" xr:uid="{2133A181-2E53-4523-98F3-A4E10B43671A}"/>
    <cellStyle name="Millares 28 2" xfId="195" xr:uid="{04F4A9F5-F53E-4B85-BB4E-F91A670DA70F}"/>
    <cellStyle name="Millares 28 2 2" xfId="402" xr:uid="{A0382E49-34DC-4409-AB64-94B1FB03C5AA}"/>
    <cellStyle name="Millares 28 3" xfId="311" xr:uid="{9B3DED13-6CA4-4F1A-BE9F-6FCE1E5C301D}"/>
    <cellStyle name="Millares 29" xfId="71" xr:uid="{B804ED25-6BE0-4F84-893F-2B5CBE0DDE53}"/>
    <cellStyle name="Millares 29 2" xfId="198" xr:uid="{FB9E0CAC-BDB3-49D1-BCFF-67713A9AA9B1}"/>
    <cellStyle name="Millares 29 2 2" xfId="405" xr:uid="{606A9B17-946D-4501-9BCC-3346E169AE5E}"/>
    <cellStyle name="Millares 29 3" xfId="314" xr:uid="{A676247B-BC94-41C2-AFFE-5916CFFD4AE0}"/>
    <cellStyle name="Millares 3" xfId="14" xr:uid="{3A82D141-A320-48E3-AEDA-3959017B36CC}"/>
    <cellStyle name="Millares 3 2" xfId="46" xr:uid="{E02755DE-4C3A-4E8C-A3B2-FCB38AC2D172}"/>
    <cellStyle name="Millares 3 2 2" xfId="173" xr:uid="{2C2DA7C7-4C01-4E64-B225-1992E9502976}"/>
    <cellStyle name="Millares 3 2 2 2" xfId="384" xr:uid="{35F9E274-000B-4245-AEAB-636BAE109A1C}"/>
    <cellStyle name="Millares 3 2 3" xfId="292" xr:uid="{A8171409-B176-45C0-B522-2458286A4D04}"/>
    <cellStyle name="Millares 3 3" xfId="104" xr:uid="{CBCF585C-71A9-4080-A088-C8BE7BB0F6C6}"/>
    <cellStyle name="Millares 3 3 2" xfId="231" xr:uid="{6D2B53BD-FD3D-4535-97BC-C8B0B1DF59E3}"/>
    <cellStyle name="Millares 3 3 2 2" xfId="419" xr:uid="{D8F20514-603F-4709-8DB6-9D15B53ECAA4}"/>
    <cellStyle name="Millares 3 3 3" xfId="328" xr:uid="{180CA25A-DE57-4EE8-A6BD-03B2B206FCC4}"/>
    <cellStyle name="Millares 3 4" xfId="142" xr:uid="{F8639E41-BF89-4D88-A7B3-C2D05534EFBA}"/>
    <cellStyle name="Millares 3 4 2" xfId="357" xr:uid="{DABA42CF-A0ED-4CC9-9270-5C3344FFB04B}"/>
    <cellStyle name="Millares 3 5" xfId="265" xr:uid="{D231B1B7-E12F-408C-BA75-06FBC212C387}"/>
    <cellStyle name="Millares 30" xfId="73" xr:uid="{B67D0DBA-4877-4BF2-87F5-339E52C662E4}"/>
    <cellStyle name="Millares 30 2" xfId="200" xr:uid="{91815DC5-FB19-4DFD-9343-5428164BB0A5}"/>
    <cellStyle name="Millares 30 2 2" xfId="407" xr:uid="{6734C36C-2B76-4313-98CF-241D9D5F60BA}"/>
    <cellStyle name="Millares 30 3" xfId="316" xr:uid="{EA623B9A-42EF-4DD1-9A2A-DFB2B80B1868}"/>
    <cellStyle name="Millares 31" xfId="75" xr:uid="{55D28BF8-A4BA-4410-9DA6-ADFCFBEC43E3}"/>
    <cellStyle name="Millares 31 2" xfId="202" xr:uid="{8CA96FD8-EF12-4AE6-8F30-DF48EEFCA59C}"/>
    <cellStyle name="Millares 31 2 2" xfId="409" xr:uid="{4FC3BF32-38CD-4338-A023-8F6A715DD02C}"/>
    <cellStyle name="Millares 31 3" xfId="318" xr:uid="{4EEC7D1C-0D10-4F95-9109-1ED3702215E3}"/>
    <cellStyle name="Millares 32" xfId="72" xr:uid="{04019F99-34E4-4C96-AA9F-979924CDA725}"/>
    <cellStyle name="Millares 32 2" xfId="199" xr:uid="{842FD0D8-FEFB-4A31-93FB-76CFE9CD52CD}"/>
    <cellStyle name="Millares 32 2 2" xfId="406" xr:uid="{26AA3C24-5A11-4EDB-921F-3FCF724A8CD4}"/>
    <cellStyle name="Millares 32 3" xfId="315" xr:uid="{4F85677E-F960-4525-9B41-627962BD4B56}"/>
    <cellStyle name="Millares 33" xfId="64" xr:uid="{5BCFED05-E416-4372-8E91-325116283A09}"/>
    <cellStyle name="Millares 33 2" xfId="191" xr:uid="{9A7BA767-A5EE-4FB9-8B30-61D22925DCED}"/>
    <cellStyle name="Millares 33 2 2" xfId="399" xr:uid="{20B32CE4-D975-4D2F-BDBA-897842438A17}"/>
    <cellStyle name="Millares 33 3" xfId="308" xr:uid="{796030EE-90C7-433A-B1D4-113AA8F3F0ED}"/>
    <cellStyle name="Millares 34" xfId="66" xr:uid="{F229D60C-16C9-4255-AC1E-894916D0E3D9}"/>
    <cellStyle name="Millares 34 2" xfId="193" xr:uid="{B6806CAE-86EB-4226-8F0A-BF2E06E25C15}"/>
    <cellStyle name="Millares 34 2 2" xfId="400" xr:uid="{CD8B0ED3-22CE-4234-A599-914DD8491A5E}"/>
    <cellStyle name="Millares 34 3" xfId="309" xr:uid="{025C6F22-2943-4A21-AE82-0C9A6CF83801}"/>
    <cellStyle name="Millares 35" xfId="74" xr:uid="{5C70B23D-1229-47CB-8A5A-30340FD7CB3C}"/>
    <cellStyle name="Millares 35 2" xfId="201" xr:uid="{2FDB8688-84BB-46E3-A72E-1ED56C3C072E}"/>
    <cellStyle name="Millares 35 2 2" xfId="408" xr:uid="{77F0892D-4D3C-48A8-87D0-A349398C63EB}"/>
    <cellStyle name="Millares 35 3" xfId="317" xr:uid="{E0A69BB1-9168-48BC-80A7-274A13E44083}"/>
    <cellStyle name="Millares 36" xfId="77" xr:uid="{D495564A-6DB9-47BF-A451-722B78FD2BD1}"/>
    <cellStyle name="Millares 36 2" xfId="204" xr:uid="{2F190655-77BA-4620-B192-272D2DAFA9A5}"/>
    <cellStyle name="Millares 36 2 2" xfId="411" xr:uid="{47DA0BEA-618E-4FC6-8D67-DE32EAF46D8D}"/>
    <cellStyle name="Millares 36 3" xfId="320" xr:uid="{D0E3B59C-B4E5-425A-81C3-5D7024B3C88C}"/>
    <cellStyle name="Millares 37" xfId="70" xr:uid="{309B965E-A4AA-4230-9490-F9517BF07991}"/>
    <cellStyle name="Millares 37 2" xfId="197" xr:uid="{0037B358-F873-4784-8441-C347224312EE}"/>
    <cellStyle name="Millares 37 2 2" xfId="404" xr:uid="{B0975CD0-88EC-4E8C-A40E-D8F657C21F30}"/>
    <cellStyle name="Millares 37 3" xfId="313" xr:uid="{2CA7AFF9-CE98-48FA-8775-674B8317376E}"/>
    <cellStyle name="Millares 38" xfId="67" xr:uid="{5946A4D3-A874-429F-87AF-E306C6491389}"/>
    <cellStyle name="Millares 38 2" xfId="194" xr:uid="{006AF349-8EA0-4ED2-AE16-685EA73E25F1}"/>
    <cellStyle name="Millares 38 2 2" xfId="401" xr:uid="{67E3640A-E488-4BF4-AEE7-254950F1DD79}"/>
    <cellStyle name="Millares 38 3" xfId="310" xr:uid="{566E9FFA-6BB7-4D35-BBF9-545C625661B6}"/>
    <cellStyle name="Millares 39" xfId="76" xr:uid="{E5C346E1-71E9-4192-B3A8-F526F9CC022D}"/>
    <cellStyle name="Millares 39 2" xfId="203" xr:uid="{57F0EE41-D5CB-4B83-BF90-C08251DCA548}"/>
    <cellStyle name="Millares 39 2 2" xfId="410" xr:uid="{24CB314E-F931-4DB1-AB27-84F44AFAA99C}"/>
    <cellStyle name="Millares 39 3" xfId="319" xr:uid="{D3F33318-E9B5-4A2A-BA51-C11B29284116}"/>
    <cellStyle name="Millares 4" xfId="17" xr:uid="{CE0261B2-334E-40AA-AFA3-C0C4A557C822}"/>
    <cellStyle name="Millares 4 2" xfId="50" xr:uid="{C600977A-4150-4B8A-931B-DCDC04ADC342}"/>
    <cellStyle name="Millares 4 2 2" xfId="177" xr:uid="{8E8CA1C0-29AA-4102-859F-2EE127C02DE7}"/>
    <cellStyle name="Millares 4 2 2 2" xfId="387" xr:uid="{F4EEBCEA-77DF-406F-B1FC-2E6DA594473F}"/>
    <cellStyle name="Millares 4 2 3" xfId="295" xr:uid="{7FEFF346-54A3-4E92-AA30-78827F88FC9B}"/>
    <cellStyle name="Millares 4 3" xfId="107" xr:uid="{FD2D1C7C-589C-44D1-AC5E-B7550E0A2782}"/>
    <cellStyle name="Millares 4 3 2" xfId="234" xr:uid="{C26029B7-3F73-4A2F-AD3E-3B20A58C28B8}"/>
    <cellStyle name="Millares 4 3 2 2" xfId="422" xr:uid="{A828D9AE-A887-4C76-85F3-73F2E0E27E10}"/>
    <cellStyle name="Millares 4 3 3" xfId="331" xr:uid="{0CDEE7BD-46DE-42A0-869F-2AB8D984022A}"/>
    <cellStyle name="Millares 4 4" xfId="145" xr:uid="{D1A7F389-C322-46BB-AD5E-85B79C8F8ADA}"/>
    <cellStyle name="Millares 4 4 2" xfId="360" xr:uid="{DDA61D57-8F13-4542-B6B9-FEF9EA6D20F7}"/>
    <cellStyle name="Millares 4 5" xfId="268" xr:uid="{71AD7DE8-A82D-4A72-B918-C0494F22F522}"/>
    <cellStyle name="Millares 40" xfId="90" xr:uid="{3BD10FC0-32D2-4B95-AF6E-361C097D6F0E}"/>
    <cellStyle name="Millares 40 2" xfId="217" xr:uid="{B6EFED21-3E27-4E60-9739-356771A1D061}"/>
    <cellStyle name="Millares 40 2 2" xfId="412" xr:uid="{AF8270C0-436A-4413-A4A3-CC4254886460}"/>
    <cellStyle name="Millares 40 3" xfId="321" xr:uid="{3C0920EB-53E0-4FF7-BB07-2CDECDE9F13B}"/>
    <cellStyle name="Millares 41" xfId="92" xr:uid="{44D5B478-14F7-4464-8FA0-12421FAF2D57}"/>
    <cellStyle name="Millares 41 2" xfId="219" xr:uid="{379BFF14-C25E-494C-A195-63361A39AF21}"/>
    <cellStyle name="Millares 41 2 2" xfId="413" xr:uid="{C23C1B32-EDD2-49D0-AD49-BCABFCC585D0}"/>
    <cellStyle name="Millares 41 3" xfId="322" xr:uid="{7AB828CD-DB83-483A-8F44-06328709B55C}"/>
    <cellStyle name="Millares 42" xfId="96" xr:uid="{47EA5A72-B3EC-495C-BC3D-ECEBC819D38B}"/>
    <cellStyle name="Millares 42 2" xfId="223" xr:uid="{0E77D46C-A0F2-4179-8FC5-6B2D0E3F11C6}"/>
    <cellStyle name="Millares 42 2 2" xfId="416" xr:uid="{5B37AA98-5BD4-4D17-91B0-AAD7B496CD2F}"/>
    <cellStyle name="Millares 42 3" xfId="325" xr:uid="{70319F0D-957D-463B-B37A-BB765ABD4EED}"/>
    <cellStyle name="Millares 43" xfId="95" xr:uid="{10524BC9-D39A-4390-912F-21BFDA68B964}"/>
    <cellStyle name="Millares 43 2" xfId="222" xr:uid="{A28D7E94-4A8C-49D7-B43A-B0E2D0F4052D}"/>
    <cellStyle name="Millares 43 2 2" xfId="415" xr:uid="{C395B3BC-7692-4F5F-8B5B-2C1ABC9C9F7B}"/>
    <cellStyle name="Millares 43 3" xfId="324" xr:uid="{FCA550B1-E1A9-42BC-8474-3212CF80053D}"/>
    <cellStyle name="Millares 44" xfId="94" xr:uid="{A64310E4-FB78-484F-80F2-2723B2B6C4E6}"/>
    <cellStyle name="Millares 44 2" xfId="221" xr:uid="{0D18CCD8-36DC-4049-87C6-2F7C6E91A5D9}"/>
    <cellStyle name="Millares 44 2 2" xfId="414" xr:uid="{FFB2642F-F1DD-4303-BEBE-533E48848C42}"/>
    <cellStyle name="Millares 44 3" xfId="323" xr:uid="{8F096875-9059-416A-B679-96BBAF954835}"/>
    <cellStyle name="Millares 45" xfId="134" xr:uid="{A0E37AF7-E8CA-4730-B103-590AD971C566}"/>
    <cellStyle name="Millares 45 2" xfId="354" xr:uid="{15473AD0-D99B-4B42-B883-B9066B55D5DE}"/>
    <cellStyle name="Millares 46" xfId="260" xr:uid="{559A137A-9031-4B66-96FE-4546B61893E3}"/>
    <cellStyle name="Millares 47" xfId="263" xr:uid="{925CE4D4-1639-44C3-BC36-9408FCDC90A1}"/>
    <cellStyle name="Millares 48" xfId="299" xr:uid="{12CFB55C-EB2A-44FB-941A-C55E1D3CC89F}"/>
    <cellStyle name="Millares 5" xfId="18" xr:uid="{1889776D-FD94-403B-AD8B-3798AA11C76F}"/>
    <cellStyle name="Millares 5 2" xfId="51" xr:uid="{274EA2BB-C912-44AB-AA56-C9F288E41992}"/>
    <cellStyle name="Millares 5 2 2" xfId="178" xr:uid="{9C3AD81E-01A7-472B-8CB5-E658CB377B9B}"/>
    <cellStyle name="Millares 5 2 2 2" xfId="388" xr:uid="{4C4A5809-3D8A-45D2-B816-DE3952295717}"/>
    <cellStyle name="Millares 5 2 3" xfId="296" xr:uid="{63B229EC-F8CE-4BE1-88BA-1E2A1F047776}"/>
    <cellStyle name="Millares 5 3" xfId="108" xr:uid="{74626746-891C-4B58-8C97-54737B5707C8}"/>
    <cellStyle name="Millares 5 3 2" xfId="235" xr:uid="{ECCBDB9D-E35D-4953-B91D-511DFEF7A0EF}"/>
    <cellStyle name="Millares 5 3 2 2" xfId="423" xr:uid="{2B6895F5-9D4C-4E47-9C2A-14204B3A5801}"/>
    <cellStyle name="Millares 5 3 3" xfId="332" xr:uid="{2FE2BAA3-04C5-4346-8D36-AD1FCEACC5BF}"/>
    <cellStyle name="Millares 5 4" xfId="146" xr:uid="{F63296EC-A657-4C25-A00A-FDECE4382E78}"/>
    <cellStyle name="Millares 5 4 2" xfId="361" xr:uid="{CBDC6EAC-6B77-4A40-BF50-5F20E5206CAF}"/>
    <cellStyle name="Millares 5 5" xfId="269" xr:uid="{7F04E55C-ABAF-4097-8E3E-89E2ABC9CC42}"/>
    <cellStyle name="Millares 6" xfId="22" xr:uid="{0208FE52-C83E-49AD-9888-12E9B5933037}"/>
    <cellStyle name="Millares 6 2" xfId="55" xr:uid="{75DB90FC-0989-4E26-BE71-12C9AF3E599E}"/>
    <cellStyle name="Millares 6 2 2" xfId="182" xr:uid="{CC3A2086-6F8F-414A-9F8F-3969AC2262D0}"/>
    <cellStyle name="Millares 6 2 2 2" xfId="391" xr:uid="{1736EF1F-EE14-4C67-8776-D2B131311FDF}"/>
    <cellStyle name="Millares 6 2 3" xfId="300" xr:uid="{0872A9B0-E2D2-4BAB-A69A-8B5F39271199}"/>
    <cellStyle name="Millares 6 3" xfId="111" xr:uid="{155C8DF1-048F-4742-A039-D63A87FDF0DA}"/>
    <cellStyle name="Millares 6 3 2" xfId="238" xr:uid="{60215C12-9F0A-4D78-9C04-FF109257D80D}"/>
    <cellStyle name="Millares 6 3 2 2" xfId="425" xr:uid="{071D7966-3AB2-4385-B6FB-F8B9165DAA75}"/>
    <cellStyle name="Millares 6 3 3" xfId="334" xr:uid="{4AC6056C-BB33-4209-87FC-31922199D975}"/>
    <cellStyle name="Millares 6 4" xfId="149" xr:uid="{EED4EA38-D671-4F8D-AFE6-AD8AE6F951EC}"/>
    <cellStyle name="Millares 6 4 2" xfId="363" xr:uid="{42194E7E-28AB-4BF3-A492-02FDAD6B9674}"/>
    <cellStyle name="Millares 6 5" xfId="271" xr:uid="{8DED943A-931B-490D-97A6-1AD6676A0A3E}"/>
    <cellStyle name="Millares 7" xfId="27" xr:uid="{2E405598-8D60-4469-9D19-DB70D6D34822}"/>
    <cellStyle name="Millares 7 2" xfId="60" xr:uid="{F1B3DE72-AABD-44D1-BC3D-EC97B6B4B37C}"/>
    <cellStyle name="Millares 7 2 2" xfId="187" xr:uid="{A48B690F-1FE2-47C8-A81F-5754F88A6629}"/>
    <cellStyle name="Millares 7 2 2 2" xfId="396" xr:uid="{05C0B00C-5D5B-4F56-9B40-3363E5BAD99D}"/>
    <cellStyle name="Millares 7 2 3" xfId="305" xr:uid="{B905024F-D8F0-4D8D-998C-6BA02984E3D0}"/>
    <cellStyle name="Millares 7 3" xfId="116" xr:uid="{5D768466-7C88-4877-9B60-D041EEA82B4B}"/>
    <cellStyle name="Millares 7 3 2" xfId="243" xr:uid="{A7ED13BB-EA00-4EB7-B44A-0F368521AE08}"/>
    <cellStyle name="Millares 7 3 2 2" xfId="430" xr:uid="{D81B043E-C529-4B5F-86D4-72729E2C4F0E}"/>
    <cellStyle name="Millares 7 3 3" xfId="339" xr:uid="{3CF9AFD1-1C8E-43D0-92F4-10A960C06E91}"/>
    <cellStyle name="Millares 7 4" xfId="154" xr:uid="{FB2E0F92-B74A-431F-B8DE-ABEE84653F4C}"/>
    <cellStyle name="Millares 7 4 2" xfId="368" xr:uid="{FD125F9E-3066-4EF2-9F50-BC142B292BAC}"/>
    <cellStyle name="Millares 7 5" xfId="276" xr:uid="{E351CBBF-725F-40D4-BE7D-ABB85ADCB53A}"/>
    <cellStyle name="Millares 8" xfId="25" xr:uid="{DA2C368E-9D57-4C77-A1C8-786A923CD235}"/>
    <cellStyle name="Millares 8 2" xfId="58" xr:uid="{273D5F8E-C488-488A-AD3F-2D3E0FC34FE7}"/>
    <cellStyle name="Millares 8 2 2" xfId="185" xr:uid="{32B32F35-E51C-43CF-9CA8-DD1F38A66726}"/>
    <cellStyle name="Millares 8 2 2 2" xfId="394" xr:uid="{951D90DE-0811-4B00-8168-14580FB52699}"/>
    <cellStyle name="Millares 8 2 3" xfId="303" xr:uid="{C886E3D0-C47B-4485-8B90-0A2BF9848F08}"/>
    <cellStyle name="Millares 8 3" xfId="114" xr:uid="{D1C5BA51-A4A5-4083-9758-5E0F9CD37CBF}"/>
    <cellStyle name="Millares 8 3 2" xfId="241" xr:uid="{6DDEECA2-702B-42E7-ACB1-7FECFA12E7C5}"/>
    <cellStyle name="Millares 8 3 2 2" xfId="428" xr:uid="{A97B358A-B05F-43B2-B51A-539BA25F3BB2}"/>
    <cellStyle name="Millares 8 3 3" xfId="337" xr:uid="{C37B4E04-0F02-4738-BC65-C6C1A683877D}"/>
    <cellStyle name="Millares 8 4" xfId="152" xr:uid="{990811C6-FAF6-4FC7-B571-D5EF3BC0EA76}"/>
    <cellStyle name="Millares 8 4 2" xfId="366" xr:uid="{795300AA-01E6-4ABA-B3D0-1F31827D078F}"/>
    <cellStyle name="Millares 8 5" xfId="274" xr:uid="{A5181921-BE1E-486D-A79A-FE4CA126241D}"/>
    <cellStyle name="Millares 9" xfId="29" xr:uid="{573CD15D-FBE5-44C7-8AE6-BAAA2D5FDFB2}"/>
    <cellStyle name="Millares 9 2" xfId="62" xr:uid="{8BC6FC72-BDEC-417A-AF3F-27CF07863260}"/>
    <cellStyle name="Millares 9 2 2" xfId="189" xr:uid="{B98DC085-6621-42A2-9E08-4C75BF0EFEAF}"/>
    <cellStyle name="Millares 9 2 2 2" xfId="398" xr:uid="{C7E03C88-C89E-4A70-A436-7D8AF14BDAA8}"/>
    <cellStyle name="Millares 9 2 3" xfId="307" xr:uid="{2E23E219-5BF0-44A1-8B18-AAB771594EA6}"/>
    <cellStyle name="Millares 9 3" xfId="118" xr:uid="{5029D5C8-FE80-43DE-ADB7-380C6DA52BDA}"/>
    <cellStyle name="Millares 9 3 2" xfId="245" xr:uid="{71600C47-B7A1-41BC-985B-2B05BF84106C}"/>
    <cellStyle name="Millares 9 3 2 2" xfId="432" xr:uid="{BEB8E7E2-F3C9-4663-8D10-FAE6A996135D}"/>
    <cellStyle name="Millares 9 3 3" xfId="341" xr:uid="{847A78A9-DB55-4B8B-B15D-C809A8DD81FB}"/>
    <cellStyle name="Millares 9 4" xfId="156" xr:uid="{C9F57AFF-9502-42D8-A020-39530F42F775}"/>
    <cellStyle name="Millares 9 4 2" xfId="370" xr:uid="{2AA1D5A3-3D93-4E0C-8DAA-1B23B2387782}"/>
    <cellStyle name="Millares 9 5" xfId="278" xr:uid="{E1772AE4-CC00-42F1-9220-28E014F65308}"/>
    <cellStyle name="Moneda" xfId="3" builtinId="4"/>
    <cellStyle name="Moneda [0]" xfId="4" builtinId="7"/>
    <cellStyle name="Moneda [0] 2" xfId="30" xr:uid="{6975A26C-1264-4973-8395-58B34F76711F}"/>
    <cellStyle name="Moneda [0] 2 2" xfId="119" xr:uid="{AE7B587F-E1A9-40D0-8022-A7B11F1F36E1}"/>
    <cellStyle name="Moneda [0] 2 2 2" xfId="246" xr:uid="{A1A36BB6-FCE8-49FB-9B94-461EF5C24D4F}"/>
    <cellStyle name="Moneda [0] 2 3" xfId="157" xr:uid="{4DBCE164-EF4D-4D7E-860F-395EDA42E29C}"/>
    <cellStyle name="Moneda [0] 3" xfId="99" xr:uid="{DD075E2A-57B3-49B0-ADAA-20FC3820DE7F}"/>
    <cellStyle name="Moneda [0] 3 2" xfId="226" xr:uid="{5F511E0D-DBE0-420E-B97F-D6A5930CFDA5}"/>
    <cellStyle name="Moneda [0] 4" xfId="137" xr:uid="{21C2F106-8345-487E-8838-EBE3F9C93288}"/>
    <cellStyle name="Moneda 10" xfId="79" xr:uid="{552426C2-93E0-41C9-BCF1-29282FDB1B23}"/>
    <cellStyle name="Moneda 10 2" xfId="206" xr:uid="{498DFA85-D46D-4B45-A79A-B148548C9036}"/>
    <cellStyle name="Moneda 11" xfId="80" xr:uid="{731CCE9C-8AFF-4B0A-8652-9FBE91AC4084}"/>
    <cellStyle name="Moneda 11 2" xfId="207" xr:uid="{87E19F21-1A66-4D0C-A7D7-C503DB1AB0C2}"/>
    <cellStyle name="Moneda 12" xfId="81" xr:uid="{5E3052EF-6ACC-4314-8BBB-6CBC10487E3F}"/>
    <cellStyle name="Moneda 12 2" xfId="208" xr:uid="{F58AEA4C-780D-481F-A52B-51AC435DCD13}"/>
    <cellStyle name="Moneda 13" xfId="83" xr:uid="{F9552911-B1B8-4604-9A4A-8B5F871B2D74}"/>
    <cellStyle name="Moneda 13 2" xfId="210" xr:uid="{2A6B89AE-3F20-4A79-8E33-3D91D6508C8B}"/>
    <cellStyle name="Moneda 14" xfId="84" xr:uid="{FB774154-B629-4B42-81C8-CEE9186DD255}"/>
    <cellStyle name="Moneda 14 2" xfId="211" xr:uid="{765E8AD4-3153-4D21-823D-9DBE3A58B451}"/>
    <cellStyle name="Moneda 15" xfId="85" xr:uid="{BFBCFDD7-D144-4476-AECE-18E596A6FEA9}"/>
    <cellStyle name="Moneda 15 2" xfId="212" xr:uid="{D41ED81C-400C-4946-90B4-89B28072D1EE}"/>
    <cellStyle name="Moneda 16" xfId="86" xr:uid="{98096A98-37C6-4BC7-9AD7-9733D0537173}"/>
    <cellStyle name="Moneda 16 2" xfId="213" xr:uid="{F9E26912-6006-4775-AE30-B73B21A12FA7}"/>
    <cellStyle name="Moneda 17" xfId="87" xr:uid="{3A952B58-8380-4D5D-9B57-C4043C347D0A}"/>
    <cellStyle name="Moneda 17 2" xfId="214" xr:uid="{A27D28FA-00C5-4DAF-9090-228AA2C14FD4}"/>
    <cellStyle name="Moneda 18" xfId="89" xr:uid="{2FDF2699-C296-46AE-B4BD-0A46EF3DC201}"/>
    <cellStyle name="Moneda 18 2" xfId="216" xr:uid="{828553BD-2B93-41F0-8073-704A854A98B9}"/>
    <cellStyle name="Moneda 19" xfId="91" xr:uid="{4F425D11-CAD6-4212-8F9C-BD63FBB61026}"/>
    <cellStyle name="Moneda 19 2" xfId="218" xr:uid="{6C8F2D0E-3A7E-4EB1-80EF-211A47AB8DA9}"/>
    <cellStyle name="Moneda 2" xfId="9" xr:uid="{E921B35B-91E7-4373-9BCC-F7D3B1ABEEC9}"/>
    <cellStyle name="Moneda 20" xfId="93" xr:uid="{08F328F7-6311-4667-8F23-18C34908C54A}"/>
    <cellStyle name="Moneda 20 2" xfId="220" xr:uid="{2927672E-5D2A-474F-8F2E-408F3BB656BD}"/>
    <cellStyle name="Moneda 21" xfId="7" xr:uid="{499958C6-D025-4C45-A1D6-345324CCDAF1}"/>
    <cellStyle name="Moneda 21 2" xfId="63" xr:uid="{1BDD0F04-D7AF-44D2-B250-F6DC1809A158}"/>
    <cellStyle name="Moneda 21 2 2" xfId="190" xr:uid="{09E06200-4130-450C-BD24-2F76A5878C1F}"/>
    <cellStyle name="Moneda 21 3" xfId="262" xr:uid="{6CB58E48-A784-4A84-AC85-887C3A37CA4E}"/>
    <cellStyle name="Moneda 22" xfId="82" xr:uid="{4B86BB9F-48DB-4F00-9B12-EF0C1CBE4706}"/>
    <cellStyle name="Moneda 22 2" xfId="209" xr:uid="{DEA49425-96E5-4124-87EB-158724125164}"/>
    <cellStyle name="Moneda 23" xfId="98" xr:uid="{391779FB-D35D-4973-A672-4FAB45112222}"/>
    <cellStyle name="Moneda 23 2" xfId="225" xr:uid="{E6C4CE41-5C50-41B3-B6DD-48A8DA00CEC7}"/>
    <cellStyle name="Moneda 24" xfId="88" xr:uid="{1E59CA2B-0008-4F04-BBEE-2A4078D4A7B4}"/>
    <cellStyle name="Moneda 24 2" xfId="215" xr:uid="{EA0FCFEA-90D5-4604-B66F-9C0D0ACF5EA4}"/>
    <cellStyle name="Moneda 25" xfId="132" xr:uid="{D950AB57-6EF1-4E29-824E-C5DCEB5B5638}"/>
    <cellStyle name="Moneda 25 2" xfId="259" xr:uid="{697866E6-DE76-485C-B960-4FD1765724F2}"/>
    <cellStyle name="Moneda 26" xfId="136" xr:uid="{8437D25D-DA5A-4196-A408-DF2E6128060B}"/>
    <cellStyle name="Moneda 3" xfId="10" xr:uid="{1B06D62F-06FA-48B2-ACBF-0B33C8EC4706}"/>
    <cellStyle name="Moneda 3 2" xfId="13" xr:uid="{EB8289EF-0795-4088-9873-24AD18DE5558}"/>
    <cellStyle name="Moneda 3 2 2" xfId="103" xr:uid="{C5122FA2-CDE8-42F0-8C31-64D0C289CDD0}"/>
    <cellStyle name="Moneda 3 2 2 2" xfId="230" xr:uid="{0E01CB4A-3207-4858-91A6-E14B9BB1CD37}"/>
    <cellStyle name="Moneda 3 2 3" xfId="141" xr:uid="{4981E647-B2C1-4CBB-90F3-E2BE5ABF01E0}"/>
    <cellStyle name="Moneda 3 3" xfId="45" xr:uid="{A12EECB7-D9B8-4133-A951-DC1DE3D4DDBC}"/>
    <cellStyle name="Moneda 3 3 2" xfId="172" xr:uid="{2F18326F-C896-4401-9612-D6D11E0DEFDF}"/>
    <cellStyle name="Moneda 3 4" xfId="100" xr:uid="{3336358F-55D0-43FA-B44F-7BB3C8FA08A2}"/>
    <cellStyle name="Moneda 3 4 2" xfId="227" xr:uid="{32DD9A6B-7D89-4801-996E-1B4E15821E4E}"/>
    <cellStyle name="Moneda 3 5" xfId="138" xr:uid="{12D762C8-C6C0-48CF-8455-5C016C9FD4BF}"/>
    <cellStyle name="Moneda 4" xfId="21" xr:uid="{187C84D8-3B1B-42FC-A216-0B1516FAE49E}"/>
    <cellStyle name="Moneda 4 2" xfId="54" xr:uid="{2DB78C2E-3738-4466-897B-1D2EA741C0CC}"/>
    <cellStyle name="Moneda 4 2 2" xfId="181" xr:uid="{A63E7E3D-9F6C-4346-A82F-2B071366BB76}"/>
    <cellStyle name="Moneda 4 3" xfId="110" xr:uid="{69A6C22E-4508-4D58-93C2-5F6D321F2516}"/>
    <cellStyle name="Moneda 4 3 2" xfId="237" xr:uid="{4CCAA9D4-C5CA-4824-92B6-51ACE8742DB6}"/>
    <cellStyle name="Moneda 4 4" xfId="148" xr:uid="{C05816A4-028F-495E-A127-96D04DE42BA4}"/>
    <cellStyle name="Moneda 5" xfId="12" xr:uid="{5D79BC6C-F723-444B-BDDC-09892BECE430}"/>
    <cellStyle name="Moneda 5 2" xfId="102" xr:uid="{8A7FBD1D-9BEE-43FA-844A-B9C0EBC144AC}"/>
    <cellStyle name="Moneda 5 2 2" xfId="229" xr:uid="{EA90184E-E485-4C5F-BB36-82F92AE26A91}"/>
    <cellStyle name="Moneda 5 3" xfId="140" xr:uid="{289DB88D-6707-426F-86B4-AA7E9CDE7476}"/>
    <cellStyle name="Moneda 6" xfId="44" xr:uid="{705EC69A-84F3-4BD9-853E-E347DC533D5C}"/>
    <cellStyle name="Moneda 6 2" xfId="171" xr:uid="{D6EF882F-0798-4575-9893-98B380099B34}"/>
    <cellStyle name="Moneda 7" xfId="49" xr:uid="{0646A727-C33B-4674-998A-3CCA611A1BE6}"/>
    <cellStyle name="Moneda 7 2" xfId="176" xr:uid="{C01D2E1A-1134-417F-8EE5-43FC00F21F07}"/>
    <cellStyle name="Moneda 8" xfId="65" xr:uid="{C3C06589-9999-4FEF-BBF1-EF31E3CE76DD}"/>
    <cellStyle name="Moneda 8 2" xfId="192" xr:uid="{D9EF370A-E26B-4D05-8A7C-8BDECA8229DC}"/>
    <cellStyle name="Moneda 9" xfId="78" xr:uid="{9E2DE4E2-F9B1-4185-A71E-BBABA8967FAC}"/>
    <cellStyle name="Moneda 9 2" xfId="205" xr:uid="{05C6B6CB-16F8-4777-B712-20F43029B155}"/>
    <cellStyle name="Normal" xfId="0" builtinId="0"/>
    <cellStyle name="Normal 2" xfId="8" xr:uid="{1A119E8C-6B32-4E3F-B34F-D710ED72A3F4}"/>
    <cellStyle name="Normal 2 2" xfId="19" xr:uid="{2577D7EC-34FA-4BB8-BB30-949340B59471}"/>
    <cellStyle name="Porcentaje" xfId="5" builtinId="5"/>
  </cellStyles>
  <dxfs count="689">
    <dxf>
      <font>
        <color rgb="FF9C0006"/>
      </font>
      <fill>
        <patternFill>
          <bgColor rgb="FFFFC7CE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numFmt numFmtId="173" formatCode="_-&quot;$&quot;\ * #,##0_-;\-&quot;$&quot;\ * #,##0_-;_-&quot;$&quot;\ * &quot;-&quot;??_-;_-@_-"/>
    </dxf>
    <dxf>
      <numFmt numFmtId="173" formatCode="_-&quot;$&quot;\ * #,##0_-;\-&quot;$&quot;\ * #,##0_-;_-&quot;$&quot;\ * &quot;-&quot;??_-;_-@_-"/>
    </dxf>
  </dxfs>
  <tableStyles count="0" defaultTableStyle="TableStyleMedium2" defaultPivotStyle="PivotStyleLight16"/>
  <colors>
    <mruColors>
      <color rgb="FFFF9999"/>
      <color rgb="FFCC99FF"/>
      <color rgb="FFFFCCFF"/>
      <color rgb="FFCCCCFF"/>
      <color rgb="FFFF99CC"/>
      <color rgb="FF66CC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156188</xdr:colOff>
      <xdr:row>1</xdr:row>
      <xdr:rowOff>285749</xdr:rowOff>
    </xdr:from>
    <xdr:to>
      <xdr:col>10</xdr:col>
      <xdr:colOff>277223</xdr:colOff>
      <xdr:row>4</xdr:row>
      <xdr:rowOff>66674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B83B94-E65F-4999-9AD7-364A09E5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4163" y="552449"/>
          <a:ext cx="2949960" cy="923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MOVLIFE%20SAS\Melissa%20Gomez%20Florez%20-%205.%20Operaciones\6.%20Cuadro%20control%20semanal\2020\Septiembre%202020\Semana%204\CUADRO%20CONTROL%20SEMANA%204%20OPERACIONES%20V1_CIERR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personal/melissa_gomez_movlife_co/Documents/5.%20Operaciones/3.%20Coordinador%203%20-%20Alexa/2.%20CONTROL%20DIA%20A%20DIA/FR-04-004%20Listado%20de%20vehiculos%20%20habilitados%20para%20operaci&#243;n%20JUNIO.xlsx?C4143DE5" TargetMode="External"/><Relationship Id="rId1" Type="http://schemas.openxmlformats.org/officeDocument/2006/relationships/externalLinkPath" Target="file:///\\C4143DE5\FR-04-004%20Listado%20de%20vehiculos%20%20habilitados%20para%20operaci&#243;n%20JUNI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personal/melissa_gomez_movlife_co/Documents/4.%20Direcci&#243;n%20Administrativa%20y%20Financiera/2.%20FINANCIERA/7.%20PRESTAMOS/CONDUCTORES%20VINCULADOS/DESCUENTO%20DE%20PRESTAMOS%20MOVLIFE%202021%20-%20CONDUCTORES.xlsx?C16465F5" TargetMode="External"/><Relationship Id="rId1" Type="http://schemas.openxmlformats.org/officeDocument/2006/relationships/externalLinkPath" Target="file:///\\C16465F5\DESCUENTO%20DE%20PRESTAMOS%20MOVLIFE%202021%20-%20CONDUCTO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MOVLIFE%20SAS\Melissa%20Gomez%20Florez%20-%205.%20Operaciones\6.%20Cuadro%20control%20semanal\2021\TARIFAS%20ANALIZ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SEPTIEMBRE"/>
      <sheetName val="BASE PASAJEROS "/>
      <sheetName val="BASE DE CONDUCTORES "/>
      <sheetName val="TABLA DINAMICA DE PAGOS"/>
      <sheetName val="BASE BANCOS "/>
      <sheetName val="PRESTAMOS CONDUCTORES"/>
      <sheetName val="LIQUIDACIÓN DE PRESTA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SOUL"/>
      <sheetName val="MATRIZ"/>
      <sheetName val="MOVLIFE"/>
      <sheetName val="TRES PER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B3" t="str">
            <v>M</v>
          </cell>
        </row>
        <row r="19">
          <cell r="B19" t="str">
            <v>C</v>
          </cell>
          <cell r="C19" t="str">
            <v>Yuberd Arley</v>
          </cell>
          <cell r="D19" t="str">
            <v>Vargar Pulido</v>
          </cell>
          <cell r="F19" t="str">
            <v>yuberd10@hotmail.com</v>
          </cell>
          <cell r="G19">
            <v>3112435811</v>
          </cell>
          <cell r="H19">
            <v>1049627588</v>
          </cell>
          <cell r="I19" t="str">
            <v>Cr 24 10 51</v>
          </cell>
          <cell r="J19" t="str">
            <v>EQY410</v>
          </cell>
          <cell r="K19">
            <v>2018</v>
          </cell>
          <cell r="L19" t="str">
            <v>CAMIONETA</v>
          </cell>
          <cell r="M19" t="str">
            <v>DFSK</v>
          </cell>
          <cell r="N19" t="str">
            <v>BOGOTA</v>
          </cell>
          <cell r="O19" t="str">
            <v>Jose Hernando Gamba</v>
          </cell>
          <cell r="P19">
            <v>19444651</v>
          </cell>
          <cell r="Q19"/>
          <cell r="R19"/>
          <cell r="S19">
            <v>44939</v>
          </cell>
          <cell r="U19">
            <v>44536</v>
          </cell>
          <cell r="W19">
            <v>44728</v>
          </cell>
          <cell r="Y19">
            <v>44728</v>
          </cell>
          <cell r="AA19">
            <v>44550</v>
          </cell>
          <cell r="AC19">
            <v>44536</v>
          </cell>
          <cell r="AG19">
            <v>44476</v>
          </cell>
          <cell r="AM19" t="str">
            <v>SI</v>
          </cell>
          <cell r="BB19" t="str">
            <v>TRANSPORTES ESPECIALES 360 S.A.S</v>
          </cell>
        </row>
        <row r="20">
          <cell r="B20" t="str">
            <v>C</v>
          </cell>
          <cell r="C20" t="str">
            <v>Walter Alexander</v>
          </cell>
          <cell r="D20" t="str">
            <v>Henao</v>
          </cell>
          <cell r="F20" t="str">
            <v>alexhew2194@hotmail.com</v>
          </cell>
          <cell r="G20">
            <v>3023750861</v>
          </cell>
          <cell r="H20">
            <v>1128414237</v>
          </cell>
          <cell r="I20" t="str">
            <v>CL 34aa # 98-25</v>
          </cell>
          <cell r="J20" t="str">
            <v>ESQ126</v>
          </cell>
          <cell r="K20">
            <v>2019</v>
          </cell>
          <cell r="L20" t="str">
            <v>CAMIONETA</v>
          </cell>
          <cell r="M20" t="str">
            <v>RENAULT</v>
          </cell>
          <cell r="N20" t="str">
            <v>MEDELLIN</v>
          </cell>
          <cell r="O20" t="str">
            <v>Walter Alexander Henao Mora</v>
          </cell>
          <cell r="P20">
            <v>1128414237</v>
          </cell>
          <cell r="Q20" t="str">
            <v>alexhew2194@hotmail.com</v>
          </cell>
          <cell r="R20"/>
          <cell r="S20">
            <v>44575</v>
          </cell>
          <cell r="U20">
            <v>44549</v>
          </cell>
          <cell r="W20">
            <v>44558</v>
          </cell>
          <cell r="Y20">
            <v>44558</v>
          </cell>
          <cell r="AA20">
            <v>44564</v>
          </cell>
          <cell r="AC20">
            <v>44544</v>
          </cell>
          <cell r="AG20">
            <v>44479</v>
          </cell>
          <cell r="AM20" t="str">
            <v>SI</v>
          </cell>
          <cell r="BB20" t="str">
            <v>TRANSPORTE VIP EXPRESS S.A.S</v>
          </cell>
        </row>
      </sheetData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"/>
      <sheetName val="PRESTAMOS"/>
      <sheetName val="RELACION DTO  PRESTAMO"/>
      <sheetName val="TABLA COORDINADORES"/>
      <sheetName val="LORENA 2020"/>
      <sheetName val="ORLANDO 2020"/>
      <sheetName val="CONSOLIDADO PAULA"/>
      <sheetName val="DEUDA EVER"/>
      <sheetName val="ORLANDO RIVERA "/>
      <sheetName val="DEUDA SRA GLORIA"/>
      <sheetName val="DEUDA ANDRES CABANZO"/>
      <sheetName val="DEUDA YECIR REYES"/>
      <sheetName val="PRESTAMOS KIMBERLI"/>
      <sheetName val="PRESTAMO PAPA DE LORENA"/>
    </sheetNames>
    <sheetDataSet>
      <sheetData sheetId="0"/>
      <sheetData sheetId="1">
        <row r="1">
          <cell r="A1" t="str">
            <v>No</v>
          </cell>
          <cell r="B1" t="str">
            <v xml:space="preserve">IDENTIFICACION </v>
          </cell>
          <cell r="C1" t="str">
            <v>NOMBRES Y APELLIDOS</v>
          </cell>
          <cell r="D1" t="str">
            <v>COORDINADOR</v>
          </cell>
          <cell r="E1" t="str">
            <v>DETALLE</v>
          </cell>
          <cell r="F1" t="str">
            <v xml:space="preserve">VALOR DESEMBOLSO </v>
          </cell>
          <cell r="G1" t="str">
            <v>VALOR INTERESES</v>
          </cell>
          <cell r="H1" t="str">
            <v>TOTAL A PAGAR</v>
          </cell>
          <cell r="I1" t="str">
            <v xml:space="preserve">FECHA DE DESEMBOLSO </v>
          </cell>
          <cell r="J1" t="str">
            <v xml:space="preserve">CUOTAS </v>
          </cell>
          <cell r="K1" t="str">
            <v>CUOTA FIJA</v>
          </cell>
          <cell r="L1" t="str">
            <v>C DESC</v>
          </cell>
          <cell r="M1" t="str">
            <v xml:space="preserve">SALDO </v>
          </cell>
          <cell r="N1" t="str">
            <v>ESTADO</v>
          </cell>
        </row>
        <row r="2">
          <cell r="A2" t="str">
            <v>PMO-00001</v>
          </cell>
          <cell r="B2">
            <v>9873841</v>
          </cell>
          <cell r="C2" t="str">
            <v>GONZALEZ GARCIA LEONARDO</v>
          </cell>
          <cell r="D2" t="str">
            <v>LORENA</v>
          </cell>
          <cell r="E2" t="str">
            <v>SALDO PRESTAMO 31 DICIEMBRE</v>
          </cell>
          <cell r="F2">
            <v>939500</v>
          </cell>
          <cell r="G2">
            <v>32882.5</v>
          </cell>
          <cell r="H2">
            <v>989106</v>
          </cell>
          <cell r="I2">
            <v>44039</v>
          </cell>
          <cell r="J2">
            <v>0</v>
          </cell>
          <cell r="K2">
            <v>0</v>
          </cell>
          <cell r="L2">
            <v>371276.5</v>
          </cell>
          <cell r="M2">
            <v>617829.5</v>
          </cell>
          <cell r="N2" t="str">
            <v>CON SALDO</v>
          </cell>
        </row>
        <row r="3">
          <cell r="A3" t="str">
            <v>PMO-00002</v>
          </cell>
          <cell r="B3">
            <v>73121964</v>
          </cell>
          <cell r="C3" t="str">
            <v xml:space="preserve">GUERRERO MARTINEZ LUIS </v>
          </cell>
          <cell r="D3" t="str">
            <v>LORENA</v>
          </cell>
          <cell r="E3" t="str">
            <v>PRESTAMO</v>
          </cell>
          <cell r="F3">
            <v>950000</v>
          </cell>
          <cell r="G3">
            <v>33250</v>
          </cell>
          <cell r="H3">
            <v>983250</v>
          </cell>
          <cell r="I3">
            <v>44049</v>
          </cell>
          <cell r="J3">
            <v>19</v>
          </cell>
          <cell r="K3"/>
          <cell r="L3">
            <v>983250</v>
          </cell>
          <cell r="M3">
            <v>0</v>
          </cell>
          <cell r="N3" t="str">
            <v>CANCELADO</v>
          </cell>
        </row>
        <row r="4">
          <cell r="A4" t="str">
            <v>PMO-00003</v>
          </cell>
          <cell r="B4">
            <v>92640132</v>
          </cell>
          <cell r="C4" t="str">
            <v>TIBAQUIRA ALMANZA GIOVANNY</v>
          </cell>
          <cell r="D4" t="str">
            <v>ORLANDO</v>
          </cell>
          <cell r="E4" t="str">
            <v>SALDO PRESTAMO 31 DICIEMBRE</v>
          </cell>
          <cell r="F4">
            <v>749854</v>
          </cell>
          <cell r="G4">
            <v>0</v>
          </cell>
          <cell r="H4">
            <v>749854</v>
          </cell>
          <cell r="I4">
            <v>44051</v>
          </cell>
          <cell r="J4">
            <v>3</v>
          </cell>
          <cell r="K4">
            <v>120821</v>
          </cell>
          <cell r="L4">
            <v>362463</v>
          </cell>
          <cell r="M4">
            <v>387391</v>
          </cell>
          <cell r="N4" t="str">
            <v>CON SALDO</v>
          </cell>
        </row>
        <row r="5">
          <cell r="A5" t="str">
            <v>PMO-00004</v>
          </cell>
          <cell r="B5">
            <v>73184151</v>
          </cell>
          <cell r="C5" t="str">
            <v>PADILLA VILLADIEGO LUIS ALBERTO</v>
          </cell>
          <cell r="D5" t="str">
            <v>FRANCY</v>
          </cell>
          <cell r="E5" t="str">
            <v>SALDO PRESTAMO 31 DICIEMBRE</v>
          </cell>
          <cell r="F5">
            <v>500000</v>
          </cell>
          <cell r="G5">
            <v>17500</v>
          </cell>
          <cell r="H5">
            <v>517500</v>
          </cell>
          <cell r="I5">
            <v>44061</v>
          </cell>
          <cell r="J5">
            <v>0</v>
          </cell>
          <cell r="K5">
            <v>0</v>
          </cell>
          <cell r="L5">
            <v>129375</v>
          </cell>
          <cell r="M5">
            <v>388125</v>
          </cell>
          <cell r="N5" t="str">
            <v>CON SALDO</v>
          </cell>
        </row>
        <row r="6">
          <cell r="A6" t="str">
            <v>PMO-00005</v>
          </cell>
          <cell r="B6">
            <v>1128414237</v>
          </cell>
          <cell r="C6" t="str">
            <v>HENAO MORA WALTER ALEXANDER</v>
          </cell>
          <cell r="D6" t="str">
            <v>LORENA</v>
          </cell>
          <cell r="E6" t="str">
            <v>PRESTAMO</v>
          </cell>
          <cell r="F6">
            <v>1000000</v>
          </cell>
          <cell r="G6">
            <v>35000</v>
          </cell>
          <cell r="H6">
            <v>1035000</v>
          </cell>
          <cell r="I6">
            <v>44194</v>
          </cell>
          <cell r="J6">
            <v>8</v>
          </cell>
          <cell r="K6">
            <v>0</v>
          </cell>
          <cell r="L6">
            <v>1035000</v>
          </cell>
          <cell r="M6">
            <v>0</v>
          </cell>
          <cell r="N6" t="str">
            <v>CANCELADO</v>
          </cell>
        </row>
        <row r="7">
          <cell r="A7" t="str">
            <v>PMO-00006</v>
          </cell>
          <cell r="B7">
            <v>71715426</v>
          </cell>
          <cell r="C7" t="str">
            <v xml:space="preserve">ECHAVARRIA CASTAÑEDA JUAN </v>
          </cell>
          <cell r="D7" t="str">
            <v>LORENA</v>
          </cell>
          <cell r="E7" t="str">
            <v xml:space="preserve">PRESTAMO </v>
          </cell>
          <cell r="F7">
            <v>350000</v>
          </cell>
          <cell r="G7">
            <v>12250.000000000002</v>
          </cell>
          <cell r="H7">
            <v>362250</v>
          </cell>
          <cell r="I7">
            <v>44202</v>
          </cell>
          <cell r="J7">
            <v>8</v>
          </cell>
          <cell r="K7">
            <v>0</v>
          </cell>
          <cell r="L7">
            <v>362250</v>
          </cell>
          <cell r="M7">
            <v>0</v>
          </cell>
          <cell r="N7" t="str">
            <v>CANCELADO</v>
          </cell>
        </row>
        <row r="8">
          <cell r="A8" t="str">
            <v>PMO-00007</v>
          </cell>
          <cell r="B8">
            <v>1140902214</v>
          </cell>
          <cell r="C8" t="str">
            <v>CABARCAS ARATO JOSE DAVID</v>
          </cell>
          <cell r="D8" t="str">
            <v>LORENA</v>
          </cell>
          <cell r="E8" t="str">
            <v xml:space="preserve">PRESTAMO </v>
          </cell>
          <cell r="F8">
            <v>500000</v>
          </cell>
          <cell r="G8">
            <v>17500</v>
          </cell>
          <cell r="H8">
            <v>517500</v>
          </cell>
          <cell r="I8">
            <v>44215</v>
          </cell>
          <cell r="J8">
            <v>4</v>
          </cell>
          <cell r="K8">
            <v>0</v>
          </cell>
          <cell r="L8">
            <v>517500</v>
          </cell>
          <cell r="M8">
            <v>0</v>
          </cell>
          <cell r="N8" t="str">
            <v>CANCELADO</v>
          </cell>
        </row>
        <row r="9">
          <cell r="A9" t="str">
            <v>PMO-00008</v>
          </cell>
          <cell r="B9">
            <v>15440624</v>
          </cell>
          <cell r="C9" t="str">
            <v>GALLEGO MURILLO OSCAR MAURICIO</v>
          </cell>
          <cell r="D9" t="str">
            <v>ORLANDO</v>
          </cell>
          <cell r="E9" t="str">
            <v>PRESTAMO</v>
          </cell>
          <cell r="F9">
            <v>300000</v>
          </cell>
          <cell r="G9">
            <v>10500.000000000002</v>
          </cell>
          <cell r="H9">
            <v>310500</v>
          </cell>
          <cell r="I9">
            <v>44215</v>
          </cell>
          <cell r="J9">
            <v>4</v>
          </cell>
          <cell r="K9">
            <v>0</v>
          </cell>
          <cell r="L9">
            <v>310500</v>
          </cell>
          <cell r="M9">
            <v>0</v>
          </cell>
          <cell r="N9" t="str">
            <v>CANCELADO</v>
          </cell>
        </row>
        <row r="10">
          <cell r="A10" t="str">
            <v>PMO-00009</v>
          </cell>
          <cell r="B10">
            <v>19425025</v>
          </cell>
          <cell r="C10" t="str">
            <v>NESTOR HENRY ALGECIRA</v>
          </cell>
          <cell r="D10" t="str">
            <v>LORENA</v>
          </cell>
          <cell r="E10" t="str">
            <v xml:space="preserve">POLIZAS Y SOAT </v>
          </cell>
          <cell r="F10">
            <v>1046300</v>
          </cell>
          <cell r="G10">
            <v>0</v>
          </cell>
          <cell r="H10">
            <v>1046300</v>
          </cell>
          <cell r="I10">
            <v>44197</v>
          </cell>
          <cell r="J10">
            <v>0</v>
          </cell>
          <cell r="K10"/>
          <cell r="L10">
            <v>1140000</v>
          </cell>
          <cell r="M10">
            <v>-93700</v>
          </cell>
          <cell r="N10" t="str">
            <v>CON SALDO</v>
          </cell>
        </row>
        <row r="11">
          <cell r="A11" t="str">
            <v>PMO-00010</v>
          </cell>
          <cell r="B11">
            <v>11345317</v>
          </cell>
          <cell r="C11" t="str">
            <v>ALDANA RODRIGUEZ HELMAN</v>
          </cell>
          <cell r="D11" t="str">
            <v>LORENA</v>
          </cell>
          <cell r="E11" t="str">
            <v xml:space="preserve">POLIZAS Y SOAT Y GPS Y LOGOS </v>
          </cell>
          <cell r="F11">
            <v>2838863</v>
          </cell>
          <cell r="G11">
            <v>0</v>
          </cell>
          <cell r="H11">
            <v>2838863</v>
          </cell>
          <cell r="I11">
            <v>44197</v>
          </cell>
          <cell r="J11">
            <v>0</v>
          </cell>
          <cell r="K11"/>
          <cell r="L11">
            <v>3214875</v>
          </cell>
          <cell r="M11">
            <v>-376012</v>
          </cell>
          <cell r="N11" t="str">
            <v>CON SALDO</v>
          </cell>
        </row>
        <row r="12">
          <cell r="A12" t="str">
            <v>PMO-00011</v>
          </cell>
          <cell r="B12">
            <v>80058222</v>
          </cell>
          <cell r="C12" t="str">
            <v>TELLEZ RUIZ JAIRO ALEJANDRO</v>
          </cell>
          <cell r="D12" t="str">
            <v>ORLANDO</v>
          </cell>
          <cell r="E12" t="str">
            <v>BONOS PERDIDOS</v>
          </cell>
          <cell r="F12">
            <v>670000</v>
          </cell>
          <cell r="G12">
            <v>23450.000000000004</v>
          </cell>
          <cell r="H12">
            <v>693450</v>
          </cell>
          <cell r="I12">
            <v>44232</v>
          </cell>
          <cell r="J12">
            <v>7</v>
          </cell>
          <cell r="K12">
            <v>0</v>
          </cell>
          <cell r="L12">
            <v>693450</v>
          </cell>
          <cell r="M12">
            <v>0</v>
          </cell>
          <cell r="N12" t="str">
            <v>CANCELADO</v>
          </cell>
        </row>
        <row r="13">
          <cell r="A13" t="str">
            <v>PMO-00012</v>
          </cell>
          <cell r="B13">
            <v>1128414237</v>
          </cell>
          <cell r="C13" t="str">
            <v>HENAO MORA WALTER ALEXANDER</v>
          </cell>
          <cell r="D13" t="str">
            <v>LORENA</v>
          </cell>
          <cell r="E13" t="str">
            <v>PRESTAMO</v>
          </cell>
          <cell r="F13">
            <v>900000</v>
          </cell>
          <cell r="G13">
            <v>31500.000000000004</v>
          </cell>
          <cell r="H13">
            <v>931500</v>
          </cell>
          <cell r="I13">
            <v>44270</v>
          </cell>
          <cell r="J13">
            <v>2</v>
          </cell>
          <cell r="K13">
            <v>0</v>
          </cell>
          <cell r="L13">
            <v>931500</v>
          </cell>
          <cell r="M13">
            <v>0</v>
          </cell>
          <cell r="N13" t="str">
            <v>CANCELADO</v>
          </cell>
        </row>
        <row r="14">
          <cell r="A14" t="str">
            <v>PMO-00013</v>
          </cell>
          <cell r="B14">
            <v>1140902214</v>
          </cell>
          <cell r="C14" t="str">
            <v>CABARCAS ARATO JOSE DAVID</v>
          </cell>
          <cell r="D14" t="str">
            <v>LORENA</v>
          </cell>
          <cell r="E14" t="str">
            <v>PRESTAMO</v>
          </cell>
          <cell r="F14">
            <v>1000000</v>
          </cell>
          <cell r="G14">
            <v>35000</v>
          </cell>
          <cell r="H14">
            <v>1035000</v>
          </cell>
          <cell r="I14">
            <v>44279</v>
          </cell>
          <cell r="J14">
            <v>4</v>
          </cell>
          <cell r="K14">
            <v>0</v>
          </cell>
          <cell r="L14">
            <v>1035000</v>
          </cell>
          <cell r="M14">
            <v>0</v>
          </cell>
          <cell r="N14" t="str">
            <v>CANCELADO</v>
          </cell>
        </row>
        <row r="15">
          <cell r="A15" t="str">
            <v>PMO-00015</v>
          </cell>
          <cell r="B15">
            <v>73121964</v>
          </cell>
          <cell r="C15" t="str">
            <v xml:space="preserve">GUERRERO MARTINEZ LUIS </v>
          </cell>
          <cell r="D15" t="str">
            <v>LORENA</v>
          </cell>
          <cell r="E15" t="str">
            <v>PRESTAMO</v>
          </cell>
          <cell r="F15">
            <v>500000</v>
          </cell>
          <cell r="G15">
            <v>17500</v>
          </cell>
          <cell r="H15">
            <v>517500</v>
          </cell>
          <cell r="I15">
            <v>44306</v>
          </cell>
          <cell r="J15">
            <v>12</v>
          </cell>
          <cell r="K15">
            <v>43125</v>
          </cell>
          <cell r="L15">
            <v>431250</v>
          </cell>
          <cell r="M15">
            <v>86250</v>
          </cell>
          <cell r="N15" t="str">
            <v>CON SALDO</v>
          </cell>
        </row>
        <row r="16">
          <cell r="A16" t="str">
            <v>PMO-00016</v>
          </cell>
          <cell r="B16">
            <v>15440624</v>
          </cell>
          <cell r="C16" t="str">
            <v>GALLEGO MURILLO OSCAR MAURICIO</v>
          </cell>
          <cell r="D16" t="str">
            <v>ORLANDO</v>
          </cell>
          <cell r="E16" t="str">
            <v>PRESTAMO</v>
          </cell>
          <cell r="F16">
            <v>200000</v>
          </cell>
          <cell r="G16">
            <v>7000.0000000000009</v>
          </cell>
          <cell r="H16">
            <v>207000</v>
          </cell>
          <cell r="I16">
            <v>44307</v>
          </cell>
          <cell r="J16">
            <v>8</v>
          </cell>
          <cell r="K16">
            <v>25875</v>
          </cell>
          <cell r="L16">
            <v>207000</v>
          </cell>
          <cell r="M16">
            <v>0</v>
          </cell>
          <cell r="N16" t="str">
            <v>CANCELADO</v>
          </cell>
        </row>
        <row r="17">
          <cell r="A17" t="str">
            <v>PMO-00017</v>
          </cell>
          <cell r="B17">
            <v>9892984</v>
          </cell>
          <cell r="C17" t="str">
            <v xml:space="preserve">LOAIZA TREJOS LEONARDO DE </v>
          </cell>
          <cell r="D17" t="str">
            <v>LORENA</v>
          </cell>
          <cell r="E17" t="str">
            <v>PRESTAMO</v>
          </cell>
          <cell r="F17">
            <v>500000</v>
          </cell>
          <cell r="G17">
            <v>17500</v>
          </cell>
          <cell r="H17">
            <v>517500</v>
          </cell>
          <cell r="I17">
            <v>44329</v>
          </cell>
          <cell r="J17">
            <v>8</v>
          </cell>
          <cell r="K17">
            <v>64687.5</v>
          </cell>
          <cell r="L17">
            <v>452812.5</v>
          </cell>
          <cell r="M17">
            <v>64687.5</v>
          </cell>
          <cell r="N17" t="str">
            <v>CON SALDO</v>
          </cell>
        </row>
        <row r="18">
          <cell r="A18" t="str">
            <v>PMO-00018</v>
          </cell>
          <cell r="B18"/>
          <cell r="C18" t="e">
            <v>#N/A</v>
          </cell>
          <cell r="D18"/>
          <cell r="E18"/>
          <cell r="F18"/>
          <cell r="G18">
            <v>0</v>
          </cell>
          <cell r="H18">
            <v>0</v>
          </cell>
          <cell r="I18"/>
          <cell r="J18"/>
          <cell r="K18"/>
          <cell r="L18">
            <v>0</v>
          </cell>
          <cell r="M18">
            <v>0</v>
          </cell>
          <cell r="N18" t="str">
            <v>CANCELADO</v>
          </cell>
        </row>
        <row r="19">
          <cell r="A19" t="str">
            <v>PMO-00019</v>
          </cell>
          <cell r="B19"/>
          <cell r="C19" t="e">
            <v>#N/A</v>
          </cell>
          <cell r="D19"/>
          <cell r="E19"/>
          <cell r="F19"/>
          <cell r="G19">
            <v>0</v>
          </cell>
          <cell r="H19">
            <v>0</v>
          </cell>
          <cell r="I19"/>
          <cell r="J19"/>
          <cell r="K19"/>
          <cell r="L19">
            <v>0</v>
          </cell>
          <cell r="M19">
            <v>0</v>
          </cell>
          <cell r="N19" t="str">
            <v>CANCELADO</v>
          </cell>
        </row>
        <row r="20">
          <cell r="A20" t="str">
            <v>PMO-00020</v>
          </cell>
          <cell r="B20"/>
          <cell r="C20" t="e">
            <v>#N/A</v>
          </cell>
          <cell r="D20"/>
          <cell r="E20"/>
          <cell r="F20"/>
          <cell r="G20">
            <v>0</v>
          </cell>
          <cell r="H20">
            <v>0</v>
          </cell>
          <cell r="I20"/>
          <cell r="J20"/>
          <cell r="K20"/>
          <cell r="L20">
            <v>0</v>
          </cell>
          <cell r="M20">
            <v>0</v>
          </cell>
          <cell r="N20" t="str">
            <v>CANCELADO</v>
          </cell>
        </row>
        <row r="21">
          <cell r="A21" t="str">
            <v>PMO-00021</v>
          </cell>
          <cell r="B21"/>
          <cell r="C21" t="e">
            <v>#N/A</v>
          </cell>
          <cell r="D21"/>
          <cell r="E21"/>
          <cell r="F21"/>
          <cell r="G21">
            <v>0</v>
          </cell>
          <cell r="H21">
            <v>0</v>
          </cell>
          <cell r="I21"/>
          <cell r="J21"/>
          <cell r="K21"/>
          <cell r="L21">
            <v>0</v>
          </cell>
          <cell r="M21">
            <v>0</v>
          </cell>
          <cell r="N21" t="str">
            <v>CANCELADO</v>
          </cell>
        </row>
        <row r="22">
          <cell r="A22" t="str">
            <v>PMO-00022</v>
          </cell>
          <cell r="B22"/>
          <cell r="C22" t="e">
            <v>#N/A</v>
          </cell>
          <cell r="D22"/>
          <cell r="E22"/>
          <cell r="F22"/>
          <cell r="G22">
            <v>0</v>
          </cell>
          <cell r="H22">
            <v>0</v>
          </cell>
          <cell r="I22"/>
          <cell r="J22"/>
          <cell r="K22"/>
          <cell r="L22">
            <v>0</v>
          </cell>
          <cell r="M22">
            <v>0</v>
          </cell>
          <cell r="N22" t="str">
            <v>CANCELADO</v>
          </cell>
        </row>
        <row r="23">
          <cell r="A23" t="str">
            <v>PMO-00023</v>
          </cell>
          <cell r="B23"/>
          <cell r="C23" t="e">
            <v>#N/A</v>
          </cell>
          <cell r="D23"/>
          <cell r="E23"/>
          <cell r="F23"/>
          <cell r="G23">
            <v>0</v>
          </cell>
          <cell r="H23">
            <v>0</v>
          </cell>
          <cell r="I23"/>
          <cell r="J23"/>
          <cell r="K23"/>
          <cell r="L23">
            <v>0</v>
          </cell>
          <cell r="M23">
            <v>0</v>
          </cell>
          <cell r="N23" t="str">
            <v>CANCELADO</v>
          </cell>
        </row>
        <row r="24">
          <cell r="A24" t="str">
            <v>PMO-00024</v>
          </cell>
          <cell r="B24"/>
          <cell r="C24" t="e">
            <v>#N/A</v>
          </cell>
          <cell r="D24"/>
          <cell r="E24"/>
          <cell r="F24"/>
          <cell r="G24">
            <v>0</v>
          </cell>
          <cell r="H24">
            <v>0</v>
          </cell>
          <cell r="I24"/>
          <cell r="J24"/>
          <cell r="K24"/>
          <cell r="L24">
            <v>0</v>
          </cell>
          <cell r="M24">
            <v>0</v>
          </cell>
          <cell r="N24" t="str">
            <v>CANCELADO</v>
          </cell>
        </row>
        <row r="25">
          <cell r="A25" t="str">
            <v>PMO-00025</v>
          </cell>
          <cell r="B25"/>
          <cell r="C25" t="e">
            <v>#N/A</v>
          </cell>
          <cell r="D25"/>
          <cell r="E25"/>
          <cell r="F25"/>
          <cell r="G25">
            <v>0</v>
          </cell>
          <cell r="H25">
            <v>0</v>
          </cell>
          <cell r="I25"/>
          <cell r="J25"/>
          <cell r="K25"/>
          <cell r="L25">
            <v>0</v>
          </cell>
          <cell r="M25">
            <v>0</v>
          </cell>
          <cell r="N25" t="str">
            <v>CANCELADO</v>
          </cell>
        </row>
        <row r="26">
          <cell r="A26" t="str">
            <v>PMO-00026</v>
          </cell>
          <cell r="B26"/>
          <cell r="C26" t="e">
            <v>#N/A</v>
          </cell>
          <cell r="D26"/>
          <cell r="E26"/>
          <cell r="F26"/>
          <cell r="G26">
            <v>0</v>
          </cell>
          <cell r="H26">
            <v>0</v>
          </cell>
          <cell r="I26"/>
          <cell r="J26"/>
          <cell r="K26"/>
          <cell r="L26">
            <v>0</v>
          </cell>
          <cell r="M26">
            <v>0</v>
          </cell>
          <cell r="N26" t="str">
            <v>CANCELADO</v>
          </cell>
        </row>
        <row r="27">
          <cell r="A27" t="str">
            <v>PMO-00027</v>
          </cell>
          <cell r="B27"/>
          <cell r="C27" t="e">
            <v>#N/A</v>
          </cell>
          <cell r="D27"/>
          <cell r="E27"/>
          <cell r="F27"/>
          <cell r="G27">
            <v>0</v>
          </cell>
          <cell r="H27">
            <v>0</v>
          </cell>
          <cell r="I27"/>
          <cell r="J27"/>
          <cell r="K27"/>
          <cell r="L27">
            <v>0</v>
          </cell>
          <cell r="M27">
            <v>0</v>
          </cell>
          <cell r="N27" t="str">
            <v>CANCELADO</v>
          </cell>
        </row>
        <row r="28">
          <cell r="A28" t="str">
            <v>PMO-00028</v>
          </cell>
          <cell r="B28"/>
          <cell r="C28" t="e">
            <v>#N/A</v>
          </cell>
          <cell r="D28"/>
          <cell r="E28"/>
          <cell r="F28"/>
          <cell r="G28">
            <v>0</v>
          </cell>
          <cell r="H28">
            <v>0</v>
          </cell>
          <cell r="I28"/>
          <cell r="J28"/>
          <cell r="K28"/>
          <cell r="L28">
            <v>0</v>
          </cell>
          <cell r="M28">
            <v>0</v>
          </cell>
          <cell r="N28" t="str">
            <v>CANCELADO</v>
          </cell>
        </row>
        <row r="29">
          <cell r="A29" t="str">
            <v>PMO-00029</v>
          </cell>
          <cell r="B29"/>
          <cell r="C29" t="e">
            <v>#N/A</v>
          </cell>
          <cell r="D29"/>
          <cell r="E29"/>
          <cell r="F29"/>
          <cell r="G29">
            <v>0</v>
          </cell>
          <cell r="H29">
            <v>0</v>
          </cell>
          <cell r="I29"/>
          <cell r="J29"/>
          <cell r="K29"/>
          <cell r="L29">
            <v>0</v>
          </cell>
          <cell r="M29">
            <v>0</v>
          </cell>
          <cell r="N29" t="str">
            <v>CANCELADO</v>
          </cell>
        </row>
        <row r="30">
          <cell r="A30" t="str">
            <v>PMO-00030</v>
          </cell>
          <cell r="B30"/>
          <cell r="C30" t="e">
            <v>#N/A</v>
          </cell>
          <cell r="D30"/>
          <cell r="E30"/>
          <cell r="F30"/>
          <cell r="G30">
            <v>0</v>
          </cell>
          <cell r="H30">
            <v>0</v>
          </cell>
          <cell r="I30"/>
          <cell r="J30"/>
          <cell r="K30"/>
          <cell r="L30">
            <v>0</v>
          </cell>
          <cell r="M30">
            <v>0</v>
          </cell>
          <cell r="N30" t="str">
            <v>CANCELADO</v>
          </cell>
        </row>
        <row r="31">
          <cell r="A31" t="str">
            <v>PMO-00031</v>
          </cell>
          <cell r="B31"/>
          <cell r="C31" t="e">
            <v>#N/A</v>
          </cell>
          <cell r="D31"/>
          <cell r="E31"/>
          <cell r="F31"/>
          <cell r="G31">
            <v>0</v>
          </cell>
          <cell r="H31">
            <v>0</v>
          </cell>
          <cell r="I31"/>
          <cell r="J31"/>
          <cell r="K31"/>
          <cell r="L31">
            <v>0</v>
          </cell>
          <cell r="M31">
            <v>0</v>
          </cell>
          <cell r="N31" t="str">
            <v>CANCELADO</v>
          </cell>
        </row>
        <row r="32">
          <cell r="A32" t="str">
            <v>PMO-00032</v>
          </cell>
          <cell r="B32"/>
          <cell r="C32" t="e">
            <v>#N/A</v>
          </cell>
          <cell r="D32"/>
          <cell r="E32"/>
          <cell r="F32"/>
          <cell r="G32">
            <v>0</v>
          </cell>
          <cell r="H32">
            <v>0</v>
          </cell>
          <cell r="I32"/>
          <cell r="J32"/>
          <cell r="K32"/>
          <cell r="L32">
            <v>0</v>
          </cell>
          <cell r="M32">
            <v>0</v>
          </cell>
          <cell r="N32" t="str">
            <v>CANCELADO</v>
          </cell>
        </row>
        <row r="33">
          <cell r="A33" t="str">
            <v>PMO-00033</v>
          </cell>
          <cell r="B33"/>
          <cell r="C33" t="e">
            <v>#N/A</v>
          </cell>
          <cell r="D33"/>
          <cell r="E33"/>
          <cell r="F33"/>
          <cell r="G33">
            <v>0</v>
          </cell>
          <cell r="H33">
            <v>0</v>
          </cell>
          <cell r="I33"/>
          <cell r="J33"/>
          <cell r="K33"/>
          <cell r="L33">
            <v>0</v>
          </cell>
          <cell r="M33">
            <v>0</v>
          </cell>
          <cell r="N33" t="str">
            <v>CANCELADO</v>
          </cell>
        </row>
        <row r="34">
          <cell r="A34" t="str">
            <v>PMO-00034</v>
          </cell>
          <cell r="B34"/>
          <cell r="C34" t="e">
            <v>#N/A</v>
          </cell>
          <cell r="D34"/>
          <cell r="E34"/>
          <cell r="F34"/>
          <cell r="G34">
            <v>0</v>
          </cell>
          <cell r="H34">
            <v>0</v>
          </cell>
          <cell r="I34"/>
          <cell r="J34"/>
          <cell r="K34"/>
          <cell r="L34">
            <v>0</v>
          </cell>
          <cell r="M34">
            <v>0</v>
          </cell>
          <cell r="N34" t="str">
            <v>CANCELADO</v>
          </cell>
        </row>
        <row r="35">
          <cell r="A35" t="str">
            <v>PMO-00035</v>
          </cell>
          <cell r="B35"/>
          <cell r="C35" t="e">
            <v>#N/A</v>
          </cell>
          <cell r="D35"/>
          <cell r="E35"/>
          <cell r="F35"/>
          <cell r="G35">
            <v>0</v>
          </cell>
          <cell r="H35">
            <v>0</v>
          </cell>
          <cell r="I35"/>
          <cell r="J35"/>
          <cell r="K35"/>
          <cell r="L35">
            <v>0</v>
          </cell>
          <cell r="M35">
            <v>0</v>
          </cell>
          <cell r="N35" t="str">
            <v>CANCELADO</v>
          </cell>
        </row>
        <row r="36">
          <cell r="A36" t="str">
            <v>PMO-00036</v>
          </cell>
          <cell r="B36"/>
          <cell r="C36" t="e">
            <v>#N/A</v>
          </cell>
          <cell r="D36"/>
          <cell r="E36"/>
          <cell r="F36"/>
          <cell r="G36">
            <v>0</v>
          </cell>
          <cell r="H36">
            <v>0</v>
          </cell>
          <cell r="I36"/>
          <cell r="J36"/>
          <cell r="K36"/>
          <cell r="L36">
            <v>0</v>
          </cell>
          <cell r="M36">
            <v>0</v>
          </cell>
          <cell r="N36" t="str">
            <v>CANCELADO</v>
          </cell>
        </row>
        <row r="37">
          <cell r="A37" t="str">
            <v>PMO-00037</v>
          </cell>
          <cell r="B37"/>
          <cell r="C37" t="e">
            <v>#N/A</v>
          </cell>
          <cell r="D37"/>
          <cell r="E37"/>
          <cell r="F37"/>
          <cell r="G37"/>
          <cell r="H37"/>
          <cell r="I37"/>
          <cell r="J37"/>
          <cell r="K37"/>
          <cell r="L37">
            <v>0</v>
          </cell>
          <cell r="M37">
            <v>0</v>
          </cell>
          <cell r="N37" t="str">
            <v>CANCELADO</v>
          </cell>
        </row>
        <row r="38">
          <cell r="A3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maria l"/>
      <sheetName val="10%"/>
      <sheetName val="Primer analisis"/>
      <sheetName val="UR"/>
    </sheetNames>
    <sheetDataSet>
      <sheetData sheetId="0">
        <row r="1">
          <cell r="T1" t="str">
            <v>NOMBRE EMPLEADO</v>
          </cell>
          <cell r="U1" t="str">
            <v>DIRECCION EMPLEADO</v>
          </cell>
          <cell r="V1" t="str">
            <v>BARRIO</v>
          </cell>
          <cell r="W1" t="str">
            <v>BARRIO 2</v>
          </cell>
          <cell r="X1" t="str">
            <v>TELEFONOS</v>
          </cell>
          <cell r="Y1" t="str">
            <v>ZONA</v>
          </cell>
          <cell r="Z1" t="str">
            <v>BARRIO</v>
          </cell>
          <cell r="AA1" t="str">
            <v>CIUDAD</v>
          </cell>
          <cell r="AB1" t="str">
            <v>UNIDAD RENAL</v>
          </cell>
          <cell r="AC1" t="str">
            <v>DIRECCIÓN UR</v>
          </cell>
          <cell r="AD1" t="str">
            <v>TURNO</v>
          </cell>
          <cell r="AE1" t="str">
            <v>Rapid Express Final</v>
          </cell>
          <cell r="AF1" t="str">
            <v>TARIFA  LOCAL</v>
          </cell>
          <cell r="AG1" t="str">
            <v>k</v>
          </cell>
          <cell r="AH1" t="str">
            <v>t</v>
          </cell>
          <cell r="AI1" t="str">
            <v>contrapropuesta por un solo recorrido</v>
          </cell>
          <cell r="AJ1" t="str">
            <v>TARIVA ENVIADA POR MARKETING</v>
          </cell>
          <cell r="AK1"/>
          <cell r="AL1">
            <v>0.03</v>
          </cell>
        </row>
        <row r="2">
          <cell r="T2" t="str">
            <v>BEDOYA CATAÑO  ISABEL CRISTINA</v>
          </cell>
          <cell r="U2" t="str">
            <v>B/UNIVERSAL MANZANA 2 CASA 38 ARMENIA</v>
          </cell>
          <cell r="V2" t="str">
            <v>universal</v>
          </cell>
          <cell r="W2" t="str">
            <v>CERCANO</v>
          </cell>
          <cell r="X2">
            <v>3116286294</v>
          </cell>
          <cell r="Y2" t="str">
            <v>SUROCCIDENTE</v>
          </cell>
          <cell r="Z2">
            <v>0</v>
          </cell>
          <cell r="AA2" t="str">
            <v>Armenia</v>
          </cell>
          <cell r="AB2" t="str">
            <v>Armenia</v>
          </cell>
          <cell r="AC2" t="str">
            <v>Cll. 23 Norte # 14-59 piso 2</v>
          </cell>
          <cell r="AD2" t="str">
            <v>Primer Turno</v>
          </cell>
          <cell r="AE2">
            <v>10670</v>
          </cell>
          <cell r="AF2">
            <v>9000</v>
          </cell>
          <cell r="AG2">
            <v>8</v>
          </cell>
          <cell r="AH2">
            <v>16</v>
          </cell>
          <cell r="AI2">
            <v>11000</v>
          </cell>
          <cell r="AJ2">
            <v>11000</v>
          </cell>
          <cell r="AK2">
            <v>-2000</v>
          </cell>
          <cell r="AL2">
            <v>10670</v>
          </cell>
        </row>
        <row r="3">
          <cell r="T3" t="str">
            <v>MATALLANA MARIA EYISETH</v>
          </cell>
          <cell r="U3" t="str">
            <v>AV COLON # 22-94 CALARCA (Municipio)</v>
          </cell>
          <cell r="V3" t="str">
            <v>calarca</v>
          </cell>
          <cell r="W3" t="str">
            <v>INTERMUNICIPAL</v>
          </cell>
          <cell r="X3">
            <v>3148067005</v>
          </cell>
          <cell r="Y3" t="str">
            <v>SUROCCIDENTE</v>
          </cell>
          <cell r="Z3"/>
          <cell r="AA3" t="str">
            <v>Armenia</v>
          </cell>
          <cell r="AB3" t="str">
            <v>Armenia</v>
          </cell>
          <cell r="AC3" t="str">
            <v>Cll. 23 Norte # 14-59 piso 2</v>
          </cell>
          <cell r="AD3" t="str">
            <v>Primer Turno</v>
          </cell>
          <cell r="AE3">
            <v>30555</v>
          </cell>
          <cell r="AF3">
            <v>28000</v>
          </cell>
          <cell r="AG3">
            <v>14</v>
          </cell>
          <cell r="AH3">
            <v>20</v>
          </cell>
          <cell r="AI3">
            <v>35000</v>
          </cell>
          <cell r="AJ3">
            <v>31500</v>
          </cell>
          <cell r="AK3">
            <v>-3500</v>
          </cell>
          <cell r="AL3">
            <v>30555</v>
          </cell>
        </row>
        <row r="4">
          <cell r="T4" t="str">
            <v>VANEGAS GIRALDO LUCELIDA</v>
          </cell>
          <cell r="U4" t="str">
            <v>BARRIO VILLA JULIANA MANZ D CASA 2 ETAPA 2  MONTENEGRO (Municipio)</v>
          </cell>
          <cell r="V4" t="str">
            <v>montenegro</v>
          </cell>
          <cell r="W4" t="str">
            <v>INTERMUNICIPAL</v>
          </cell>
          <cell r="X4">
            <v>3117437177</v>
          </cell>
          <cell r="Y4" t="str">
            <v>SUROCCIDENTE</v>
          </cell>
          <cell r="Z4"/>
          <cell r="AA4" t="str">
            <v>Armenia</v>
          </cell>
          <cell r="AB4" t="str">
            <v>Armenia</v>
          </cell>
          <cell r="AC4" t="str">
            <v>Cll. 23 Norte # 14-59 piso 2</v>
          </cell>
          <cell r="AD4" t="str">
            <v>Primer Turno</v>
          </cell>
          <cell r="AE4">
            <v>30555</v>
          </cell>
          <cell r="AF4">
            <v>28000</v>
          </cell>
          <cell r="AG4">
            <v>17</v>
          </cell>
          <cell r="AH4">
            <v>28</v>
          </cell>
          <cell r="AI4">
            <v>35000</v>
          </cell>
          <cell r="AJ4">
            <v>31500</v>
          </cell>
          <cell r="AK4">
            <v>-3500</v>
          </cell>
          <cell r="AL4">
            <v>30555</v>
          </cell>
        </row>
        <row r="5">
          <cell r="T5" t="str">
            <v>ARIAS SANCHEZ MAGDA</v>
          </cell>
          <cell r="U5" t="str">
            <v>VEREDA LA CRISTALINA FINCA EL TREBOL  - CIRCASIA (vereda destapada es una vereda peligrosa-toca negociar)</v>
          </cell>
          <cell r="V5" t="str">
            <v>vereda</v>
          </cell>
          <cell r="W5" t="str">
            <v>INTERMUNICIPAL</v>
          </cell>
          <cell r="X5">
            <v>3103761115</v>
          </cell>
          <cell r="Y5" t="str">
            <v>SUROCCIDENTE</v>
          </cell>
          <cell r="Z5"/>
          <cell r="AA5" t="str">
            <v>Armenia</v>
          </cell>
          <cell r="AB5" t="str">
            <v>Armenia</v>
          </cell>
          <cell r="AC5" t="str">
            <v>Cll. 23 Norte # 14-59 piso 2</v>
          </cell>
          <cell r="AD5" t="str">
            <v>Primer Turno</v>
          </cell>
          <cell r="AE5">
            <v>30555</v>
          </cell>
          <cell r="AF5">
            <v>28000</v>
          </cell>
          <cell r="AG5">
            <v>15</v>
          </cell>
          <cell r="AH5">
            <v>25</v>
          </cell>
          <cell r="AI5">
            <v>35000</v>
          </cell>
          <cell r="AJ5">
            <v>31500</v>
          </cell>
          <cell r="AK5">
            <v>-3500</v>
          </cell>
          <cell r="AL5">
            <v>30555</v>
          </cell>
        </row>
        <row r="6">
          <cell r="T6" t="str">
            <v>PARRA LONDOÑO RUBY ALBA</v>
          </cell>
          <cell r="U6" t="str">
            <v>CONJUNTO CERRADO TCC MZA 1 N. 31 ARMENIA (sur de armenia-ella quiere que deje un dia la sircacia)</v>
          </cell>
          <cell r="V6" t="str">
            <v>conjunto cerrado tcc</v>
          </cell>
          <cell r="W6" t="str">
            <v>INTERMUNICIPAL</v>
          </cell>
          <cell r="X6">
            <v>3163613474</v>
          </cell>
          <cell r="Y6" t="str">
            <v>SUROCCIDENTE</v>
          </cell>
          <cell r="Z6"/>
          <cell r="AA6" t="str">
            <v>Armenia</v>
          </cell>
          <cell r="AB6" t="str">
            <v>Armenia</v>
          </cell>
          <cell r="AC6" t="str">
            <v>Cll. 23 Norte # 14-59 piso 2</v>
          </cell>
          <cell r="AD6" t="str">
            <v>Primer Turno</v>
          </cell>
          <cell r="AE6">
            <v>24250</v>
          </cell>
          <cell r="AF6">
            <v>28000</v>
          </cell>
          <cell r="AG6">
            <v>5</v>
          </cell>
          <cell r="AH6">
            <v>14</v>
          </cell>
          <cell r="AI6">
            <v>25000</v>
          </cell>
          <cell r="AJ6">
            <v>25000</v>
          </cell>
          <cell r="AK6">
            <v>3000</v>
          </cell>
          <cell r="AL6">
            <v>24250</v>
          </cell>
        </row>
        <row r="7">
          <cell r="T7" t="str">
            <v>ARIAS SANCHEZ MAGDA</v>
          </cell>
          <cell r="U7" t="str">
            <v>VEREDA LA CRISTALINA FINCA EL TREBOL  - CIRCASIA (vereda destapada es una vereda peligrosa-toca negociar)</v>
          </cell>
          <cell r="V7" t="str">
            <v>vereda</v>
          </cell>
          <cell r="W7" t="str">
            <v>INTERMUNICIPAL</v>
          </cell>
          <cell r="X7">
            <v>3103761115</v>
          </cell>
          <cell r="Y7" t="str">
            <v>SUROCCIDENTE</v>
          </cell>
          <cell r="Z7"/>
          <cell r="AA7" t="str">
            <v>Armenia</v>
          </cell>
          <cell r="AB7" t="str">
            <v>Armenia</v>
          </cell>
          <cell r="AC7" t="str">
            <v>Cll. 23 Norte # 14-59 piso 2</v>
          </cell>
          <cell r="AD7" t="str">
            <v>Tercer Turno</v>
          </cell>
          <cell r="AE7">
            <v>30555</v>
          </cell>
          <cell r="AF7">
            <v>28000</v>
          </cell>
          <cell r="AG7">
            <v>15</v>
          </cell>
          <cell r="AH7">
            <v>25</v>
          </cell>
          <cell r="AI7">
            <v>35000</v>
          </cell>
          <cell r="AJ7">
            <v>31500</v>
          </cell>
          <cell r="AK7">
            <v>-3500</v>
          </cell>
          <cell r="AL7">
            <v>30555</v>
          </cell>
        </row>
        <row r="8">
          <cell r="T8" t="str">
            <v>PARRA LONDOÑO RUBY ALBA</v>
          </cell>
          <cell r="U8" t="str">
            <v>CONJUNTO CERRADO TCC MZA 1 N. 31 ARMENIA (sur de armenia-ella quiere que deje un dia la sircacia)</v>
          </cell>
          <cell r="V8" t="str">
            <v>conjunto cerrado tcc</v>
          </cell>
          <cell r="W8" t="str">
            <v>INTERMUNICIPAL</v>
          </cell>
          <cell r="X8">
            <v>3163613474</v>
          </cell>
          <cell r="Y8" t="str">
            <v>SUROCCIDENTE</v>
          </cell>
          <cell r="Z8"/>
          <cell r="AA8" t="str">
            <v>Armenia</v>
          </cell>
          <cell r="AB8" t="str">
            <v>Armenia</v>
          </cell>
          <cell r="AC8" t="str">
            <v>Cll. 23 Norte # 14-59 piso 2</v>
          </cell>
          <cell r="AD8" t="str">
            <v>Tercer Turno</v>
          </cell>
          <cell r="AE8">
            <v>24250</v>
          </cell>
          <cell r="AF8">
            <v>28000</v>
          </cell>
          <cell r="AG8">
            <v>5</v>
          </cell>
          <cell r="AH8">
            <v>14</v>
          </cell>
          <cell r="AI8">
            <v>25000</v>
          </cell>
          <cell r="AJ8">
            <v>25000</v>
          </cell>
          <cell r="AK8">
            <v>3000</v>
          </cell>
          <cell r="AL8">
            <v>24250</v>
          </cell>
        </row>
        <row r="9">
          <cell r="T9" t="str">
            <v>PUENTES SÁNCHEZ  REINALDO</v>
          </cell>
          <cell r="U9" t="str">
            <v>CONDOMINIO TORRES DEL RIO BLOQUE 8 APTO 501 ARMENIA</v>
          </cell>
          <cell r="V9" t="str">
            <v>condominio torres del rio</v>
          </cell>
          <cell r="W9" t="str">
            <v>CERCANO</v>
          </cell>
          <cell r="X9">
            <v>3008206759</v>
          </cell>
          <cell r="Y9" t="str">
            <v>SUROCCIDENTE</v>
          </cell>
          <cell r="Z9"/>
          <cell r="AA9" t="str">
            <v>Armenia</v>
          </cell>
          <cell r="AB9" t="str">
            <v>Armenia</v>
          </cell>
          <cell r="AC9" t="str">
            <v>Cll. 23 Norte # 14-59 piso 2</v>
          </cell>
          <cell r="AD9" t="str">
            <v>Tercer Turno</v>
          </cell>
          <cell r="AE9">
            <v>10670</v>
          </cell>
          <cell r="AF9">
            <v>9000</v>
          </cell>
          <cell r="AG9">
            <v>5</v>
          </cell>
          <cell r="AH9">
            <v>15</v>
          </cell>
          <cell r="AI9">
            <v>11000</v>
          </cell>
          <cell r="AJ9">
            <v>11000</v>
          </cell>
          <cell r="AK9">
            <v>-2000</v>
          </cell>
          <cell r="AL9">
            <v>10670</v>
          </cell>
        </row>
        <row r="10">
          <cell r="T10" t="str">
            <v>VANEGAS GIRALDO LUCELIDA</v>
          </cell>
          <cell r="U10" t="str">
            <v>BARRIO VILLA JULIANA MANZ D CASA 2 ETAPA 2  MONTENEGRO</v>
          </cell>
          <cell r="V10" t="str">
            <v>montenegro</v>
          </cell>
          <cell r="W10" t="str">
            <v>INTERMUNICIPAL</v>
          </cell>
          <cell r="X10">
            <v>3117437177</v>
          </cell>
          <cell r="Y10" t="str">
            <v>SUROCCIDENTE</v>
          </cell>
          <cell r="Z10"/>
          <cell r="AA10" t="str">
            <v>Armenia</v>
          </cell>
          <cell r="AB10" t="str">
            <v>Armenia</v>
          </cell>
          <cell r="AC10" t="str">
            <v>Cll. 23 Norte # 14-59 piso 2</v>
          </cell>
          <cell r="AD10" t="str">
            <v>Tercer Turno</v>
          </cell>
          <cell r="AE10">
            <v>30555</v>
          </cell>
          <cell r="AF10">
            <v>28000</v>
          </cell>
          <cell r="AG10">
            <v>17</v>
          </cell>
          <cell r="AH10">
            <v>28</v>
          </cell>
          <cell r="AI10">
            <v>35000</v>
          </cell>
          <cell r="AJ10">
            <v>31500</v>
          </cell>
          <cell r="AK10">
            <v>-3500</v>
          </cell>
          <cell r="AL10">
            <v>30555</v>
          </cell>
        </row>
        <row r="11">
          <cell r="T11" t="str">
            <v>MATALLANA MARIA EYISETH</v>
          </cell>
          <cell r="U11" t="str">
            <v>AV COLON # 22-94 CALARCA</v>
          </cell>
          <cell r="V11" t="str">
            <v>calarca</v>
          </cell>
          <cell r="W11" t="str">
            <v>INTERMUNICIPAL</v>
          </cell>
          <cell r="X11">
            <v>3148067005</v>
          </cell>
          <cell r="Y11" t="str">
            <v>SUROCCIDENTE</v>
          </cell>
          <cell r="Z11"/>
          <cell r="AA11" t="str">
            <v>Armenia</v>
          </cell>
          <cell r="AB11" t="str">
            <v>Armenia</v>
          </cell>
          <cell r="AC11" t="str">
            <v>Cll. 23 Norte # 14-59 piso 2</v>
          </cell>
          <cell r="AD11" t="str">
            <v>Tercer Turno</v>
          </cell>
          <cell r="AE11">
            <v>30555</v>
          </cell>
          <cell r="AF11">
            <v>28000</v>
          </cell>
          <cell r="AG11">
            <v>14</v>
          </cell>
          <cell r="AH11">
            <v>20</v>
          </cell>
          <cell r="AI11">
            <v>35000</v>
          </cell>
          <cell r="AJ11">
            <v>31500</v>
          </cell>
          <cell r="AK11">
            <v>-3500</v>
          </cell>
          <cell r="AL11">
            <v>30555</v>
          </cell>
        </row>
        <row r="12">
          <cell r="T12" t="str">
            <v>Vianey Rocha</v>
          </cell>
          <cell r="U12" t="str">
            <v>Cra 91D # 72 - 159  Urbanización Robledales. Casa 142</v>
          </cell>
          <cell r="V12" t="str">
            <v>BARRIO ROBLEDO COMUNA7</v>
          </cell>
          <cell r="W12" t="str">
            <v>ORDEN PUBLICO</v>
          </cell>
          <cell r="X12">
            <v>3113033447</v>
          </cell>
          <cell r="Y12" t="str">
            <v>SUROCCIDENTE</v>
          </cell>
          <cell r="Z12"/>
          <cell r="AA12" t="str">
            <v xml:space="preserve">Medellin </v>
          </cell>
          <cell r="AB12" t="str">
            <v>Belen</v>
          </cell>
          <cell r="AC12" t="str">
            <v>Cra 65B No. 30  - 95 Torre médica, piso 5</v>
          </cell>
          <cell r="AD12" t="str">
            <v>Primer Turno</v>
          </cell>
          <cell r="AE12">
            <v>24250</v>
          </cell>
          <cell r="AF12">
            <v>22000</v>
          </cell>
          <cell r="AG12">
            <v>7</v>
          </cell>
          <cell r="AH12">
            <v>18</v>
          </cell>
          <cell r="AI12">
            <v>25000</v>
          </cell>
          <cell r="AJ12">
            <v>25000</v>
          </cell>
          <cell r="AK12">
            <v>-3000</v>
          </cell>
          <cell r="AL12">
            <v>24250</v>
          </cell>
        </row>
        <row r="13">
          <cell r="T13" t="str">
            <v>Elianeth Arevalo</v>
          </cell>
          <cell r="U13" t="str">
            <v>Calle 59 # 42 - 13 Barrio Prado Centro. Edificio Luz de Oriente</v>
          </cell>
          <cell r="V13" t="str">
            <v>BARRIO PRADO CENTRO</v>
          </cell>
          <cell r="W13" t="str">
            <v>CERCANO</v>
          </cell>
          <cell r="X13">
            <v>3004322159</v>
          </cell>
          <cell r="Y13" t="str">
            <v>SUROCCIDENTE</v>
          </cell>
          <cell r="Z13"/>
          <cell r="AA13" t="str">
            <v xml:space="preserve">Medellin </v>
          </cell>
          <cell r="AB13" t="str">
            <v>Belen</v>
          </cell>
          <cell r="AC13" t="str">
            <v>Cra 65B No. 30  - 95 Torre médica, piso 5</v>
          </cell>
          <cell r="AD13" t="str">
            <v>Primer Turno</v>
          </cell>
          <cell r="AE13">
            <v>13095</v>
          </cell>
          <cell r="AF13">
            <v>9000</v>
          </cell>
          <cell r="AG13" t="str">
            <v>7 KM</v>
          </cell>
          <cell r="AH13" t="str">
            <v>15 MIN</v>
          </cell>
          <cell r="AI13">
            <v>15000</v>
          </cell>
          <cell r="AJ13">
            <v>13500</v>
          </cell>
          <cell r="AK13">
            <v>-4500</v>
          </cell>
          <cell r="AL13">
            <v>13095</v>
          </cell>
        </row>
        <row r="14">
          <cell r="T14" t="str">
            <v>Sandra Lucia Villa Acevedo</v>
          </cell>
          <cell r="U14" t="str">
            <v>Calle 38b Sur # 26-02 Urb Montepietra apto 2020</v>
          </cell>
          <cell r="V14" t="str">
            <v>Montepiedra</v>
          </cell>
          <cell r="W14" t="str">
            <v>LEJANO</v>
          </cell>
          <cell r="X14">
            <v>3224965095</v>
          </cell>
          <cell r="Y14" t="str">
            <v>SUROCCIDENTE</v>
          </cell>
          <cell r="Z14"/>
          <cell r="AA14" t="str">
            <v xml:space="preserve">Medellin </v>
          </cell>
          <cell r="AB14" t="str">
            <v>Belen</v>
          </cell>
          <cell r="AC14" t="str">
            <v>Cra 65B No. 30  - 95 Torre médica, piso 5</v>
          </cell>
          <cell r="AD14" t="str">
            <v>Primer Turno</v>
          </cell>
          <cell r="AE14">
            <v>24250</v>
          </cell>
          <cell r="AF14">
            <v>22000</v>
          </cell>
          <cell r="AG14" t="str">
            <v>13 km</v>
          </cell>
          <cell r="AH14" t="str">
            <v>20 min</v>
          </cell>
          <cell r="AI14">
            <v>25000</v>
          </cell>
          <cell r="AJ14">
            <v>25000</v>
          </cell>
          <cell r="AK14">
            <v>-3000</v>
          </cell>
          <cell r="AL14">
            <v>24250</v>
          </cell>
        </row>
        <row r="15">
          <cell r="T15" t="str">
            <v>Fabricio Marín</v>
          </cell>
          <cell r="U15" t="str">
            <v>Calle 16B # 23 - 17 Poblado / Cra 80B # 32E - 34 Laureles</v>
          </cell>
          <cell r="V15" t="str">
            <v>BARRIO EL POBLADO</v>
          </cell>
          <cell r="W15" t="str">
            <v>CERCANO</v>
          </cell>
          <cell r="X15">
            <v>3136860100</v>
          </cell>
          <cell r="Y15" t="str">
            <v>SUROCCIDENTE</v>
          </cell>
          <cell r="Z15" t="str">
            <v>Poblado - Laureles</v>
          </cell>
          <cell r="AA15" t="str">
            <v xml:space="preserve">Medellin </v>
          </cell>
          <cell r="AB15" t="str">
            <v>Belen</v>
          </cell>
          <cell r="AC15" t="str">
            <v>Cra 65B No. 30  - 95 Torre médica, piso 5</v>
          </cell>
          <cell r="AD15" t="str">
            <v>Tercer Turno</v>
          </cell>
          <cell r="AE15">
            <v>13095</v>
          </cell>
          <cell r="AF15">
            <v>9000</v>
          </cell>
          <cell r="AG15" t="str">
            <v>9 KM</v>
          </cell>
          <cell r="AH15" t="str">
            <v>15 MIN</v>
          </cell>
          <cell r="AI15">
            <v>15000</v>
          </cell>
          <cell r="AJ15">
            <v>13500</v>
          </cell>
          <cell r="AK15">
            <v>-4500</v>
          </cell>
          <cell r="AL15">
            <v>13095</v>
          </cell>
        </row>
        <row r="16">
          <cell r="T16" t="str">
            <v>Claudia Patricia  Londoño</v>
          </cell>
          <cell r="U16" t="str">
            <v>Cra 39 # 68 - 38 Manrique Oriental</v>
          </cell>
          <cell r="V16" t="str">
            <v>BARRIO MANRIQUE COMUNA 3</v>
          </cell>
          <cell r="W16" t="str">
            <v>LEJANO</v>
          </cell>
          <cell r="X16">
            <v>3136954667</v>
          </cell>
          <cell r="Y16" t="str">
            <v>SUROCCIDENTE</v>
          </cell>
          <cell r="Z16"/>
          <cell r="AA16" t="str">
            <v xml:space="preserve">Medellin </v>
          </cell>
          <cell r="AB16" t="str">
            <v>Belen</v>
          </cell>
          <cell r="AC16" t="str">
            <v>Cra 65B No. 30  - 95 Torre médica, piso 5</v>
          </cell>
          <cell r="AD16" t="str">
            <v>Tercer Turno</v>
          </cell>
          <cell r="AE16">
            <v>24250</v>
          </cell>
          <cell r="AF16">
            <v>22000</v>
          </cell>
          <cell r="AG16">
            <v>6</v>
          </cell>
          <cell r="AH16">
            <v>16</v>
          </cell>
          <cell r="AI16">
            <v>25000</v>
          </cell>
          <cell r="AJ16">
            <v>25000</v>
          </cell>
          <cell r="AK16">
            <v>-3000</v>
          </cell>
          <cell r="AL16">
            <v>24250</v>
          </cell>
        </row>
        <row r="17">
          <cell r="T17" t="str">
            <v>Samuel Franco</v>
          </cell>
          <cell r="U17" t="str">
            <v>Cra 33 # 50 - 55 Buenos Aires</v>
          </cell>
          <cell r="V17" t="str">
            <v>BARRIO BUENOS AIRES COMUNA 9</v>
          </cell>
          <cell r="W17" t="str">
            <v>ORDEN PUBLICO</v>
          </cell>
          <cell r="X17">
            <v>3192506920</v>
          </cell>
          <cell r="Y17" t="str">
            <v>SUROCCIDENTE</v>
          </cell>
          <cell r="Z17"/>
          <cell r="AA17" t="str">
            <v xml:space="preserve">Medellin </v>
          </cell>
          <cell r="AB17" t="str">
            <v>Belen</v>
          </cell>
          <cell r="AC17" t="str">
            <v>Cra 65B No. 30  - 95 Torre médica, piso 5</v>
          </cell>
          <cell r="AD17" t="str">
            <v>Tercer Turno</v>
          </cell>
          <cell r="AE17">
            <v>24250</v>
          </cell>
          <cell r="AF17">
            <v>22000</v>
          </cell>
          <cell r="AG17">
            <v>6</v>
          </cell>
          <cell r="AH17">
            <v>13</v>
          </cell>
          <cell r="AI17">
            <v>25000</v>
          </cell>
          <cell r="AJ17">
            <v>25000</v>
          </cell>
          <cell r="AK17">
            <v>-3000</v>
          </cell>
          <cell r="AL17">
            <v>24250</v>
          </cell>
        </row>
        <row r="18">
          <cell r="T18" t="str">
            <v>Vianey Rocha</v>
          </cell>
          <cell r="U18" t="str">
            <v>Cra 91D # 72 - 159  Urbanización Robledales. Casa 142</v>
          </cell>
          <cell r="V18" t="str">
            <v>BARRIO ROBLEDO COMUNA7</v>
          </cell>
          <cell r="W18" t="str">
            <v>ORDEN PUBLICO</v>
          </cell>
          <cell r="X18">
            <v>3113033447</v>
          </cell>
          <cell r="Y18" t="str">
            <v>SUROCCIDENTE</v>
          </cell>
          <cell r="Z18"/>
          <cell r="AA18" t="str">
            <v xml:space="preserve">Medellin </v>
          </cell>
          <cell r="AB18" t="str">
            <v>Belen</v>
          </cell>
          <cell r="AC18" t="str">
            <v>Cra 65B No. 30  - 95 Torre médica, piso 5</v>
          </cell>
          <cell r="AD18" t="str">
            <v>Tercer Turno</v>
          </cell>
          <cell r="AE18">
            <v>24250</v>
          </cell>
          <cell r="AF18">
            <v>22000</v>
          </cell>
          <cell r="AG18">
            <v>7</v>
          </cell>
          <cell r="AH18">
            <v>18</v>
          </cell>
          <cell r="AI18">
            <v>25000</v>
          </cell>
          <cell r="AJ18">
            <v>25000</v>
          </cell>
          <cell r="AK18">
            <v>-3000</v>
          </cell>
          <cell r="AL18">
            <v>24250</v>
          </cell>
        </row>
        <row r="19">
          <cell r="T19" t="str">
            <v>Leidy Johana Osorio Vargas</v>
          </cell>
          <cell r="U19" t="str">
            <v>Calle 9b sur numero 79-221 urbanización Rodeo verde en Rodeo Alto</v>
          </cell>
          <cell r="V19" t="str">
            <v>BARRIO EL RODEO ALTO  BELEN</v>
          </cell>
          <cell r="W19" t="str">
            <v>CERCANO</v>
          </cell>
          <cell r="X19">
            <v>3013822629</v>
          </cell>
          <cell r="Y19" t="str">
            <v>SUROCCIDENTE</v>
          </cell>
          <cell r="Z19" t="str">
            <v>Rodeo Alto</v>
          </cell>
          <cell r="AA19" t="str">
            <v xml:space="preserve">Medellin </v>
          </cell>
          <cell r="AB19" t="str">
            <v>Belen</v>
          </cell>
          <cell r="AC19" t="str">
            <v>Cra 65B No. 30  - 95 Torre médica, piso 5</v>
          </cell>
          <cell r="AD19" t="str">
            <v>Tercer Turno</v>
          </cell>
          <cell r="AE19">
            <v>13095</v>
          </cell>
          <cell r="AF19">
            <v>9000</v>
          </cell>
          <cell r="AG19">
            <v>6</v>
          </cell>
          <cell r="AH19">
            <v>13</v>
          </cell>
          <cell r="AI19">
            <v>15000</v>
          </cell>
          <cell r="AJ19">
            <v>13500</v>
          </cell>
          <cell r="AK19">
            <v>-4500</v>
          </cell>
          <cell r="AL19">
            <v>13095</v>
          </cell>
        </row>
        <row r="20">
          <cell r="T20" t="str">
            <v xml:space="preserve">Jaime Alberto Manrique Hidalgo </v>
          </cell>
          <cell r="U20" t="str">
            <v xml:space="preserve">Barrio Niquia - Bello </v>
          </cell>
          <cell r="V20">
            <v>0</v>
          </cell>
          <cell r="W20">
            <v>0</v>
          </cell>
          <cell r="X20">
            <v>3153831619</v>
          </cell>
          <cell r="Y20" t="str">
            <v>SUROCCIDENTE</v>
          </cell>
          <cell r="Z20"/>
          <cell r="AA20" t="str">
            <v xml:space="preserve">Medellin </v>
          </cell>
          <cell r="AB20" t="str">
            <v>Bello</v>
          </cell>
          <cell r="AC20" t="str">
            <v>Dg.  50A # 41 - 74</v>
          </cell>
          <cell r="AD20" t="str">
            <v>Primer Turno</v>
          </cell>
          <cell r="AE20">
            <v>17460</v>
          </cell>
          <cell r="AF20">
            <v>13000</v>
          </cell>
          <cell r="AG20" t="str">
            <v>12 km</v>
          </cell>
          <cell r="AH20" t="str">
            <v>20 min</v>
          </cell>
          <cell r="AI20">
            <v>20000</v>
          </cell>
          <cell r="AJ20">
            <v>18000</v>
          </cell>
          <cell r="AK20">
            <v>-5000</v>
          </cell>
          <cell r="AL20">
            <v>17460</v>
          </cell>
        </row>
        <row r="21">
          <cell r="T21" t="str">
            <v xml:space="preserve">Leidy Johana Castaño Lopez </v>
          </cell>
          <cell r="U21" t="str">
            <v xml:space="preserve">Barrio Cabañas - Bello </v>
          </cell>
          <cell r="V21">
            <v>0</v>
          </cell>
          <cell r="W21" t="str">
            <v>CERCANO</v>
          </cell>
          <cell r="X21">
            <v>3217293287</v>
          </cell>
          <cell r="Y21" t="str">
            <v>SUROCCIDENTE</v>
          </cell>
          <cell r="Z21"/>
          <cell r="AA21" t="str">
            <v xml:space="preserve">Medellin </v>
          </cell>
          <cell r="AB21" t="str">
            <v>Bello</v>
          </cell>
          <cell r="AC21" t="str">
            <v>Dg.  50A # 41 - 74</v>
          </cell>
          <cell r="AD21" t="str">
            <v>Primer Turno</v>
          </cell>
          <cell r="AE21">
            <v>17460</v>
          </cell>
          <cell r="AF21">
            <v>13000</v>
          </cell>
          <cell r="AG21">
            <v>0</v>
          </cell>
          <cell r="AH21">
            <v>0</v>
          </cell>
          <cell r="AI21">
            <v>20000</v>
          </cell>
          <cell r="AJ21">
            <v>18000</v>
          </cell>
          <cell r="AK21">
            <v>-5000</v>
          </cell>
          <cell r="AL21">
            <v>17460</v>
          </cell>
        </row>
        <row r="22">
          <cell r="T22" t="str">
            <v xml:space="preserve">Leidy Viviana Perez Pineda </v>
          </cell>
          <cell r="U22" t="str">
            <v xml:space="preserve">Barrio Aranjuez </v>
          </cell>
          <cell r="V22" t="str">
            <v>ORDEN PUBLICO</v>
          </cell>
          <cell r="W22"/>
          <cell r="X22">
            <v>3156582469</v>
          </cell>
          <cell r="Y22" t="str">
            <v>SUROCCIDENTE</v>
          </cell>
          <cell r="Z22"/>
          <cell r="AA22" t="str">
            <v xml:space="preserve">Medellin </v>
          </cell>
          <cell r="AB22" t="str">
            <v>Bello</v>
          </cell>
          <cell r="AC22" t="str">
            <v>Dg.  50A # 41 - 74</v>
          </cell>
          <cell r="AD22" t="str">
            <v>Primer Turno</v>
          </cell>
          <cell r="AE22">
            <v>24250</v>
          </cell>
          <cell r="AF22">
            <v>15000</v>
          </cell>
          <cell r="AG22" t="str">
            <v>11 km</v>
          </cell>
          <cell r="AH22" t="str">
            <v>17 min</v>
          </cell>
          <cell r="AI22">
            <v>25000</v>
          </cell>
          <cell r="AJ22">
            <v>25000</v>
          </cell>
          <cell r="AK22">
            <v>-10000</v>
          </cell>
          <cell r="AL22">
            <v>24250</v>
          </cell>
        </row>
        <row r="23">
          <cell r="T23" t="str">
            <v xml:space="preserve">Olivia Raquel García Perez </v>
          </cell>
          <cell r="U23" t="str">
            <v xml:space="preserve">Barrio Florida Norte America -Bello </v>
          </cell>
          <cell r="V23">
            <v>0</v>
          </cell>
          <cell r="W23" t="str">
            <v>CERCANO</v>
          </cell>
          <cell r="X23">
            <v>3015957860</v>
          </cell>
          <cell r="Y23" t="str">
            <v>SUROCCIDENTE</v>
          </cell>
          <cell r="Z23"/>
          <cell r="AA23" t="str">
            <v xml:space="preserve">Medellin </v>
          </cell>
          <cell r="AB23" t="str">
            <v>Bello</v>
          </cell>
          <cell r="AC23" t="str">
            <v>Dg.  50A # 41 - 74</v>
          </cell>
          <cell r="AD23" t="str">
            <v>Primer Turno</v>
          </cell>
          <cell r="AE23">
            <v>17460</v>
          </cell>
          <cell r="AF23">
            <v>13000</v>
          </cell>
          <cell r="AG23" t="str">
            <v>12 KM</v>
          </cell>
          <cell r="AH23" t="str">
            <v>20 MIN</v>
          </cell>
          <cell r="AI23">
            <v>20000</v>
          </cell>
          <cell r="AJ23">
            <v>18000</v>
          </cell>
          <cell r="AK23">
            <v>-5000</v>
          </cell>
          <cell r="AL23">
            <v>17460</v>
          </cell>
        </row>
        <row r="24">
          <cell r="T24" t="str">
            <v xml:space="preserve">Paola Andrea Serna Monsalve </v>
          </cell>
          <cell r="U24" t="str">
            <v xml:space="preserve">Barrio San Martin  - Bello </v>
          </cell>
          <cell r="V24">
            <v>0</v>
          </cell>
          <cell r="W24" t="str">
            <v>CERCANO</v>
          </cell>
          <cell r="X24">
            <v>3104218041</v>
          </cell>
          <cell r="Y24" t="str">
            <v>SUROCCIDENTE</v>
          </cell>
          <cell r="Z24"/>
          <cell r="AA24" t="str">
            <v xml:space="preserve">Medellin </v>
          </cell>
          <cell r="AB24" t="str">
            <v>Bello</v>
          </cell>
          <cell r="AC24" t="str">
            <v>Dg.  50A # 41 - 74</v>
          </cell>
          <cell r="AD24" t="str">
            <v>Primer Turno</v>
          </cell>
          <cell r="AE24">
            <v>17460</v>
          </cell>
          <cell r="AF24">
            <v>13000</v>
          </cell>
          <cell r="AG24" t="str">
            <v>12 KM</v>
          </cell>
          <cell r="AH24" t="str">
            <v>20 MIN</v>
          </cell>
          <cell r="AI24">
            <v>20000</v>
          </cell>
          <cell r="AJ24">
            <v>18000</v>
          </cell>
          <cell r="AK24">
            <v>-5000</v>
          </cell>
          <cell r="AL24">
            <v>17460</v>
          </cell>
        </row>
        <row r="25">
          <cell r="T25" t="str">
            <v xml:space="preserve">Paula Pilar Perez Pacheco </v>
          </cell>
          <cell r="U25" t="str">
            <v xml:space="preserve">Municipio Sabaneta </v>
          </cell>
          <cell r="V25" t="str">
            <v>Intermunicipal</v>
          </cell>
          <cell r="W25"/>
          <cell r="X25">
            <v>3023892642</v>
          </cell>
          <cell r="Y25" t="str">
            <v>SUROCCIDENTE</v>
          </cell>
          <cell r="Z25"/>
          <cell r="AA25" t="str">
            <v xml:space="preserve">Medellin </v>
          </cell>
          <cell r="AB25" t="str">
            <v>Bello</v>
          </cell>
          <cell r="AC25" t="str">
            <v>Dg.  50A # 41 - 74</v>
          </cell>
          <cell r="AD25" t="str">
            <v>Primer Turno</v>
          </cell>
          <cell r="AE25">
            <v>39285</v>
          </cell>
          <cell r="AF25">
            <v>38000</v>
          </cell>
          <cell r="AG25" t="str">
            <v>27.5 km</v>
          </cell>
          <cell r="AH25" t="str">
            <v>30 MIN</v>
          </cell>
          <cell r="AI25">
            <v>45000</v>
          </cell>
          <cell r="AJ25">
            <v>40500</v>
          </cell>
          <cell r="AK25">
            <v>-2500</v>
          </cell>
          <cell r="AL25">
            <v>39285</v>
          </cell>
        </row>
        <row r="26">
          <cell r="T26" t="str">
            <v xml:space="preserve">Wendy Ariza Bonilla </v>
          </cell>
          <cell r="U26" t="str">
            <v xml:space="preserve">Barrio Niquia - Bello </v>
          </cell>
          <cell r="V26">
            <v>0</v>
          </cell>
          <cell r="W26" t="str">
            <v>CERCANO</v>
          </cell>
          <cell r="X26">
            <v>3217206958</v>
          </cell>
          <cell r="Y26" t="str">
            <v>SUROCCIDENTE</v>
          </cell>
          <cell r="Z26"/>
          <cell r="AA26" t="str">
            <v xml:space="preserve">Medellin </v>
          </cell>
          <cell r="AB26" t="str">
            <v>Bello</v>
          </cell>
          <cell r="AC26" t="str">
            <v>Dg.  50A # 41 - 74</v>
          </cell>
          <cell r="AD26" t="str">
            <v>Primer Turno</v>
          </cell>
          <cell r="AE26">
            <v>17460</v>
          </cell>
          <cell r="AF26">
            <v>13000</v>
          </cell>
          <cell r="AG26" t="str">
            <v>12 KM</v>
          </cell>
          <cell r="AH26" t="str">
            <v>20 MIN</v>
          </cell>
          <cell r="AI26">
            <v>20000</v>
          </cell>
          <cell r="AJ26">
            <v>18000</v>
          </cell>
          <cell r="AK26">
            <v>-5000</v>
          </cell>
          <cell r="AL26">
            <v>17460</v>
          </cell>
        </row>
        <row r="27">
          <cell r="T27" t="str">
            <v xml:space="preserve">Yurlady Andrea Bolivar Jimenez </v>
          </cell>
          <cell r="U27" t="str">
            <v xml:space="preserve">Barrio Trapiche - Bello </v>
          </cell>
          <cell r="V27">
            <v>0</v>
          </cell>
          <cell r="W27" t="str">
            <v>CERCANO</v>
          </cell>
          <cell r="X27">
            <v>3176198087</v>
          </cell>
          <cell r="Y27" t="str">
            <v>SUROCCIDENTE</v>
          </cell>
          <cell r="Z27"/>
          <cell r="AA27" t="str">
            <v xml:space="preserve">Medellin </v>
          </cell>
          <cell r="AB27" t="str">
            <v>Bello</v>
          </cell>
          <cell r="AC27" t="str">
            <v>Dg.  50A # 41 - 74</v>
          </cell>
          <cell r="AD27" t="str">
            <v>Primer Turno</v>
          </cell>
          <cell r="AE27">
            <v>10670</v>
          </cell>
          <cell r="AF27">
            <v>9000</v>
          </cell>
          <cell r="AG27" t="str">
            <v>6 KM</v>
          </cell>
          <cell r="AH27" t="str">
            <v>15 MIN</v>
          </cell>
          <cell r="AI27">
            <v>11000</v>
          </cell>
          <cell r="AJ27">
            <v>11000</v>
          </cell>
          <cell r="AK27">
            <v>-2000</v>
          </cell>
          <cell r="AL27">
            <v>10670</v>
          </cell>
        </row>
        <row r="28">
          <cell r="T28" t="str">
            <v>Adriana María Cardona Barrera</v>
          </cell>
          <cell r="U28" t="str">
            <v xml:space="preserve">Municipio La Estrella </v>
          </cell>
          <cell r="V28" t="str">
            <v>Intermunicipal</v>
          </cell>
          <cell r="W28"/>
          <cell r="X28">
            <v>3196625014</v>
          </cell>
          <cell r="Y28" t="str">
            <v>SUROCCIDENTE</v>
          </cell>
          <cell r="Z28"/>
          <cell r="AA28" t="str">
            <v xml:space="preserve">Medellin </v>
          </cell>
          <cell r="AB28" t="str">
            <v>Bello</v>
          </cell>
          <cell r="AC28" t="str">
            <v>Dg.  50A # 41 - 74</v>
          </cell>
          <cell r="AD28" t="str">
            <v>Tercer Turno</v>
          </cell>
          <cell r="AE28">
            <v>39285</v>
          </cell>
          <cell r="AF28">
            <v>38000</v>
          </cell>
          <cell r="AG28">
            <v>26</v>
          </cell>
          <cell r="AH28">
            <v>30</v>
          </cell>
          <cell r="AI28">
            <v>45000</v>
          </cell>
          <cell r="AJ28">
            <v>40500</v>
          </cell>
          <cell r="AK28">
            <v>-2500</v>
          </cell>
          <cell r="AL28">
            <v>39285</v>
          </cell>
        </row>
        <row r="29">
          <cell r="T29" t="str">
            <v xml:space="preserve">Dora Luz Alcaraz </v>
          </cell>
          <cell r="U29" t="str">
            <v xml:space="preserve">Barrio Mirador </v>
          </cell>
          <cell r="V29">
            <v>0</v>
          </cell>
          <cell r="W29" t="str">
            <v>CERCANO</v>
          </cell>
          <cell r="X29" t="str">
            <v>3108973697/3107034595</v>
          </cell>
          <cell r="Y29" t="str">
            <v>SUROCCIDENTE</v>
          </cell>
          <cell r="Z29"/>
          <cell r="AA29" t="str">
            <v xml:space="preserve">Medellin </v>
          </cell>
          <cell r="AB29" t="str">
            <v>Bello</v>
          </cell>
          <cell r="AC29" t="str">
            <v>Dg.  50A # 41 - 74</v>
          </cell>
          <cell r="AD29" t="str">
            <v>Tercer Turno</v>
          </cell>
          <cell r="AE29">
            <v>17460</v>
          </cell>
          <cell r="AF29">
            <v>13000</v>
          </cell>
          <cell r="AG29" t="str">
            <v>12 km</v>
          </cell>
          <cell r="AH29" t="str">
            <v>17 min</v>
          </cell>
          <cell r="AI29">
            <v>20000</v>
          </cell>
          <cell r="AJ29">
            <v>18000</v>
          </cell>
          <cell r="AK29">
            <v>-5000</v>
          </cell>
          <cell r="AL29">
            <v>17460</v>
          </cell>
        </row>
        <row r="30">
          <cell r="T30" t="str">
            <v xml:space="preserve">Fredy Zapata Zapata </v>
          </cell>
          <cell r="U30" t="str">
            <v xml:space="preserve">Barrio Niquia - Bello </v>
          </cell>
          <cell r="V30">
            <v>0</v>
          </cell>
          <cell r="W30" t="str">
            <v>CERCANO</v>
          </cell>
          <cell r="X30">
            <v>3122594746</v>
          </cell>
          <cell r="Y30" t="str">
            <v>SUROCCIDENTE</v>
          </cell>
          <cell r="Z30"/>
          <cell r="AA30" t="str">
            <v xml:space="preserve">Medellin </v>
          </cell>
          <cell r="AB30" t="str">
            <v>Bello</v>
          </cell>
          <cell r="AC30" t="str">
            <v>Dg.  50A # 41 - 74</v>
          </cell>
          <cell r="AD30" t="str">
            <v>Tercer Turno</v>
          </cell>
          <cell r="AE30">
            <v>17460</v>
          </cell>
          <cell r="AF30">
            <v>13000</v>
          </cell>
          <cell r="AG30" t="str">
            <v>12 KM</v>
          </cell>
          <cell r="AH30" t="str">
            <v>20 MIN</v>
          </cell>
          <cell r="AI30">
            <v>20000</v>
          </cell>
          <cell r="AJ30">
            <v>18000</v>
          </cell>
          <cell r="AK30">
            <v>-5000</v>
          </cell>
          <cell r="AL30">
            <v>17460</v>
          </cell>
        </row>
        <row r="31">
          <cell r="T31" t="str">
            <v xml:space="preserve">Genny del Socorro David Murillo </v>
          </cell>
          <cell r="U31" t="str">
            <v xml:space="preserve">Barrio El Salvador </v>
          </cell>
          <cell r="V31" t="str">
            <v>ORDEN PUBLICO</v>
          </cell>
          <cell r="W31"/>
          <cell r="X31">
            <v>3155094216</v>
          </cell>
          <cell r="Y31" t="str">
            <v>SUROCCIDENTE</v>
          </cell>
          <cell r="Z31"/>
          <cell r="AA31" t="str">
            <v xml:space="preserve">Medellin </v>
          </cell>
          <cell r="AB31" t="str">
            <v>Bello</v>
          </cell>
          <cell r="AC31" t="str">
            <v>Dg.  50A # 41 - 74</v>
          </cell>
          <cell r="AD31" t="str">
            <v>Tercer Turno</v>
          </cell>
          <cell r="AE31">
            <v>17460</v>
          </cell>
          <cell r="AF31">
            <v>9000</v>
          </cell>
          <cell r="AG31" t="str">
            <v>14 km</v>
          </cell>
          <cell r="AH31" t="str">
            <v>25 min</v>
          </cell>
          <cell r="AI31">
            <v>20000</v>
          </cell>
          <cell r="AJ31">
            <v>18000</v>
          </cell>
          <cell r="AK31">
            <v>-9000</v>
          </cell>
          <cell r="AL31">
            <v>17460</v>
          </cell>
        </row>
        <row r="32">
          <cell r="T32" t="str">
            <v xml:space="preserve">Ilonka Tatiana Cantillo Mendoza </v>
          </cell>
          <cell r="U32" t="str">
            <v xml:space="preserve">Barrio La Camila Machado </v>
          </cell>
          <cell r="V32">
            <v>0</v>
          </cell>
          <cell r="W32" t="str">
            <v>CERCANO</v>
          </cell>
          <cell r="X32">
            <v>3192642779</v>
          </cell>
          <cell r="Y32" t="str">
            <v>SUROCCIDENTE</v>
          </cell>
          <cell r="Z32"/>
          <cell r="AA32" t="str">
            <v xml:space="preserve">Medellin </v>
          </cell>
          <cell r="AB32" t="str">
            <v>Bello</v>
          </cell>
          <cell r="AC32" t="str">
            <v>Dg.  50A # 41 - 74</v>
          </cell>
          <cell r="AD32" t="str">
            <v>Tercer Turno</v>
          </cell>
          <cell r="AE32">
            <v>17460</v>
          </cell>
          <cell r="AF32">
            <v>13000</v>
          </cell>
          <cell r="AG32" t="str">
            <v>12 KM</v>
          </cell>
          <cell r="AH32" t="str">
            <v>20 MIN</v>
          </cell>
          <cell r="AI32">
            <v>20000</v>
          </cell>
          <cell r="AJ32">
            <v>18000</v>
          </cell>
          <cell r="AK32">
            <v>-5000</v>
          </cell>
          <cell r="AL32">
            <v>17460</v>
          </cell>
        </row>
        <row r="33">
          <cell r="T33" t="str">
            <v xml:space="preserve">Marcial Andres Tapias Fernandez </v>
          </cell>
          <cell r="U33" t="str">
            <v xml:space="preserve">Barrio Envigado </v>
          </cell>
          <cell r="V33">
            <v>0</v>
          </cell>
          <cell r="W33" t="str">
            <v>LEJANO</v>
          </cell>
          <cell r="X33">
            <v>3148197574</v>
          </cell>
          <cell r="Y33" t="str">
            <v>SUROCCIDENTE</v>
          </cell>
          <cell r="Z33"/>
          <cell r="AA33" t="str">
            <v xml:space="preserve">Medellin </v>
          </cell>
          <cell r="AB33" t="str">
            <v>Bello</v>
          </cell>
          <cell r="AC33" t="str">
            <v>Dg.  50A # 41 - 74</v>
          </cell>
          <cell r="AD33" t="str">
            <v>Tercer Turno</v>
          </cell>
          <cell r="AE33">
            <v>17460</v>
          </cell>
          <cell r="AF33">
            <v>9000</v>
          </cell>
          <cell r="AG33">
            <v>0</v>
          </cell>
          <cell r="AH33">
            <v>0</v>
          </cell>
          <cell r="AI33">
            <v>25000</v>
          </cell>
          <cell r="AJ33">
            <v>18000</v>
          </cell>
          <cell r="AK33">
            <v>-9000</v>
          </cell>
          <cell r="AL33">
            <v>17460</v>
          </cell>
        </row>
        <row r="34">
          <cell r="T34" t="str">
            <v xml:space="preserve">Mario Andres Ardila Diaz </v>
          </cell>
          <cell r="U34" t="str">
            <v xml:space="preserve">Barrio Madera - Bello </v>
          </cell>
          <cell r="V34">
            <v>0</v>
          </cell>
          <cell r="W34" t="str">
            <v>CERCANO</v>
          </cell>
          <cell r="X34">
            <v>3012175918</v>
          </cell>
          <cell r="Y34" t="str">
            <v>SUROCCIDENTE</v>
          </cell>
          <cell r="Z34"/>
          <cell r="AA34" t="str">
            <v xml:space="preserve">Medellin </v>
          </cell>
          <cell r="AB34" t="str">
            <v>Bello</v>
          </cell>
          <cell r="AC34" t="str">
            <v>Dg.  50A # 41 - 74</v>
          </cell>
          <cell r="AD34" t="str">
            <v>Tercer Turno</v>
          </cell>
          <cell r="AE34">
            <v>17460</v>
          </cell>
          <cell r="AF34">
            <v>13000</v>
          </cell>
          <cell r="AG34">
            <v>0</v>
          </cell>
          <cell r="AH34">
            <v>0</v>
          </cell>
          <cell r="AI34">
            <v>20000</v>
          </cell>
          <cell r="AJ34">
            <v>18000</v>
          </cell>
          <cell r="AK34">
            <v>-5000</v>
          </cell>
          <cell r="AL34">
            <v>17460</v>
          </cell>
        </row>
        <row r="35">
          <cell r="T35" t="str">
            <v xml:space="preserve">Yudi Andrea Polanco Guevara </v>
          </cell>
          <cell r="U35" t="str">
            <v xml:space="preserve">Barrio Terranova _ Bello </v>
          </cell>
          <cell r="V35">
            <v>0</v>
          </cell>
          <cell r="W35" t="str">
            <v>CERCANO</v>
          </cell>
          <cell r="X35">
            <v>3127146395</v>
          </cell>
          <cell r="Y35" t="str">
            <v>SUROCCIDENTE</v>
          </cell>
          <cell r="Z35"/>
          <cell r="AA35" t="str">
            <v xml:space="preserve">Medellin </v>
          </cell>
          <cell r="AB35" t="str">
            <v>Bello</v>
          </cell>
          <cell r="AC35" t="str">
            <v>Dg.  50A # 41 - 74</v>
          </cell>
          <cell r="AD35" t="str">
            <v>Tercer Turno</v>
          </cell>
          <cell r="AE35">
            <v>17460</v>
          </cell>
          <cell r="AF35">
            <v>13000</v>
          </cell>
          <cell r="AG35" t="str">
            <v>12 KM</v>
          </cell>
          <cell r="AH35" t="str">
            <v>20 MIN</v>
          </cell>
          <cell r="AI35">
            <v>20000</v>
          </cell>
          <cell r="AJ35">
            <v>18000</v>
          </cell>
          <cell r="AK35">
            <v>-5000</v>
          </cell>
          <cell r="AL35">
            <v>17460</v>
          </cell>
        </row>
        <row r="36">
          <cell r="T36" t="str">
            <v>Johan manuel rodriguez serano</v>
          </cell>
          <cell r="U36" t="str">
            <v>km1 via pamplona 1-97</v>
          </cell>
          <cell r="V36" t="str">
            <v>edificio acuario</v>
          </cell>
          <cell r="W36" t="str">
            <v>CERCANO</v>
          </cell>
          <cell r="X36" t="e">
            <v>#REF!</v>
          </cell>
          <cell r="Y36" t="str">
            <v>NORTE</v>
          </cell>
          <cell r="Z36"/>
          <cell r="AA36" t="str">
            <v>Bucaramanga</v>
          </cell>
          <cell r="AB36" t="str">
            <v>Cabecera</v>
          </cell>
          <cell r="AC36" t="str">
            <v>Cll.  54 #  33-45 piso 1</v>
          </cell>
          <cell r="AD36" t="str">
            <v>Cuarto Turno</v>
          </cell>
          <cell r="AE36">
            <v>10670</v>
          </cell>
          <cell r="AF36">
            <v>8000</v>
          </cell>
          <cell r="AG36" t="str">
            <v>5 km</v>
          </cell>
          <cell r="AH36" t="str">
            <v>9 min</v>
          </cell>
          <cell r="AI36">
            <v>11000</v>
          </cell>
          <cell r="AJ36">
            <v>11000</v>
          </cell>
          <cell r="AK36">
            <v>-3000</v>
          </cell>
          <cell r="AL36">
            <v>10670</v>
          </cell>
        </row>
        <row r="37">
          <cell r="T37" t="str">
            <v>Ana cecilia patiño villalba</v>
          </cell>
          <cell r="U37" t="str">
            <v>Transversal 62 # 6- 29 torre 1 apr 903</v>
          </cell>
          <cell r="V37" t="str">
            <v>ciudadela real de minas</v>
          </cell>
          <cell r="W37" t="str">
            <v>CERCANO</v>
          </cell>
          <cell r="X37" t="e">
            <v>#REF!</v>
          </cell>
          <cell r="Y37" t="str">
            <v>NORTE</v>
          </cell>
          <cell r="Z37"/>
          <cell r="AA37" t="str">
            <v>Bucaramanga</v>
          </cell>
          <cell r="AB37" t="str">
            <v>Cabecera</v>
          </cell>
          <cell r="AC37" t="str">
            <v>Cll.  54 #  33-45 piso 1</v>
          </cell>
          <cell r="AD37" t="str">
            <v>Cuarto Turno</v>
          </cell>
          <cell r="AE37">
            <v>10670</v>
          </cell>
          <cell r="AF37">
            <v>8000</v>
          </cell>
          <cell r="AG37">
            <v>4</v>
          </cell>
          <cell r="AH37">
            <v>8</v>
          </cell>
          <cell r="AI37">
            <v>11000</v>
          </cell>
          <cell r="AJ37">
            <v>11000</v>
          </cell>
          <cell r="AK37">
            <v>-3000</v>
          </cell>
          <cell r="AL37">
            <v>10670</v>
          </cell>
        </row>
        <row r="38">
          <cell r="T38" t="str">
            <v>Juan Pablo Gomez Rodriguez</v>
          </cell>
          <cell r="U38" t="str">
            <v>Carrera 22a # 22a - 23  (municipio)</v>
          </cell>
          <cell r="V38" t="str">
            <v>san antonio del carrizal</v>
          </cell>
          <cell r="W38" t="str">
            <v>INTERMUNICIPAL</v>
          </cell>
          <cell r="X38" t="e">
            <v>#REF!</v>
          </cell>
          <cell r="Y38" t="str">
            <v>NORTE</v>
          </cell>
          <cell r="Z38"/>
          <cell r="AA38" t="str">
            <v>Bucaramanga</v>
          </cell>
          <cell r="AB38" t="str">
            <v>Cabecera</v>
          </cell>
          <cell r="AC38" t="str">
            <v>Cll.  54 #  33-45 piso 1</v>
          </cell>
          <cell r="AD38" t="str">
            <v>Cuarto Turno</v>
          </cell>
          <cell r="AE38">
            <v>39285</v>
          </cell>
          <cell r="AF38">
            <v>20000</v>
          </cell>
          <cell r="AG38">
            <v>14</v>
          </cell>
          <cell r="AH38">
            <v>24</v>
          </cell>
          <cell r="AI38">
            <v>45000</v>
          </cell>
          <cell r="AJ38">
            <v>40500</v>
          </cell>
          <cell r="AK38">
            <v>-20500</v>
          </cell>
          <cell r="AL38">
            <v>39285</v>
          </cell>
        </row>
        <row r="39">
          <cell r="T39" t="str">
            <v>Blanca Esther Mantilla dominguez</v>
          </cell>
          <cell r="U39" t="str">
            <v>carrera 32 # 29a-16 (municipio)</v>
          </cell>
          <cell r="V39" t="str">
            <v>elhoy valenzuela</v>
          </cell>
          <cell r="W39" t="str">
            <v>INTERMUNICIPAL</v>
          </cell>
          <cell r="X39" t="e">
            <v>#REF!</v>
          </cell>
          <cell r="Y39" t="str">
            <v>NORTE</v>
          </cell>
          <cell r="Z39"/>
          <cell r="AA39" t="str">
            <v>Bucaramanga</v>
          </cell>
          <cell r="AB39" t="str">
            <v>Cabecera</v>
          </cell>
          <cell r="AC39" t="str">
            <v>Cll.  54 #  33-45 piso 1</v>
          </cell>
          <cell r="AD39" t="str">
            <v>Cuarto Turno</v>
          </cell>
          <cell r="AE39">
            <v>39285</v>
          </cell>
          <cell r="AF39">
            <v>20000</v>
          </cell>
          <cell r="AG39">
            <v>10</v>
          </cell>
          <cell r="AH39">
            <v>13</v>
          </cell>
          <cell r="AI39">
            <v>45000</v>
          </cell>
          <cell r="AJ39">
            <v>40500</v>
          </cell>
          <cell r="AK39">
            <v>-20500</v>
          </cell>
          <cell r="AL39">
            <v>39285</v>
          </cell>
        </row>
        <row r="40">
          <cell r="T40" t="str">
            <v>Sandra Milena Ardila Afanador</v>
          </cell>
          <cell r="U40" t="str">
            <v>diagonal 12a # 10a-15 torre 1 apt 204 (municipio)</v>
          </cell>
          <cell r="V40" t="str">
            <v>brisas del campo</v>
          </cell>
          <cell r="W40" t="str">
            <v>INTERMUNICIPAL</v>
          </cell>
          <cell r="X40" t="e">
            <v>#REF!</v>
          </cell>
          <cell r="Y40" t="str">
            <v>NORTE</v>
          </cell>
          <cell r="Z40"/>
          <cell r="AA40" t="str">
            <v>Bucaramanga</v>
          </cell>
          <cell r="AB40" t="str">
            <v>Cabecera</v>
          </cell>
          <cell r="AC40" t="str">
            <v>Cll.  54 #  33-45 piso 1</v>
          </cell>
          <cell r="AD40" t="str">
            <v>Primer Turno</v>
          </cell>
          <cell r="AE40">
            <v>39285</v>
          </cell>
          <cell r="AF40">
            <v>20000</v>
          </cell>
          <cell r="AG40">
            <v>13</v>
          </cell>
          <cell r="AH40">
            <v>27</v>
          </cell>
          <cell r="AI40">
            <v>25000</v>
          </cell>
          <cell r="AJ40">
            <v>22500</v>
          </cell>
          <cell r="AK40">
            <v>-2500</v>
          </cell>
          <cell r="AL40">
            <v>21825</v>
          </cell>
        </row>
        <row r="41">
          <cell r="T41" t="str">
            <v>Wilson nova Hernandez</v>
          </cell>
          <cell r="U41" t="str">
            <v>carrera 29w # 59-02</v>
          </cell>
          <cell r="V41" t="str">
            <v>estoraque</v>
          </cell>
          <cell r="W41" t="str">
            <v>CERCANO</v>
          </cell>
          <cell r="X41" t="e">
            <v>#REF!</v>
          </cell>
          <cell r="Y41" t="str">
            <v>NORTE</v>
          </cell>
          <cell r="Z41"/>
          <cell r="AA41" t="str">
            <v>Bucaramanga</v>
          </cell>
          <cell r="AB41" t="str">
            <v>Cabecera</v>
          </cell>
          <cell r="AC41" t="str">
            <v>Cll.  54 #  33-45 piso 1</v>
          </cell>
          <cell r="AD41" t="str">
            <v>Primer Turno</v>
          </cell>
          <cell r="AE41">
            <v>13095</v>
          </cell>
          <cell r="AF41">
            <v>8000</v>
          </cell>
          <cell r="AG41" t="str">
            <v>8 km</v>
          </cell>
          <cell r="AH41" t="str">
            <v>15 min</v>
          </cell>
          <cell r="AI41">
            <v>15000</v>
          </cell>
          <cell r="AJ41">
            <v>13500</v>
          </cell>
          <cell r="AK41">
            <v>-5500</v>
          </cell>
          <cell r="AL41">
            <v>13095</v>
          </cell>
        </row>
        <row r="42">
          <cell r="T42" t="str">
            <v>Grace liliana  suarez mogollon</v>
          </cell>
          <cell r="U42" t="str">
            <v>carrera 56 # 85-31 torre 8 apt 432</v>
          </cell>
          <cell r="V42">
            <v>0</v>
          </cell>
          <cell r="W42" t="str">
            <v>CERCANO</v>
          </cell>
          <cell r="X42">
            <v>3214758937</v>
          </cell>
          <cell r="Y42" t="str">
            <v>NORTE</v>
          </cell>
          <cell r="Z42"/>
          <cell r="AA42" t="str">
            <v>Bucaramanga</v>
          </cell>
          <cell r="AB42" t="str">
            <v>Cabecera</v>
          </cell>
          <cell r="AC42" t="str">
            <v>Cll.  54 #  33-45 piso 1</v>
          </cell>
          <cell r="AD42" t="str">
            <v>Primer Turno</v>
          </cell>
          <cell r="AE42">
            <v>13095</v>
          </cell>
          <cell r="AF42">
            <v>8000</v>
          </cell>
          <cell r="AG42">
            <v>5</v>
          </cell>
          <cell r="AH42">
            <v>11</v>
          </cell>
          <cell r="AI42">
            <v>15000</v>
          </cell>
          <cell r="AJ42">
            <v>13500</v>
          </cell>
          <cell r="AK42">
            <v>-5500</v>
          </cell>
          <cell r="AL42">
            <v>13095</v>
          </cell>
        </row>
        <row r="43">
          <cell r="T43" t="str">
            <v>Sonia Yolanda Amado Silva</v>
          </cell>
          <cell r="U43" t="str">
            <v xml:space="preserve">Carrera 27 # 48-31 apt 903 </v>
          </cell>
          <cell r="V43" t="str">
            <v>reservaas publica</v>
          </cell>
          <cell r="W43" t="str">
            <v>CERCANO</v>
          </cell>
          <cell r="X43" t="e">
            <v>#REF!</v>
          </cell>
          <cell r="Y43" t="str">
            <v>NORTE</v>
          </cell>
          <cell r="Z43"/>
          <cell r="AA43" t="str">
            <v>Bucaramanga</v>
          </cell>
          <cell r="AB43" t="str">
            <v>Cabecera</v>
          </cell>
          <cell r="AC43" t="str">
            <v>Cll.  54 #  33-45 piso 1</v>
          </cell>
          <cell r="AD43" t="str">
            <v>Primer Turno</v>
          </cell>
          <cell r="AE43">
            <v>10670</v>
          </cell>
          <cell r="AF43">
            <v>8000</v>
          </cell>
          <cell r="AG43">
            <v>2</v>
          </cell>
          <cell r="AH43">
            <v>8</v>
          </cell>
          <cell r="AI43">
            <v>11000</v>
          </cell>
          <cell r="AJ43">
            <v>11000</v>
          </cell>
          <cell r="AK43">
            <v>-3000</v>
          </cell>
          <cell r="AL43">
            <v>10670</v>
          </cell>
        </row>
        <row r="44">
          <cell r="T44" t="str">
            <v>Paola Andrea Martinez Rueda</v>
          </cell>
          <cell r="U44" t="str">
            <v>Av 17 # 7w-51  conjunto el trapiche torre B apt 111 (municipio)</v>
          </cell>
          <cell r="V44" t="str">
            <v>el trapiche</v>
          </cell>
          <cell r="W44" t="str">
            <v>INTERMUNICIPAL</v>
          </cell>
          <cell r="X44" t="e">
            <v>#REF!</v>
          </cell>
          <cell r="Y44" t="str">
            <v>NORTE</v>
          </cell>
          <cell r="Z44"/>
          <cell r="AA44" t="str">
            <v>Bucaramanga</v>
          </cell>
          <cell r="AB44" t="str">
            <v>Cabecera</v>
          </cell>
          <cell r="AC44" t="str">
            <v>Cll.  54 #  33-45 piso 1</v>
          </cell>
          <cell r="AD44" t="str">
            <v>Primer Turno</v>
          </cell>
          <cell r="AE44">
            <v>24444</v>
          </cell>
          <cell r="AF44">
            <v>20000</v>
          </cell>
          <cell r="AG44">
            <v>18</v>
          </cell>
          <cell r="AH44">
            <v>22</v>
          </cell>
          <cell r="AI44">
            <v>28000</v>
          </cell>
          <cell r="AJ44">
            <v>25200</v>
          </cell>
          <cell r="AK44">
            <v>-5200</v>
          </cell>
          <cell r="AL44">
            <v>24444</v>
          </cell>
        </row>
        <row r="45">
          <cell r="T45" t="str">
            <v>Monica Patricia Rios guate</v>
          </cell>
          <cell r="U45" t="str">
            <v>Calle 44a # 32a-39 (municipio)</v>
          </cell>
          <cell r="V45" t="str">
            <v>corviandi III</v>
          </cell>
          <cell r="W45" t="str">
            <v>INTERMUNICIPAL</v>
          </cell>
          <cell r="X45" t="e">
            <v>#REF!</v>
          </cell>
          <cell r="Y45" t="str">
            <v>NORTE</v>
          </cell>
          <cell r="Z45"/>
          <cell r="AA45" t="str">
            <v>Bucaramanga</v>
          </cell>
          <cell r="AB45" t="str">
            <v>Cabecera</v>
          </cell>
          <cell r="AC45" t="str">
            <v>Cll.  54 #  33-45 piso 1</v>
          </cell>
          <cell r="AD45" t="str">
            <v>Tercer Turno</v>
          </cell>
          <cell r="AE45">
            <v>27160</v>
          </cell>
          <cell r="AF45">
            <v>20000</v>
          </cell>
          <cell r="AG45">
            <v>14</v>
          </cell>
          <cell r="AH45">
            <v>22</v>
          </cell>
          <cell r="AI45">
            <v>28000</v>
          </cell>
          <cell r="AJ45">
            <v>28000</v>
          </cell>
          <cell r="AK45">
            <v>-8000</v>
          </cell>
          <cell r="AL45">
            <v>27160</v>
          </cell>
        </row>
        <row r="46">
          <cell r="T46" t="str">
            <v>Claudia Yaneth GaitanVillalba</v>
          </cell>
          <cell r="U46" t="str">
            <v>carrera 34 # 34-17</v>
          </cell>
          <cell r="V46" t="str">
            <v>el prado</v>
          </cell>
          <cell r="W46" t="str">
            <v>CERCANO</v>
          </cell>
          <cell r="X46" t="e">
            <v>#REF!</v>
          </cell>
          <cell r="Y46" t="str">
            <v>NORTE</v>
          </cell>
          <cell r="Z46"/>
          <cell r="AA46" t="str">
            <v>Bucaramanga</v>
          </cell>
          <cell r="AB46" t="str">
            <v>Cabecera</v>
          </cell>
          <cell r="AC46" t="str">
            <v>Cll.  54 #  33-45 piso 1</v>
          </cell>
          <cell r="AD46" t="str">
            <v>Tercer Turno</v>
          </cell>
          <cell r="AE46">
            <v>10670</v>
          </cell>
          <cell r="AF46">
            <v>8000</v>
          </cell>
          <cell r="AG46">
            <v>3</v>
          </cell>
          <cell r="AH46">
            <v>9</v>
          </cell>
          <cell r="AI46">
            <v>11000</v>
          </cell>
          <cell r="AJ46">
            <v>11000</v>
          </cell>
          <cell r="AK46">
            <v>-3000</v>
          </cell>
          <cell r="AL46">
            <v>10670</v>
          </cell>
        </row>
        <row r="47">
          <cell r="T47" t="str">
            <v>Sandra Milena Pinto</v>
          </cell>
          <cell r="U47" t="str">
            <v>calle 19f # 19-93 (municipio)</v>
          </cell>
          <cell r="V47" t="str">
            <v>portal campestre</v>
          </cell>
          <cell r="W47" t="str">
            <v>INTERMUNICIPAL</v>
          </cell>
          <cell r="X47" t="e">
            <v>#REF!</v>
          </cell>
          <cell r="Y47" t="str">
            <v>NORTE</v>
          </cell>
          <cell r="Z47"/>
          <cell r="AA47" t="str">
            <v>Bucaramanga</v>
          </cell>
          <cell r="AB47" t="str">
            <v>Cabecera</v>
          </cell>
          <cell r="AC47" t="str">
            <v>Cll.  54 #  33-45 piso 1</v>
          </cell>
          <cell r="AD47" t="str">
            <v>Tercer Turno</v>
          </cell>
          <cell r="AE47">
            <v>39285</v>
          </cell>
          <cell r="AF47">
            <v>20000</v>
          </cell>
          <cell r="AG47">
            <v>14</v>
          </cell>
          <cell r="AH47">
            <v>25</v>
          </cell>
          <cell r="AI47">
            <v>45000</v>
          </cell>
          <cell r="AJ47">
            <v>40500</v>
          </cell>
          <cell r="AK47">
            <v>-20500</v>
          </cell>
          <cell r="AL47">
            <v>39285</v>
          </cell>
        </row>
        <row r="48">
          <cell r="T48" t="str">
            <v>Nelfy Jadira Quitian Mesa</v>
          </cell>
          <cell r="U48" t="str">
            <v>anillo vial # 21 -462 conjunto caminos de providencia (Se traslada a Municipio)</v>
          </cell>
          <cell r="V48" t="str">
            <v>caminos de providenza</v>
          </cell>
          <cell r="W48" t="str">
            <v>INTERMUNICIPAL</v>
          </cell>
          <cell r="X48" t="e">
            <v>#REF!</v>
          </cell>
          <cell r="Y48" t="str">
            <v>NORTE</v>
          </cell>
          <cell r="Z48"/>
          <cell r="AA48" t="str">
            <v>Bucaramanga</v>
          </cell>
          <cell r="AB48" t="str">
            <v>Cabecera</v>
          </cell>
          <cell r="AC48" t="str">
            <v>Cll.  54 #  33-45 piso 1</v>
          </cell>
          <cell r="AD48" t="str">
            <v>Tercer Turno</v>
          </cell>
          <cell r="AE48">
            <v>24250</v>
          </cell>
          <cell r="AF48">
            <v>20000</v>
          </cell>
          <cell r="AG48">
            <v>5</v>
          </cell>
          <cell r="AH48">
            <v>11</v>
          </cell>
          <cell r="AI48">
            <v>25000</v>
          </cell>
          <cell r="AJ48">
            <v>22500</v>
          </cell>
          <cell r="AK48">
            <v>-2500</v>
          </cell>
          <cell r="AL48">
            <v>21825</v>
          </cell>
        </row>
        <row r="49">
          <cell r="T49" t="str">
            <v>Sandra Patricia Patiño Silva</v>
          </cell>
          <cell r="U49" t="str">
            <v>calle 3 # 6-46 (Se traslada municipo)</v>
          </cell>
          <cell r="V49" t="str">
            <v>rosario I</v>
          </cell>
          <cell r="W49" t="str">
            <v>INTERMUNICIPAL</v>
          </cell>
          <cell r="X49" t="e">
            <v>#REF!</v>
          </cell>
          <cell r="Y49" t="str">
            <v>NORTE</v>
          </cell>
          <cell r="Z49" t="str">
            <v>rosario 1</v>
          </cell>
          <cell r="AA49" t="str">
            <v>Bucaramanga</v>
          </cell>
          <cell r="AB49" t="str">
            <v>Cabecera</v>
          </cell>
          <cell r="AC49" t="str">
            <v>Cll.  54 #  33-45 piso 1</v>
          </cell>
          <cell r="AD49" t="str">
            <v>Tercer Turno</v>
          </cell>
          <cell r="AE49">
            <v>24250</v>
          </cell>
          <cell r="AF49">
            <v>20000</v>
          </cell>
          <cell r="AG49">
            <v>4</v>
          </cell>
          <cell r="AH49">
            <v>13</v>
          </cell>
          <cell r="AI49">
            <v>25000</v>
          </cell>
          <cell r="AJ49">
            <v>22500</v>
          </cell>
          <cell r="AK49">
            <v>-2500</v>
          </cell>
          <cell r="AL49">
            <v>21825</v>
          </cell>
        </row>
        <row r="50">
          <cell r="T50" t="str">
            <v xml:space="preserve">MONICA RIOS </v>
          </cell>
          <cell r="U50" t="str">
            <v xml:space="preserve">AVERIGUAR CON EL CONDUCTOR </v>
          </cell>
          <cell r="V50" t="str">
            <v>B</v>
          </cell>
          <cell r="W50" t="str">
            <v>CERCANO</v>
          </cell>
          <cell r="X50" t="str">
            <v xml:space="preserve">AVERIGUAR CON EL CONDUCTOR </v>
          </cell>
          <cell r="Y50" t="str">
            <v>NORTE</v>
          </cell>
          <cell r="Z50"/>
          <cell r="AA50" t="str">
            <v>Bucaramanga</v>
          </cell>
          <cell r="AB50" t="str">
            <v>Cabecera</v>
          </cell>
          <cell r="AC50" t="str">
            <v>Cll.  54 #  33-45 piso 1</v>
          </cell>
          <cell r="AD50" t="str">
            <v>Tercer Turno</v>
          </cell>
          <cell r="AE50">
            <v>13095</v>
          </cell>
          <cell r="AF50">
            <v>8000</v>
          </cell>
          <cell r="AG50">
            <v>14</v>
          </cell>
          <cell r="AH50">
            <v>22</v>
          </cell>
          <cell r="AI50">
            <v>15000</v>
          </cell>
          <cell r="AJ50">
            <v>13500</v>
          </cell>
          <cell r="AK50">
            <v>-5500</v>
          </cell>
          <cell r="AL50">
            <v>13095</v>
          </cell>
        </row>
        <row r="51">
          <cell r="T51" t="str">
            <v>Johan manuel rodriguez serano</v>
          </cell>
          <cell r="U51" t="str">
            <v>km1 via pamplona 1-97</v>
          </cell>
          <cell r="V51" t="str">
            <v>edificio acuario</v>
          </cell>
          <cell r="W51" t="str">
            <v>CERCANO</v>
          </cell>
          <cell r="X51" t="e">
            <v>#REF!</v>
          </cell>
          <cell r="Y51" t="str">
            <v>NORTE</v>
          </cell>
          <cell r="Z51"/>
          <cell r="AA51" t="str">
            <v>Bucaramanga</v>
          </cell>
          <cell r="AB51" t="str">
            <v>Cabecera</v>
          </cell>
          <cell r="AC51" t="str">
            <v>Cll.  54 #  33-45 piso 1</v>
          </cell>
          <cell r="AD51" t="str">
            <v>Tercer Turno</v>
          </cell>
          <cell r="AE51">
            <v>10670</v>
          </cell>
          <cell r="AF51">
            <v>8000</v>
          </cell>
          <cell r="AG51" t="str">
            <v>5 km</v>
          </cell>
          <cell r="AH51" t="str">
            <v>9 min</v>
          </cell>
          <cell r="AI51">
            <v>11000</v>
          </cell>
          <cell r="AJ51">
            <v>11000</v>
          </cell>
          <cell r="AK51">
            <v>-3000</v>
          </cell>
          <cell r="AL51">
            <v>10670</v>
          </cell>
        </row>
        <row r="52">
          <cell r="T52" t="str">
            <v xml:space="preserve">Luz islenia sandoval </v>
          </cell>
          <cell r="U52" t="str">
            <v>CONJUNTO PARQUE LA CIGARRAS</v>
          </cell>
          <cell r="V52" t="str">
            <v>las cigarras</v>
          </cell>
          <cell r="W52" t="str">
            <v>CERCANO</v>
          </cell>
          <cell r="X52" t="e">
            <v>#REF!</v>
          </cell>
          <cell r="Y52" t="str">
            <v>NORTE</v>
          </cell>
          <cell r="Z52"/>
          <cell r="AA52" t="str">
            <v>Bucaramanga</v>
          </cell>
          <cell r="AB52" t="str">
            <v>Cabecera</v>
          </cell>
          <cell r="AC52" t="str">
            <v>Cll.  54 #  33-45 piso 1</v>
          </cell>
          <cell r="AD52" t="str">
            <v>Tercer Turno</v>
          </cell>
          <cell r="AE52">
            <v>19400</v>
          </cell>
          <cell r="AF52">
            <v>8000</v>
          </cell>
          <cell r="AG52" t="str">
            <v>6 km</v>
          </cell>
          <cell r="AH52" t="str">
            <v>10 min</v>
          </cell>
          <cell r="AI52">
            <v>20000</v>
          </cell>
          <cell r="AJ52">
            <v>20000</v>
          </cell>
          <cell r="AK52">
            <v>-12000</v>
          </cell>
          <cell r="AL52">
            <v>19400</v>
          </cell>
        </row>
        <row r="53">
          <cell r="T53" t="str">
            <v>Merlyn Àlvarez</v>
          </cell>
          <cell r="U53" t="str">
            <v>13 de Junio Urbanizaciòn La India, Mz A lote 13</v>
          </cell>
          <cell r="V53" t="str">
            <v xml:space="preserve">La india </v>
          </cell>
          <cell r="W53" t="str">
            <v>CERCANO</v>
          </cell>
          <cell r="X53">
            <v>3146868902</v>
          </cell>
          <cell r="Y53" t="str">
            <v>NORTE</v>
          </cell>
          <cell r="Z53"/>
          <cell r="AA53" t="str">
            <v>CARTAGENA</v>
          </cell>
          <cell r="AB53" t="str">
            <v>Cartagena</v>
          </cell>
          <cell r="AC53" t="str">
            <v>Barrio La Plazuela Carrera 71 # 29 - 236 CC shoping center La plazuela local 16</v>
          </cell>
          <cell r="AD53" t="str">
            <v>Cuarto Turno</v>
          </cell>
          <cell r="AE53">
            <v>13095</v>
          </cell>
          <cell r="AF53">
            <v>9000</v>
          </cell>
          <cell r="AG53">
            <v>3</v>
          </cell>
          <cell r="AH53">
            <v>11</v>
          </cell>
          <cell r="AI53">
            <v>15000</v>
          </cell>
          <cell r="AJ53">
            <v>13500</v>
          </cell>
          <cell r="AK53">
            <v>-4500</v>
          </cell>
          <cell r="AL53">
            <v>13095</v>
          </cell>
        </row>
        <row r="54">
          <cell r="T54" t="str">
            <v xml:space="preserve">Luz Mery Rios </v>
          </cell>
          <cell r="U54" t="str">
            <v>Olaya Herrera Sector 11 Noviembre Calle La Arrocera #34-111</v>
          </cell>
          <cell r="V54" t="str">
            <v xml:space="preserve">Olaya Herrera </v>
          </cell>
          <cell r="W54" t="str">
            <v>CERCANO</v>
          </cell>
          <cell r="X54">
            <v>3142431973</v>
          </cell>
          <cell r="Y54" t="str">
            <v>NORTE</v>
          </cell>
          <cell r="Z54"/>
          <cell r="AA54" t="str">
            <v>CARTAGENA</v>
          </cell>
          <cell r="AB54" t="str">
            <v>Cartagena</v>
          </cell>
          <cell r="AC54" t="str">
            <v>Barrio La Plazuela Carrera 71 # 29 - 236 CC shoping center La plazuela local 16</v>
          </cell>
          <cell r="AD54" t="str">
            <v>Cuarto Turno</v>
          </cell>
          <cell r="AE54">
            <v>13095</v>
          </cell>
          <cell r="AF54">
            <v>9000</v>
          </cell>
          <cell r="AG54">
            <v>0</v>
          </cell>
          <cell r="AH54">
            <v>0</v>
          </cell>
          <cell r="AI54">
            <v>15000</v>
          </cell>
          <cell r="AJ54">
            <v>13500</v>
          </cell>
          <cell r="AK54">
            <v>-4500</v>
          </cell>
          <cell r="AL54">
            <v>13095</v>
          </cell>
        </row>
        <row r="55">
          <cell r="T55" t="str">
            <v xml:space="preserve">Tatiana Martinez </v>
          </cell>
          <cell r="U55" t="str">
            <v>El Carmelo, Calle Santa Marta Mz R Lote 11</v>
          </cell>
          <cell r="V55" t="str">
            <v>El Carmelo</v>
          </cell>
          <cell r="W55" t="str">
            <v>CERCANO</v>
          </cell>
          <cell r="X55">
            <v>3147271557</v>
          </cell>
          <cell r="Y55" t="str">
            <v>NORTE</v>
          </cell>
          <cell r="Z55"/>
          <cell r="AA55" t="str">
            <v>CARTAGENA</v>
          </cell>
          <cell r="AB55" t="str">
            <v>Cartagena</v>
          </cell>
          <cell r="AC55" t="str">
            <v>Barrio La Plazuela Carrera 71 # 29 - 236 CC shoping center La plazuela local 16</v>
          </cell>
          <cell r="AD55" t="str">
            <v>Cuarto Turno</v>
          </cell>
          <cell r="AE55">
            <v>13095</v>
          </cell>
          <cell r="AF55">
            <v>9000</v>
          </cell>
          <cell r="AG55">
            <v>3</v>
          </cell>
          <cell r="AH55">
            <v>10</v>
          </cell>
          <cell r="AI55">
            <v>15000</v>
          </cell>
          <cell r="AJ55">
            <v>13500</v>
          </cell>
          <cell r="AK55">
            <v>-4500</v>
          </cell>
          <cell r="AL55">
            <v>13095</v>
          </cell>
        </row>
        <row r="56">
          <cell r="T56" t="str">
            <v>Marìa Angèlica Suarez</v>
          </cell>
          <cell r="U56" t="str">
            <v>Ciudad Jardìn, Palmeras del Jardìn</v>
          </cell>
          <cell r="V56" t="str">
            <v>Ciudad Jardin</v>
          </cell>
          <cell r="W56" t="str">
            <v>CERCANO</v>
          </cell>
          <cell r="X56">
            <v>3006689859</v>
          </cell>
          <cell r="Y56" t="str">
            <v>NORTE</v>
          </cell>
          <cell r="Z56"/>
          <cell r="AA56" t="str">
            <v>CARTAGENA</v>
          </cell>
          <cell r="AB56" t="str">
            <v>Cartagena</v>
          </cell>
          <cell r="AC56" t="str">
            <v>Barrio La Plazuela Carrera 71 # 29 - 236 CC shoping center La plazuela local 16</v>
          </cell>
          <cell r="AD56" t="str">
            <v>Cuarto Turno</v>
          </cell>
          <cell r="AE56">
            <v>13095</v>
          </cell>
          <cell r="AF56">
            <v>9000</v>
          </cell>
          <cell r="AG56">
            <v>4</v>
          </cell>
          <cell r="AH56">
            <v>11</v>
          </cell>
          <cell r="AI56">
            <v>15000</v>
          </cell>
          <cell r="AJ56">
            <v>13500</v>
          </cell>
          <cell r="AK56">
            <v>-4500</v>
          </cell>
          <cell r="AL56">
            <v>13095</v>
          </cell>
        </row>
        <row r="57">
          <cell r="T57" t="str">
            <v>Lina Pertùz</v>
          </cell>
          <cell r="U57" t="str">
            <v xml:space="preserve">Campestre Mz 80 Lote 6 </v>
          </cell>
          <cell r="V57" t="str">
            <v>Campestre</v>
          </cell>
          <cell r="W57" t="str">
            <v>CERCANO</v>
          </cell>
          <cell r="X57">
            <v>3008426412</v>
          </cell>
          <cell r="Y57" t="str">
            <v>NORTE</v>
          </cell>
          <cell r="Z57"/>
          <cell r="AA57" t="str">
            <v>CARTAGENA</v>
          </cell>
          <cell r="AB57" t="str">
            <v>Cartagena</v>
          </cell>
          <cell r="AC57" t="str">
            <v>Barrio La Plazuela Carrera 71 # 29 - 236 CC shoping center La plazuela local 16</v>
          </cell>
          <cell r="AD57" t="str">
            <v>Cuarto Turno</v>
          </cell>
          <cell r="AE57">
            <v>13095</v>
          </cell>
          <cell r="AF57">
            <v>9000</v>
          </cell>
          <cell r="AG57">
            <v>4</v>
          </cell>
          <cell r="AH57">
            <v>11</v>
          </cell>
          <cell r="AI57">
            <v>15000</v>
          </cell>
          <cell r="AJ57">
            <v>13500</v>
          </cell>
          <cell r="AK57">
            <v>-4500</v>
          </cell>
          <cell r="AL57">
            <v>13095</v>
          </cell>
        </row>
        <row r="58">
          <cell r="T58" t="str">
            <v>Sandra Blanco</v>
          </cell>
          <cell r="U58" t="str">
            <v>San Jose de los Campanos, carrera 101 #39a-46</v>
          </cell>
          <cell r="V58" t="str">
            <v xml:space="preserve">San Jose de los campanos </v>
          </cell>
          <cell r="W58" t="str">
            <v>CERCANO</v>
          </cell>
          <cell r="X58">
            <v>3007902257</v>
          </cell>
          <cell r="Y58" t="str">
            <v>NORTE</v>
          </cell>
          <cell r="Z58"/>
          <cell r="AA58" t="str">
            <v>CARTAGENA</v>
          </cell>
          <cell r="AB58" t="str">
            <v>Cartagena</v>
          </cell>
          <cell r="AC58" t="str">
            <v>Barrio La Plazuela Carrera 71 # 29 - 236 CC shoping center La plazuela local 16</v>
          </cell>
          <cell r="AD58" t="str">
            <v>Cuarto Turno</v>
          </cell>
          <cell r="AE58">
            <v>13095</v>
          </cell>
          <cell r="AF58">
            <v>9000</v>
          </cell>
          <cell r="AG58">
            <v>2</v>
          </cell>
          <cell r="AH58">
            <v>7</v>
          </cell>
          <cell r="AI58">
            <v>15000</v>
          </cell>
          <cell r="AJ58">
            <v>13500</v>
          </cell>
          <cell r="AK58">
            <v>-4500</v>
          </cell>
          <cell r="AL58">
            <v>13095</v>
          </cell>
        </row>
        <row r="59">
          <cell r="T59" t="str">
            <v xml:space="preserve">Omaira Gomez </v>
          </cell>
          <cell r="U59" t="str">
            <v>Campestre Transv. 56 #16A-42</v>
          </cell>
          <cell r="V59" t="str">
            <v>Campestre</v>
          </cell>
          <cell r="W59" t="str">
            <v>CERCANO</v>
          </cell>
          <cell r="X59">
            <v>3114278753</v>
          </cell>
          <cell r="Y59" t="str">
            <v>NORTE</v>
          </cell>
          <cell r="Z59"/>
          <cell r="AA59" t="str">
            <v>CARTAGENA</v>
          </cell>
          <cell r="AB59" t="str">
            <v>Cartagena</v>
          </cell>
          <cell r="AC59" t="str">
            <v>Barrio La Plazuela Carrera 71 # 29 - 236 CC shoping center La plazuela local 16</v>
          </cell>
          <cell r="AD59" t="str">
            <v>Primer Turno</v>
          </cell>
          <cell r="AE59">
            <v>13095</v>
          </cell>
          <cell r="AF59">
            <v>9000</v>
          </cell>
          <cell r="AG59">
            <v>4</v>
          </cell>
          <cell r="AH59">
            <v>11</v>
          </cell>
          <cell r="AI59">
            <v>15000</v>
          </cell>
          <cell r="AJ59">
            <v>13500</v>
          </cell>
          <cell r="AK59">
            <v>-4500</v>
          </cell>
          <cell r="AL59">
            <v>13095</v>
          </cell>
        </row>
        <row r="60">
          <cell r="T60" t="str">
            <v xml:space="preserve">Eugenia Medrano </v>
          </cell>
          <cell r="U60" t="str">
            <v>Torices calle 51 sector siglo XX #13-55</v>
          </cell>
          <cell r="V60" t="str">
            <v xml:space="preserve">Torices </v>
          </cell>
          <cell r="W60" t="str">
            <v>CERCANO</v>
          </cell>
          <cell r="X60">
            <v>3045816345</v>
          </cell>
          <cell r="Y60" t="str">
            <v>NORTE</v>
          </cell>
          <cell r="Z60"/>
          <cell r="AA60" t="str">
            <v>CARTAGENA</v>
          </cell>
          <cell r="AB60" t="str">
            <v>Cartagena</v>
          </cell>
          <cell r="AC60" t="str">
            <v>Barrio La Plazuela Carrera 71 # 29 - 236 CC shoping center La plazuela local 16</v>
          </cell>
          <cell r="AD60" t="str">
            <v>Primer Turno</v>
          </cell>
          <cell r="AE60">
            <v>17460</v>
          </cell>
          <cell r="AF60">
            <v>9000</v>
          </cell>
          <cell r="AG60">
            <v>10</v>
          </cell>
          <cell r="AH60">
            <v>27</v>
          </cell>
          <cell r="AI60">
            <v>20000</v>
          </cell>
          <cell r="AJ60">
            <v>18000</v>
          </cell>
          <cell r="AK60">
            <v>-9000</v>
          </cell>
          <cell r="AL60">
            <v>17460</v>
          </cell>
        </row>
        <row r="61">
          <cell r="T61" t="str">
            <v xml:space="preserve">Zurelys Zurita </v>
          </cell>
          <cell r="U61" t="str">
            <v>San Fernando Kra 83 #22-121</v>
          </cell>
          <cell r="V61" t="str">
            <v>San Fernando</v>
          </cell>
          <cell r="W61" t="str">
            <v>CERCANO</v>
          </cell>
          <cell r="X61">
            <v>3186269911</v>
          </cell>
          <cell r="Y61" t="str">
            <v>NORTE</v>
          </cell>
          <cell r="Z61"/>
          <cell r="AA61" t="str">
            <v>CARTAGENA</v>
          </cell>
          <cell r="AB61" t="str">
            <v>Cartagena</v>
          </cell>
          <cell r="AC61" t="str">
            <v>Barrio La Plazuela Carrera 71 # 29 - 236 CC shoping center La plazuela local 16</v>
          </cell>
          <cell r="AD61" t="str">
            <v>Primer Turno</v>
          </cell>
          <cell r="AE61">
            <v>13095</v>
          </cell>
          <cell r="AF61">
            <v>9000</v>
          </cell>
          <cell r="AG61">
            <v>3</v>
          </cell>
          <cell r="AH61">
            <v>8</v>
          </cell>
          <cell r="AI61">
            <v>15000</v>
          </cell>
          <cell r="AJ61">
            <v>13500</v>
          </cell>
          <cell r="AK61">
            <v>-4500</v>
          </cell>
          <cell r="AL61">
            <v>13095</v>
          </cell>
        </row>
        <row r="62">
          <cell r="T62" t="str">
            <v>Antonio Deulofeutt</v>
          </cell>
          <cell r="U62" t="str">
            <v xml:space="preserve">Terminal de transporte </v>
          </cell>
          <cell r="V62" t="str">
            <v>clemencia</v>
          </cell>
          <cell r="W62" t="str">
            <v>CERCANO</v>
          </cell>
          <cell r="X62">
            <v>3125371443</v>
          </cell>
          <cell r="Y62" t="str">
            <v>NORTE</v>
          </cell>
          <cell r="Z62"/>
          <cell r="AA62" t="str">
            <v>CARTAGENA</v>
          </cell>
          <cell r="AB62" t="str">
            <v>Cartagena</v>
          </cell>
          <cell r="AC62" t="str">
            <v>Barrio La Plazuela Carrera 71 # 29 - 236 CC shoping center La plazuela local 16</v>
          </cell>
          <cell r="AD62" t="str">
            <v>Primer Turno</v>
          </cell>
          <cell r="AE62">
            <v>13095</v>
          </cell>
          <cell r="AF62">
            <v>9000</v>
          </cell>
          <cell r="AG62">
            <v>3</v>
          </cell>
          <cell r="AH62">
            <v>8</v>
          </cell>
          <cell r="AI62">
            <v>15000</v>
          </cell>
          <cell r="AJ62">
            <v>13500</v>
          </cell>
          <cell r="AK62">
            <v>-4500</v>
          </cell>
          <cell r="AL62">
            <v>13095</v>
          </cell>
        </row>
        <row r="63">
          <cell r="T63" t="str">
            <v>Maria Balvin</v>
          </cell>
          <cell r="U63" t="str">
            <v>Altos de Plan Parejo, Mz Ñ Lote 1 (Turbaco  municipio peaje)</v>
          </cell>
          <cell r="V63" t="str">
            <v>turbaco</v>
          </cell>
          <cell r="W63" t="str">
            <v>TURBACO</v>
          </cell>
          <cell r="X63">
            <v>3007150622</v>
          </cell>
          <cell r="Y63" t="str">
            <v>NORTE</v>
          </cell>
          <cell r="Z63"/>
          <cell r="AA63" t="str">
            <v>CARTAGENA</v>
          </cell>
          <cell r="AB63" t="str">
            <v>Cartagena</v>
          </cell>
          <cell r="AC63" t="str">
            <v>Barrio La Plazuela Carrera 71 # 29 - 236 CC shoping center La plazuela local 16</v>
          </cell>
          <cell r="AD63" t="str">
            <v>Primer Turno</v>
          </cell>
          <cell r="AE63">
            <v>53350</v>
          </cell>
          <cell r="AF63">
            <v>50000</v>
          </cell>
          <cell r="AG63">
            <v>16</v>
          </cell>
          <cell r="AH63">
            <v>24</v>
          </cell>
          <cell r="AI63">
            <v>20000</v>
          </cell>
          <cell r="AJ63">
            <v>55000</v>
          </cell>
          <cell r="AK63">
            <v>-5000</v>
          </cell>
          <cell r="AL63">
            <v>53350</v>
          </cell>
        </row>
        <row r="64">
          <cell r="T64" t="str">
            <v xml:space="preserve">Matilde Rodero </v>
          </cell>
          <cell r="U64" t="str">
            <v>Providencia Sector Villa Natalia, Mz A Lote 7</v>
          </cell>
          <cell r="V64" t="str">
            <v>Villa Natalia</v>
          </cell>
          <cell r="W64" t="str">
            <v>CERCANO</v>
          </cell>
          <cell r="X64">
            <v>3156710900</v>
          </cell>
          <cell r="Y64" t="str">
            <v>NORTE</v>
          </cell>
          <cell r="Z64"/>
          <cell r="AA64" t="str">
            <v>CARTAGENA</v>
          </cell>
          <cell r="AB64" t="str">
            <v>Cartagena</v>
          </cell>
          <cell r="AC64" t="str">
            <v>Barrio La Plazuela Carrera 71 # 29 - 236 CC shoping center La plazuela local 16</v>
          </cell>
          <cell r="AD64" t="str">
            <v>Primer Turno</v>
          </cell>
          <cell r="AE64">
            <v>13095</v>
          </cell>
          <cell r="AF64">
            <v>9000</v>
          </cell>
          <cell r="AG64">
            <v>4</v>
          </cell>
          <cell r="AH64">
            <v>12</v>
          </cell>
          <cell r="AI64">
            <v>15000</v>
          </cell>
          <cell r="AJ64">
            <v>13500</v>
          </cell>
          <cell r="AK64">
            <v>-4500</v>
          </cell>
          <cell r="AL64">
            <v>13095</v>
          </cell>
        </row>
        <row r="65">
          <cell r="T65" t="str">
            <v>Xiomara Lara</v>
          </cell>
          <cell r="U65" t="str">
            <v>Providencia Terraza de Granada, Mz B Lote 8</v>
          </cell>
          <cell r="V65" t="str">
            <v>Terraza</v>
          </cell>
          <cell r="W65" t="str">
            <v>CERCANO</v>
          </cell>
          <cell r="X65">
            <v>3165122044</v>
          </cell>
          <cell r="Y65" t="str">
            <v>NORTE</v>
          </cell>
          <cell r="Z65"/>
          <cell r="AA65" t="str">
            <v>CARTAGENA</v>
          </cell>
          <cell r="AB65" t="str">
            <v>Cartagena</v>
          </cell>
          <cell r="AC65" t="str">
            <v>Barrio La Plazuela Carrera 71 # 29 - 236 CC shoping center La plazuela local 16</v>
          </cell>
          <cell r="AD65" t="str">
            <v>Primer Turno</v>
          </cell>
          <cell r="AE65">
            <v>13095</v>
          </cell>
          <cell r="AF65">
            <v>9000</v>
          </cell>
          <cell r="AG65">
            <v>0</v>
          </cell>
          <cell r="AH65">
            <v>0</v>
          </cell>
          <cell r="AI65">
            <v>15000</v>
          </cell>
          <cell r="AJ65">
            <v>13500</v>
          </cell>
          <cell r="AK65">
            <v>-4500</v>
          </cell>
          <cell r="AL65">
            <v>13095</v>
          </cell>
        </row>
        <row r="66">
          <cell r="T66" t="str">
            <v xml:space="preserve">Maifer Del Rio </v>
          </cell>
          <cell r="U66" t="str">
            <v>Olaya Herrera sector La Magdalena, Calle de las Flores #64-48</v>
          </cell>
          <cell r="V66" t="str">
            <v xml:space="preserve">Olaya Herrera </v>
          </cell>
          <cell r="W66" t="str">
            <v>CERCANO</v>
          </cell>
          <cell r="X66">
            <v>3183069754</v>
          </cell>
          <cell r="Y66" t="str">
            <v>NORTE</v>
          </cell>
          <cell r="Z66"/>
          <cell r="AA66" t="str">
            <v>CARTAGENA</v>
          </cell>
          <cell r="AB66" t="str">
            <v>Cartagena</v>
          </cell>
          <cell r="AC66" t="str">
            <v>Barrio La Plazuela Carrera 71 # 29 - 236 CC shoping center La plazuela local 16</v>
          </cell>
          <cell r="AD66" t="str">
            <v>Primer Turno</v>
          </cell>
          <cell r="AE66">
            <v>13095</v>
          </cell>
          <cell r="AF66">
            <v>9000</v>
          </cell>
          <cell r="AG66">
            <v>4</v>
          </cell>
          <cell r="AH66">
            <v>11</v>
          </cell>
          <cell r="AI66">
            <v>15000</v>
          </cell>
          <cell r="AJ66">
            <v>13500</v>
          </cell>
          <cell r="AK66">
            <v>-4500</v>
          </cell>
          <cell r="AL66">
            <v>13095</v>
          </cell>
        </row>
        <row r="67">
          <cell r="T67" t="str">
            <v>Nelly Tapias</v>
          </cell>
          <cell r="U67" t="str">
            <v xml:space="preserve">Urbanizaciòn San Fernando, Mz 7 Lote 6 </v>
          </cell>
          <cell r="V67" t="str">
            <v>San Fernando</v>
          </cell>
          <cell r="W67" t="str">
            <v>CERCANO</v>
          </cell>
          <cell r="X67">
            <v>3126199447</v>
          </cell>
          <cell r="Y67" t="str">
            <v>NORTE</v>
          </cell>
          <cell r="Z67"/>
          <cell r="AA67" t="str">
            <v>CARTAGENA</v>
          </cell>
          <cell r="AB67" t="str">
            <v>Cartagena</v>
          </cell>
          <cell r="AC67" t="str">
            <v>Barrio La Plazuela Carrera 71 # 29 - 236 CC shoping center La plazuela local 16</v>
          </cell>
          <cell r="AD67" t="str">
            <v>Primer Turno</v>
          </cell>
          <cell r="AE67">
            <v>13095</v>
          </cell>
          <cell r="AF67">
            <v>9000</v>
          </cell>
          <cell r="AG67">
            <v>3</v>
          </cell>
          <cell r="AH67">
            <v>9</v>
          </cell>
          <cell r="AI67">
            <v>15000</v>
          </cell>
          <cell r="AJ67">
            <v>13500</v>
          </cell>
          <cell r="AK67">
            <v>-4500</v>
          </cell>
          <cell r="AL67">
            <v>13095</v>
          </cell>
        </row>
        <row r="68">
          <cell r="T68" t="str">
            <v>Luz Enith Borrero</v>
          </cell>
          <cell r="U68"/>
          <cell r="V68">
            <v>0</v>
          </cell>
          <cell r="W68" t="str">
            <v>CERCANO</v>
          </cell>
          <cell r="X68" t="e">
            <v>#REF!</v>
          </cell>
          <cell r="Y68" t="str">
            <v>NORTE</v>
          </cell>
          <cell r="Z68"/>
          <cell r="AA68" t="str">
            <v>CARTAGENA</v>
          </cell>
          <cell r="AB68" t="str">
            <v>Cartagena</v>
          </cell>
          <cell r="AC68" t="str">
            <v>Barrio La Plazuela Carrera 71 # 29 - 236 CC shoping center La plazuela local 16</v>
          </cell>
          <cell r="AD68" t="str">
            <v>Primer Turno</v>
          </cell>
          <cell r="AE68">
            <v>13095</v>
          </cell>
          <cell r="AF68">
            <v>9000</v>
          </cell>
          <cell r="AG68">
            <v>0</v>
          </cell>
          <cell r="AH68">
            <v>0</v>
          </cell>
          <cell r="AI68">
            <v>15000</v>
          </cell>
          <cell r="AJ68">
            <v>13500</v>
          </cell>
          <cell r="AK68">
            <v>-4500</v>
          </cell>
          <cell r="AL68">
            <v>13095</v>
          </cell>
        </row>
        <row r="69">
          <cell r="T69" t="str">
            <v>Elsy Sierra</v>
          </cell>
          <cell r="U69" t="str">
            <v>Torres de la princesa calle 31 #86-75</v>
          </cell>
          <cell r="V69">
            <v>0</v>
          </cell>
          <cell r="W69" t="str">
            <v>CERCANO</v>
          </cell>
          <cell r="X69">
            <v>3188439710</v>
          </cell>
          <cell r="Y69" t="str">
            <v>NORTE</v>
          </cell>
          <cell r="Z69"/>
          <cell r="AA69" t="str">
            <v>CARTAGENA</v>
          </cell>
          <cell r="AB69" t="str">
            <v>Cartagena</v>
          </cell>
          <cell r="AC69" t="str">
            <v>Barrio La Plazuela Carrera 71 # 29 - 236 CC shoping center La plazuela local 16</v>
          </cell>
          <cell r="AD69" t="str">
            <v>Tercer Turno</v>
          </cell>
          <cell r="AE69">
            <v>13095</v>
          </cell>
          <cell r="AF69">
            <v>9000</v>
          </cell>
          <cell r="AG69">
            <v>2</v>
          </cell>
          <cell r="AH69">
            <v>6</v>
          </cell>
          <cell r="AI69">
            <v>15000</v>
          </cell>
          <cell r="AJ69">
            <v>13500</v>
          </cell>
          <cell r="AK69">
            <v>-4500</v>
          </cell>
          <cell r="AL69">
            <v>13095</v>
          </cell>
        </row>
        <row r="70">
          <cell r="T70" t="str">
            <v xml:space="preserve">Karina Salas </v>
          </cell>
          <cell r="U70" t="str">
            <v>Olaya Herrera sector Ricaurte calle La Cruz, #59-40</v>
          </cell>
          <cell r="V70" t="str">
            <v xml:space="preserve">Olaya Herrera </v>
          </cell>
          <cell r="W70" t="str">
            <v>CERCANO</v>
          </cell>
          <cell r="X70">
            <v>3015980289</v>
          </cell>
          <cell r="Y70" t="str">
            <v>NORTE</v>
          </cell>
          <cell r="Z70"/>
          <cell r="AA70" t="str">
            <v>CARTAGENA</v>
          </cell>
          <cell r="AB70" t="str">
            <v>Cartagena</v>
          </cell>
          <cell r="AC70" t="str">
            <v>Barrio La Plazuela Carrera 71 # 29 - 236 CC shoping center La plazuela local 16</v>
          </cell>
          <cell r="AD70" t="str">
            <v>Tercer Turno</v>
          </cell>
          <cell r="AE70">
            <v>13095</v>
          </cell>
          <cell r="AF70">
            <v>9000</v>
          </cell>
          <cell r="AG70">
            <v>5</v>
          </cell>
          <cell r="AH70">
            <v>14</v>
          </cell>
          <cell r="AI70">
            <v>15000</v>
          </cell>
          <cell r="AJ70">
            <v>13500</v>
          </cell>
          <cell r="AK70">
            <v>-4500</v>
          </cell>
          <cell r="AL70">
            <v>13095</v>
          </cell>
        </row>
        <row r="71">
          <cell r="T71" t="str">
            <v xml:space="preserve">Sarita Lopez </v>
          </cell>
          <cell r="U71" t="str">
            <v>Urbanizaciòn La Carolina Mz D Lote 53, calle 8</v>
          </cell>
          <cell r="V71">
            <v>0</v>
          </cell>
          <cell r="W71" t="str">
            <v>CERCANO</v>
          </cell>
          <cell r="X71">
            <v>3015855468</v>
          </cell>
          <cell r="Y71" t="str">
            <v>NORTE</v>
          </cell>
          <cell r="Z71"/>
          <cell r="AA71" t="str">
            <v>CARTAGENA</v>
          </cell>
          <cell r="AB71" t="str">
            <v>Cartagena</v>
          </cell>
          <cell r="AC71" t="str">
            <v>Barrio La Plazuela Carrera 71 # 29 - 236 CC shoping center La plazuela local 16</v>
          </cell>
          <cell r="AD71" t="str">
            <v>Tercer Turno</v>
          </cell>
          <cell r="AE71">
            <v>13095</v>
          </cell>
          <cell r="AF71">
            <v>9000</v>
          </cell>
          <cell r="AG71">
            <v>3</v>
          </cell>
          <cell r="AH71">
            <v>7</v>
          </cell>
          <cell r="AI71">
            <v>15000</v>
          </cell>
          <cell r="AJ71">
            <v>13500</v>
          </cell>
          <cell r="AK71">
            <v>-4500</v>
          </cell>
          <cell r="AL71">
            <v>13095</v>
          </cell>
        </row>
        <row r="72">
          <cell r="T72" t="str">
            <v xml:space="preserve">Maidelys Almeida </v>
          </cell>
          <cell r="U72" t="str">
            <v>turbaco</v>
          </cell>
          <cell r="V72">
            <v>0</v>
          </cell>
          <cell r="W72" t="str">
            <v>CERCANO</v>
          </cell>
          <cell r="X72">
            <v>3114300468</v>
          </cell>
          <cell r="Y72" t="str">
            <v>NORTE</v>
          </cell>
          <cell r="Z72"/>
          <cell r="AA72" t="str">
            <v>CARTAGENA</v>
          </cell>
          <cell r="AB72" t="str">
            <v>Cartagena</v>
          </cell>
          <cell r="AC72" t="str">
            <v>Barrio La Plazuela Carrera 71 # 29 - 236 CC shoping center La plazuela local 16</v>
          </cell>
          <cell r="AD72" t="str">
            <v>Tercer Turno</v>
          </cell>
          <cell r="AE72">
            <v>13095</v>
          </cell>
          <cell r="AF72">
            <v>9000</v>
          </cell>
          <cell r="AG72">
            <v>3</v>
          </cell>
          <cell r="AH72">
            <v>8</v>
          </cell>
          <cell r="AI72">
            <v>15000</v>
          </cell>
          <cell r="AJ72">
            <v>13500</v>
          </cell>
          <cell r="AK72">
            <v>-4500</v>
          </cell>
          <cell r="AL72">
            <v>13095</v>
          </cell>
        </row>
        <row r="73">
          <cell r="T73" t="str">
            <v>Licette Cortes</v>
          </cell>
          <cell r="U73" t="str">
            <v>Socorro Plan 500B, Mz 75 Lote 13</v>
          </cell>
          <cell r="V73">
            <v>0</v>
          </cell>
          <cell r="W73" t="str">
            <v>CERCANO</v>
          </cell>
          <cell r="X73">
            <v>3174792248</v>
          </cell>
          <cell r="Y73" t="str">
            <v>NORTE</v>
          </cell>
          <cell r="Z73"/>
          <cell r="AA73" t="str">
            <v>CARTAGENA</v>
          </cell>
          <cell r="AB73" t="str">
            <v>Cartagena</v>
          </cell>
          <cell r="AC73" t="str">
            <v>Barrio La Plazuela Carrera 71 # 29 - 236 CC shoping center La plazuela local 16</v>
          </cell>
          <cell r="AD73" t="str">
            <v>Tercer Turno</v>
          </cell>
          <cell r="AE73">
            <v>13095</v>
          </cell>
          <cell r="AF73">
            <v>9000</v>
          </cell>
          <cell r="AG73">
            <v>2</v>
          </cell>
          <cell r="AH73">
            <v>5</v>
          </cell>
          <cell r="AI73">
            <v>15000</v>
          </cell>
          <cell r="AJ73">
            <v>13500</v>
          </cell>
          <cell r="AK73">
            <v>-4500</v>
          </cell>
          <cell r="AL73">
            <v>13095</v>
          </cell>
        </row>
        <row r="74">
          <cell r="T74" t="str">
            <v xml:space="preserve">Lucy Corrales </v>
          </cell>
          <cell r="U74" t="str">
            <v xml:space="preserve">Urbanizaciòn Sevilla Mz 7 Lote 15 </v>
          </cell>
          <cell r="V74">
            <v>0</v>
          </cell>
          <cell r="W74" t="str">
            <v>CERCANO</v>
          </cell>
          <cell r="X74">
            <v>3003183337</v>
          </cell>
          <cell r="Y74" t="str">
            <v>NORTE</v>
          </cell>
          <cell r="Z74"/>
          <cell r="AA74" t="str">
            <v>CARTAGENA</v>
          </cell>
          <cell r="AB74" t="str">
            <v>Cartagena</v>
          </cell>
          <cell r="AC74" t="str">
            <v>Barrio La Plazuela Carrera 71 # 29 - 236 CC shoping center La plazuela local 16</v>
          </cell>
          <cell r="AD74" t="str">
            <v>Tercer Turno</v>
          </cell>
          <cell r="AE74">
            <v>13095</v>
          </cell>
          <cell r="AF74">
            <v>9000</v>
          </cell>
          <cell r="AG74">
            <v>7</v>
          </cell>
          <cell r="AH74">
            <v>2</v>
          </cell>
          <cell r="AI74">
            <v>15000</v>
          </cell>
          <cell r="AJ74">
            <v>13500</v>
          </cell>
          <cell r="AK74">
            <v>-4500</v>
          </cell>
          <cell r="AL74">
            <v>13095</v>
          </cell>
        </row>
        <row r="75">
          <cell r="T75" t="str">
            <v>Sandra Rodriguez</v>
          </cell>
          <cell r="U75" t="str">
            <v xml:space="preserve">Torres de la Plazuela carrera 71 </v>
          </cell>
          <cell r="V75" t="str">
            <v xml:space="preserve">LA PLAZUELA </v>
          </cell>
          <cell r="W75" t="str">
            <v>CERCANO</v>
          </cell>
          <cell r="X75">
            <v>3175014880</v>
          </cell>
          <cell r="Y75" t="str">
            <v>NORTE</v>
          </cell>
          <cell r="Z75"/>
          <cell r="AA75" t="str">
            <v>CARTAGENA</v>
          </cell>
          <cell r="AB75" t="str">
            <v>Cartagena</v>
          </cell>
          <cell r="AC75" t="str">
            <v>Barrio La Plazuela Carrera 71 # 29 - 236 CC shoping center La plazuela local 16</v>
          </cell>
          <cell r="AD75" t="str">
            <v>Tercer Turno</v>
          </cell>
          <cell r="AE75">
            <v>17460</v>
          </cell>
          <cell r="AF75">
            <v>9000</v>
          </cell>
          <cell r="AG75">
            <v>12</v>
          </cell>
          <cell r="AH75">
            <v>25</v>
          </cell>
          <cell r="AI75">
            <v>20000</v>
          </cell>
          <cell r="AJ75">
            <v>18000</v>
          </cell>
          <cell r="AK75">
            <v>-9000</v>
          </cell>
          <cell r="AL75">
            <v>17460</v>
          </cell>
        </row>
        <row r="76">
          <cell r="T76" t="str">
            <v>Claudia Botero</v>
          </cell>
          <cell r="U76" t="str">
            <v>Guarne</v>
          </cell>
          <cell r="V76" t="str">
            <v>Guarne</v>
          </cell>
          <cell r="W76" t="str">
            <v>Intermunicipal</v>
          </cell>
          <cell r="X76" t="e">
            <v>#REF!</v>
          </cell>
          <cell r="Y76" t="str">
            <v>SUROCCIDENTE</v>
          </cell>
          <cell r="Z76"/>
          <cell r="AA76" t="str">
            <v xml:space="preserve">RIONEGRO </v>
          </cell>
          <cell r="AB76" t="str">
            <v>Clinica somer</v>
          </cell>
          <cell r="AC76" t="str">
            <v>Cll. 38 # 54 A - 35 piso 4 Rionegro</v>
          </cell>
          <cell r="AD76" t="str">
            <v>Cuarto Turno</v>
          </cell>
          <cell r="AE76">
            <v>87300</v>
          </cell>
          <cell r="AF76">
            <v>38000</v>
          </cell>
          <cell r="AG76" t="str">
            <v>25 km</v>
          </cell>
          <cell r="AH76" t="str">
            <v>30 min</v>
          </cell>
          <cell r="AI76">
            <v>100000</v>
          </cell>
          <cell r="AJ76">
            <v>90000</v>
          </cell>
          <cell r="AK76">
            <v>-52000</v>
          </cell>
          <cell r="AL76">
            <v>87300</v>
          </cell>
        </row>
        <row r="77">
          <cell r="T77" t="str">
            <v>Nini Betancurt</v>
          </cell>
          <cell r="U77" t="str">
            <v>Rionegro</v>
          </cell>
          <cell r="V77" t="str">
            <v>Rionegro</v>
          </cell>
          <cell r="W77" t="str">
            <v>CERCANO</v>
          </cell>
          <cell r="X77" t="e">
            <v>#REF!</v>
          </cell>
          <cell r="Y77" t="str">
            <v>SUROCCIDENTE</v>
          </cell>
          <cell r="Z77"/>
          <cell r="AA77" t="str">
            <v xml:space="preserve">RIONEGRO </v>
          </cell>
          <cell r="AB77" t="str">
            <v>Clinica somer</v>
          </cell>
          <cell r="AC77" t="str">
            <v>Cll. 38 # 54 A - 35 piso 4 Rionegro</v>
          </cell>
          <cell r="AD77" t="str">
            <v>Cuarto Turno</v>
          </cell>
          <cell r="AE77">
            <v>10670</v>
          </cell>
          <cell r="AF77">
            <v>9000</v>
          </cell>
          <cell r="AG77">
            <v>3</v>
          </cell>
          <cell r="AH77">
            <v>5</v>
          </cell>
          <cell r="AI77">
            <v>11000</v>
          </cell>
          <cell r="AJ77">
            <v>11000</v>
          </cell>
          <cell r="AK77">
            <v>-2000</v>
          </cell>
          <cell r="AL77">
            <v>10670</v>
          </cell>
        </row>
        <row r="78">
          <cell r="T78" t="str">
            <v>Luz Elena Perez Quintero</v>
          </cell>
          <cell r="U78" t="str">
            <v xml:space="preserve">calle 25 N 32 32 Carmen de viboral barrio Buenos Aires </v>
          </cell>
          <cell r="V78" t="str">
            <v>El carmen de Viboral</v>
          </cell>
          <cell r="W78" t="str">
            <v>Intermunicipal</v>
          </cell>
          <cell r="X78" t="str">
            <v>313 7950722</v>
          </cell>
          <cell r="Y78" t="str">
            <v>SUROCCIDENTE</v>
          </cell>
          <cell r="Z78"/>
          <cell r="AA78" t="str">
            <v xml:space="preserve">RIONEGRO </v>
          </cell>
          <cell r="AB78" t="str">
            <v>Clinica somer</v>
          </cell>
          <cell r="AC78" t="str">
            <v>Cll. 38 # 54 A - 35 piso 4 Rionegro</v>
          </cell>
          <cell r="AD78" t="str">
            <v>Primer Turno</v>
          </cell>
          <cell r="AE78">
            <v>43650</v>
          </cell>
          <cell r="AF78">
            <v>38000</v>
          </cell>
          <cell r="AG78" t="str">
            <v>11 km</v>
          </cell>
          <cell r="AH78" t="str">
            <v>20 min</v>
          </cell>
          <cell r="AI78">
            <v>45000</v>
          </cell>
          <cell r="AJ78">
            <v>45000</v>
          </cell>
          <cell r="AK78">
            <v>-7000</v>
          </cell>
          <cell r="AL78">
            <v>43650</v>
          </cell>
        </row>
        <row r="79">
          <cell r="T79" t="str">
            <v>Johana Echverry</v>
          </cell>
          <cell r="U79" t="str">
            <v>Vereda Ojo de Agua</v>
          </cell>
          <cell r="V79" t="str">
            <v>Vereda Ojo de agua</v>
          </cell>
          <cell r="W79" t="str">
            <v>LEJANO</v>
          </cell>
          <cell r="X79" t="e">
            <v>#REF!</v>
          </cell>
          <cell r="Y79" t="str">
            <v>SUROCCIDENTE</v>
          </cell>
          <cell r="Z79"/>
          <cell r="AA79" t="str">
            <v xml:space="preserve">RIONEGRO </v>
          </cell>
          <cell r="AB79" t="str">
            <v>Clinica somer</v>
          </cell>
          <cell r="AC79" t="str">
            <v>Cll. 38 # 54 A - 35 piso 4 Rionegro</v>
          </cell>
          <cell r="AD79" t="str">
            <v>Primer Turno</v>
          </cell>
          <cell r="AE79">
            <v>52380</v>
          </cell>
          <cell r="AF79">
            <v>38000</v>
          </cell>
          <cell r="AG79">
            <v>15</v>
          </cell>
          <cell r="AH79">
            <v>20</v>
          </cell>
          <cell r="AI79">
            <v>60000</v>
          </cell>
          <cell r="AJ79">
            <v>54000</v>
          </cell>
          <cell r="AK79">
            <v>-16000</v>
          </cell>
          <cell r="AL79">
            <v>52380</v>
          </cell>
        </row>
        <row r="80">
          <cell r="T80" t="str">
            <v>Monica yulieth perez pavas</v>
          </cell>
          <cell r="U80" t="str">
            <v>Cra 30 AA n. 35-64. Barrio los giraldos. Marinilla</v>
          </cell>
          <cell r="V80" t="str">
            <v>Marinilla</v>
          </cell>
          <cell r="W80" t="str">
            <v>Intermunicipal</v>
          </cell>
          <cell r="X80">
            <v>3163580480</v>
          </cell>
          <cell r="Y80" t="str">
            <v>SUROCCIDENTE</v>
          </cell>
          <cell r="Z80"/>
          <cell r="AA80" t="str">
            <v xml:space="preserve">RIONEGRO </v>
          </cell>
          <cell r="AB80" t="str">
            <v>Clinica somer</v>
          </cell>
          <cell r="AC80" t="str">
            <v>Cll. 38 # 54 A - 35 piso 4 Rionegro</v>
          </cell>
          <cell r="AD80" t="str">
            <v>Primer Turno</v>
          </cell>
          <cell r="AE80">
            <v>43650</v>
          </cell>
          <cell r="AF80">
            <v>38000</v>
          </cell>
          <cell r="AG80" t="str">
            <v>10 km</v>
          </cell>
          <cell r="AH80" t="str">
            <v>15 min</v>
          </cell>
          <cell r="AI80">
            <v>50000</v>
          </cell>
          <cell r="AJ80">
            <v>45000</v>
          </cell>
          <cell r="AK80">
            <v>-7000</v>
          </cell>
          <cell r="AL80">
            <v>43650</v>
          </cell>
        </row>
        <row r="81">
          <cell r="T81" t="str">
            <v>Reinaldo Castrillon</v>
          </cell>
          <cell r="U81" t="str">
            <v>Carmen de Viboral</v>
          </cell>
          <cell r="V81" t="str">
            <v>El carmen de Viboral</v>
          </cell>
          <cell r="W81" t="str">
            <v>Intermunicipal</v>
          </cell>
          <cell r="X81">
            <v>3105344188</v>
          </cell>
          <cell r="Y81" t="str">
            <v>SUROCCIDENTE</v>
          </cell>
          <cell r="Z81"/>
          <cell r="AA81" t="str">
            <v xml:space="preserve">RIONEGRO </v>
          </cell>
          <cell r="AB81" t="str">
            <v>Clinica somer</v>
          </cell>
          <cell r="AC81" t="str">
            <v>Cll. 38 # 54 A - 35 piso 4 Rionegro</v>
          </cell>
          <cell r="AD81" t="str">
            <v>Primer Turno</v>
          </cell>
          <cell r="AE81">
            <v>43650</v>
          </cell>
          <cell r="AF81">
            <v>38000</v>
          </cell>
          <cell r="AG81" t="str">
            <v>11 km</v>
          </cell>
          <cell r="AH81" t="str">
            <v>20 min</v>
          </cell>
          <cell r="AI81">
            <v>50000</v>
          </cell>
          <cell r="AJ81">
            <v>45000</v>
          </cell>
          <cell r="AK81">
            <v>-7000</v>
          </cell>
          <cell r="AL81">
            <v>43650</v>
          </cell>
        </row>
        <row r="82">
          <cell r="T82" t="str">
            <v>Linda Uribe</v>
          </cell>
          <cell r="U82" t="str">
            <v>vereda  cabeceras rionegro</v>
          </cell>
          <cell r="V82" t="str">
            <v>Vereda Cabeceras</v>
          </cell>
          <cell r="W82" t="str">
            <v>LEJANO</v>
          </cell>
          <cell r="X82" t="e">
            <v>#REF!</v>
          </cell>
          <cell r="Y82" t="str">
            <v>SUROCCIDENTE</v>
          </cell>
          <cell r="Z82"/>
          <cell r="AA82" t="str">
            <v xml:space="preserve">RIONEGRO </v>
          </cell>
          <cell r="AB82" t="str">
            <v>Clinica somer</v>
          </cell>
          <cell r="AC82" t="str">
            <v>Cll. 38 # 54 A - 35 piso 4 Rionegro</v>
          </cell>
          <cell r="AD82" t="str">
            <v>Tercer Turno</v>
          </cell>
          <cell r="AE82">
            <v>43650</v>
          </cell>
          <cell r="AF82">
            <v>38000</v>
          </cell>
          <cell r="AG82">
            <v>25</v>
          </cell>
          <cell r="AH82">
            <v>30</v>
          </cell>
          <cell r="AI82">
            <v>50000</v>
          </cell>
          <cell r="AJ82">
            <v>45000</v>
          </cell>
          <cell r="AK82">
            <v>-7000</v>
          </cell>
          <cell r="AL82">
            <v>43650</v>
          </cell>
        </row>
        <row r="83">
          <cell r="T83" t="str">
            <v>Vanesa Leon</v>
          </cell>
          <cell r="U83" t="str">
            <v>Alto del medio Rionegro</v>
          </cell>
          <cell r="V83" t="str">
            <v>Alto del medio</v>
          </cell>
          <cell r="W83" t="str">
            <v>LEJANO</v>
          </cell>
          <cell r="X83" t="e">
            <v>#REF!</v>
          </cell>
          <cell r="Y83" t="str">
            <v>SUROCCIDENTE</v>
          </cell>
          <cell r="Z83"/>
          <cell r="AA83" t="str">
            <v xml:space="preserve">RIONEGRO </v>
          </cell>
          <cell r="AB83" t="str">
            <v>Clinica somer</v>
          </cell>
          <cell r="AC83" t="str">
            <v>Cll. 38 # 54 A - 35 piso 4 Rionegro</v>
          </cell>
          <cell r="AD83" t="str">
            <v>Tercer Turno</v>
          </cell>
          <cell r="AE83">
            <v>43650</v>
          </cell>
          <cell r="AF83">
            <v>38000</v>
          </cell>
          <cell r="AG83">
            <v>12</v>
          </cell>
          <cell r="AH83">
            <v>15</v>
          </cell>
          <cell r="AI83">
            <v>50000</v>
          </cell>
          <cell r="AJ83">
            <v>45000</v>
          </cell>
          <cell r="AK83">
            <v>-7000</v>
          </cell>
          <cell r="AL83">
            <v>43650</v>
          </cell>
        </row>
        <row r="84">
          <cell r="T84" t="str">
            <v>Yadira Malagón</v>
          </cell>
          <cell r="U84" t="str">
            <v>Cra 70 D # 79 - 40</v>
          </cell>
          <cell r="V84" t="str">
            <v>bonanza</v>
          </cell>
          <cell r="W84" t="str">
            <v>CERCANO</v>
          </cell>
          <cell r="X84">
            <v>3143422803</v>
          </cell>
          <cell r="Y84" t="str">
            <v>CENTRO</v>
          </cell>
          <cell r="Z84" t="str">
            <v>bonanza</v>
          </cell>
          <cell r="AA84" t="str">
            <v>Bogota</v>
          </cell>
          <cell r="AB84" t="str">
            <v>Cruz Roja</v>
          </cell>
          <cell r="AC84" t="str">
            <v>Av. Kra  68 # 68 B-31 Bloque 1 Piso 1</v>
          </cell>
          <cell r="AD84" t="str">
            <v>Cuarto Turno</v>
          </cell>
          <cell r="AE84">
            <v>13095</v>
          </cell>
          <cell r="AF84">
            <v>9000</v>
          </cell>
          <cell r="AG84">
            <v>3</v>
          </cell>
          <cell r="AH84">
            <v>9</v>
          </cell>
          <cell r="AI84">
            <v>15000</v>
          </cell>
          <cell r="AJ84">
            <v>13500</v>
          </cell>
          <cell r="AK84">
            <v>-4500</v>
          </cell>
          <cell r="AL84">
            <v>13095</v>
          </cell>
        </row>
        <row r="85">
          <cell r="T85" t="str">
            <v>Karol Tarazona</v>
          </cell>
          <cell r="U85" t="str">
            <v>Calle 73 # 69 K 08</v>
          </cell>
          <cell r="V85" t="str">
            <v>las ferias</v>
          </cell>
          <cell r="W85" t="str">
            <v>CERCANO</v>
          </cell>
          <cell r="X85">
            <v>3208619760</v>
          </cell>
          <cell r="Y85" t="str">
            <v>CENTRO</v>
          </cell>
          <cell r="Z85" t="str">
            <v>las ferias</v>
          </cell>
          <cell r="AA85" t="str">
            <v>Bogota</v>
          </cell>
          <cell r="AB85" t="str">
            <v>Cruz Roja</v>
          </cell>
          <cell r="AC85" t="str">
            <v>Av. Kra  68 # 68 B-31 Bloque 1 Piso 1</v>
          </cell>
          <cell r="AD85" t="str">
            <v>Cuarto Turno</v>
          </cell>
          <cell r="AE85">
            <v>13095</v>
          </cell>
          <cell r="AF85">
            <v>9000</v>
          </cell>
          <cell r="AG85">
            <v>4</v>
          </cell>
          <cell r="AH85">
            <v>9</v>
          </cell>
          <cell r="AI85">
            <v>15000</v>
          </cell>
          <cell r="AJ85">
            <v>13500</v>
          </cell>
          <cell r="AK85">
            <v>-4500</v>
          </cell>
          <cell r="AL85">
            <v>13095</v>
          </cell>
        </row>
        <row r="86">
          <cell r="T86" t="str">
            <v>Amparo Torres</v>
          </cell>
          <cell r="U86" t="str">
            <v>Cra 28  # 13 - 20 Casa 11 Funza</v>
          </cell>
          <cell r="V86" t="str">
            <v>FUNZA</v>
          </cell>
          <cell r="W86" t="str">
            <v>INTERMUNICIAPAL</v>
          </cell>
          <cell r="X86">
            <v>3152256114</v>
          </cell>
          <cell r="Y86" t="str">
            <v>CENTRO</v>
          </cell>
          <cell r="Z86" t="str">
            <v>funza</v>
          </cell>
          <cell r="AA86" t="str">
            <v>Bogota</v>
          </cell>
          <cell r="AB86" t="str">
            <v>Cruz Roja</v>
          </cell>
          <cell r="AC86" t="str">
            <v>Av. Kra  68 # 68 B-31 Bloque 1 Piso 1</v>
          </cell>
          <cell r="AD86" t="str">
            <v>Cuarto Turno</v>
          </cell>
          <cell r="AE86">
            <v>97000</v>
          </cell>
          <cell r="AF86">
            <v>70000</v>
          </cell>
          <cell r="AG86">
            <v>23</v>
          </cell>
          <cell r="AH86">
            <v>42</v>
          </cell>
          <cell r="AI86">
            <v>110000</v>
          </cell>
          <cell r="AJ86">
            <v>100000</v>
          </cell>
          <cell r="AK86">
            <v>-30000</v>
          </cell>
          <cell r="AL86">
            <v>97000</v>
          </cell>
        </row>
        <row r="87">
          <cell r="T87" t="str">
            <v>Dr David Buitrago</v>
          </cell>
          <cell r="U87" t="str">
            <v>Carrera 71 B nro 72 B -07</v>
          </cell>
          <cell r="V87" t="str">
            <v>bonanza</v>
          </cell>
          <cell r="W87" t="str">
            <v>CERCANO</v>
          </cell>
          <cell r="X87">
            <v>3508257414</v>
          </cell>
          <cell r="Y87" t="str">
            <v>CENTRO</v>
          </cell>
          <cell r="Z87" t="str">
            <v>bonanza</v>
          </cell>
          <cell r="AA87" t="str">
            <v>Bogota</v>
          </cell>
          <cell r="AB87" t="str">
            <v>Cruz Roja</v>
          </cell>
          <cell r="AC87" t="str">
            <v>Av. Kra  68 # 68 B-31 Bloque 1 Piso 1</v>
          </cell>
          <cell r="AD87" t="str">
            <v>Cuarto Turno</v>
          </cell>
          <cell r="AE87">
            <v>13095</v>
          </cell>
          <cell r="AF87">
            <v>9000</v>
          </cell>
          <cell r="AG87">
            <v>4</v>
          </cell>
          <cell r="AH87">
            <v>10</v>
          </cell>
          <cell r="AI87">
            <v>15000</v>
          </cell>
          <cell r="AJ87">
            <v>13500</v>
          </cell>
          <cell r="AK87">
            <v>-4500</v>
          </cell>
          <cell r="AL87">
            <v>13095</v>
          </cell>
        </row>
        <row r="88">
          <cell r="T88" t="str">
            <v>Dra Eliana Brurgos</v>
          </cell>
          <cell r="U88" t="str">
            <v xml:space="preserve">Calle 75 B # 78 - 66 </v>
          </cell>
          <cell r="V88" t="str">
            <v>no refiere</v>
          </cell>
          <cell r="W88" t="str">
            <v>CERCANO</v>
          </cell>
          <cell r="X88">
            <v>3168215512</v>
          </cell>
          <cell r="Y88" t="str">
            <v>CENTRO</v>
          </cell>
          <cell r="Z88" t="str">
            <v>no refiere</v>
          </cell>
          <cell r="AA88" t="str">
            <v>Bogota</v>
          </cell>
          <cell r="AB88" t="str">
            <v>Cruz Roja</v>
          </cell>
          <cell r="AC88" t="str">
            <v>Av. Kra  68 # 68 B-31 Bloque 1 Piso 1</v>
          </cell>
          <cell r="AD88" t="str">
            <v>Cuarto Turno</v>
          </cell>
          <cell r="AE88">
            <v>13095</v>
          </cell>
          <cell r="AF88">
            <v>9000</v>
          </cell>
          <cell r="AG88">
            <v>6</v>
          </cell>
          <cell r="AH88">
            <v>13</v>
          </cell>
          <cell r="AI88">
            <v>15000</v>
          </cell>
          <cell r="AJ88">
            <v>13500</v>
          </cell>
          <cell r="AK88">
            <v>-4500</v>
          </cell>
          <cell r="AL88">
            <v>13095</v>
          </cell>
        </row>
        <row r="89">
          <cell r="T89" t="str">
            <v>Dr David Buitrago</v>
          </cell>
          <cell r="U89" t="str">
            <v>Carrera 71 B nro 72 B -07</v>
          </cell>
          <cell r="V89" t="str">
            <v>bonanza</v>
          </cell>
          <cell r="W89" t="str">
            <v>CERCANO</v>
          </cell>
          <cell r="X89">
            <v>3508257414</v>
          </cell>
          <cell r="Y89" t="str">
            <v>CENTRO</v>
          </cell>
          <cell r="Z89" t="str">
            <v>bonanza</v>
          </cell>
          <cell r="AA89" t="str">
            <v>Bogota</v>
          </cell>
          <cell r="AB89" t="str">
            <v>Cruz Roja</v>
          </cell>
          <cell r="AC89" t="str">
            <v>Av. Kra  68 # 68 B-31 Bloque 1 Piso 1</v>
          </cell>
          <cell r="AD89" t="str">
            <v>Cuarto Turno</v>
          </cell>
          <cell r="AE89">
            <v>13095</v>
          </cell>
          <cell r="AF89">
            <v>9000</v>
          </cell>
          <cell r="AG89">
            <v>4</v>
          </cell>
          <cell r="AH89">
            <v>10</v>
          </cell>
          <cell r="AI89">
            <v>15000</v>
          </cell>
          <cell r="AJ89">
            <v>13500</v>
          </cell>
          <cell r="AK89">
            <v>-4500</v>
          </cell>
          <cell r="AL89">
            <v>13095</v>
          </cell>
        </row>
        <row r="90">
          <cell r="T90" t="str">
            <v>Yholeima Fuentes</v>
          </cell>
          <cell r="U90" t="str">
            <v>Diag 99 sur # 6 - 65 Este  Alfonso López</v>
          </cell>
          <cell r="V90" t="str">
            <v xml:space="preserve">ALFONSO LOPEZ </v>
          </cell>
          <cell r="W90" t="str">
            <v>LEJANO PERIFERIA AL SUR ORIENTE</v>
          </cell>
          <cell r="X90">
            <v>3118877103</v>
          </cell>
          <cell r="Y90" t="str">
            <v>CENTRO</v>
          </cell>
          <cell r="Z90" t="str">
            <v>alfonso lopez</v>
          </cell>
          <cell r="AA90" t="str">
            <v>Bogota</v>
          </cell>
          <cell r="AB90" t="str">
            <v>Cruz Roja</v>
          </cell>
          <cell r="AC90" t="str">
            <v>Av. Kra  68 # 68 B-31 Bloque 1 Piso 1</v>
          </cell>
          <cell r="AD90" t="str">
            <v>Primer Turno</v>
          </cell>
          <cell r="AE90">
            <v>26190</v>
          </cell>
          <cell r="AF90">
            <v>23000</v>
          </cell>
          <cell r="AG90">
            <v>28</v>
          </cell>
          <cell r="AH90">
            <v>45</v>
          </cell>
          <cell r="AI90">
            <v>30000</v>
          </cell>
          <cell r="AJ90">
            <v>27000</v>
          </cell>
          <cell r="AK90">
            <v>-4000</v>
          </cell>
          <cell r="AL90">
            <v>26190</v>
          </cell>
        </row>
        <row r="91">
          <cell r="T91" t="str">
            <v>Sergio Andrés Gómez</v>
          </cell>
          <cell r="U91" t="str">
            <v>Carrera 38 # 13 - 126 (Ciudad Verde)</v>
          </cell>
          <cell r="V91" t="str">
            <v>Auxiliar de Enfemería</v>
          </cell>
          <cell r="W91" t="str">
            <v>INTERMUNICIAPAL</v>
          </cell>
          <cell r="X91">
            <v>3136549097</v>
          </cell>
          <cell r="Y91" t="str">
            <v>CENTRO</v>
          </cell>
          <cell r="Z91" t="str">
            <v>ciudad verde</v>
          </cell>
          <cell r="AA91" t="str">
            <v>Bogota</v>
          </cell>
          <cell r="AB91" t="str">
            <v>Cruz Roja</v>
          </cell>
          <cell r="AC91" t="str">
            <v>Av. Kra  68 # 68 B-31 Bloque 1 Piso 1</v>
          </cell>
          <cell r="AD91" t="str">
            <v>Primer Turno</v>
          </cell>
          <cell r="AE91">
            <v>61110</v>
          </cell>
          <cell r="AF91">
            <v>50000</v>
          </cell>
          <cell r="AG91">
            <v>26</v>
          </cell>
          <cell r="AH91">
            <v>45</v>
          </cell>
          <cell r="AI91">
            <v>70000</v>
          </cell>
          <cell r="AJ91">
            <v>63000</v>
          </cell>
          <cell r="AK91">
            <v>-13000</v>
          </cell>
          <cell r="AL91">
            <v>61110</v>
          </cell>
        </row>
        <row r="92">
          <cell r="T92" t="str">
            <v>Sandra Rodriguez</v>
          </cell>
          <cell r="U92" t="str">
            <v>Cra 83 # 145 - 21 Suba</v>
          </cell>
          <cell r="V92" t="str">
            <v>SUBA</v>
          </cell>
          <cell r="W92" t="str">
            <v>LEJANO</v>
          </cell>
          <cell r="X92">
            <v>3214916589</v>
          </cell>
          <cell r="Y92" t="str">
            <v>CENTRO</v>
          </cell>
          <cell r="Z92" t="str">
            <v>suba</v>
          </cell>
          <cell r="AA92" t="str">
            <v>Bogota</v>
          </cell>
          <cell r="AB92" t="str">
            <v>Cruz Roja</v>
          </cell>
          <cell r="AC92" t="str">
            <v>Av. Kra  68 # 68 B-31 Bloque 1 Piso 1</v>
          </cell>
          <cell r="AD92" t="str">
            <v>Primer Turno</v>
          </cell>
          <cell r="AE92">
            <v>17460</v>
          </cell>
          <cell r="AF92">
            <v>18000</v>
          </cell>
          <cell r="AG92">
            <v>12</v>
          </cell>
          <cell r="AH92">
            <v>25</v>
          </cell>
          <cell r="AI92">
            <v>20000</v>
          </cell>
          <cell r="AJ92">
            <v>18000</v>
          </cell>
          <cell r="AK92">
            <v>0</v>
          </cell>
          <cell r="AL92">
            <v>17460</v>
          </cell>
        </row>
        <row r="93">
          <cell r="T93" t="str">
            <v>Paola Chaustre</v>
          </cell>
          <cell r="U93" t="str">
            <v>Calle 51 # 3 - 52</v>
          </cell>
          <cell r="V93" t="str">
            <v>chapinero alto</v>
          </cell>
          <cell r="W93" t="str">
            <v>LEJANO</v>
          </cell>
          <cell r="X93">
            <v>3184668897</v>
          </cell>
          <cell r="Y93" t="str">
            <v>CENTRO</v>
          </cell>
          <cell r="Z93" t="str">
            <v>chapinero alto</v>
          </cell>
          <cell r="AA93" t="str">
            <v>Bogota</v>
          </cell>
          <cell r="AB93" t="str">
            <v>Cruz Roja</v>
          </cell>
          <cell r="AC93" t="str">
            <v>Av. Kra  68 # 68 B-31 Bloque 1 Piso 1</v>
          </cell>
          <cell r="AD93" t="str">
            <v>Primer Turno</v>
          </cell>
          <cell r="AE93">
            <v>17460</v>
          </cell>
          <cell r="AF93">
            <v>13000</v>
          </cell>
          <cell r="AG93">
            <v>8</v>
          </cell>
          <cell r="AH93">
            <v>19</v>
          </cell>
          <cell r="AI93">
            <v>20000</v>
          </cell>
          <cell r="AJ93">
            <v>18000</v>
          </cell>
          <cell r="AK93">
            <v>-5000</v>
          </cell>
          <cell r="AL93">
            <v>17460</v>
          </cell>
        </row>
        <row r="94">
          <cell r="T94" t="str">
            <v>Yadira Suárez</v>
          </cell>
          <cell r="U94" t="str">
            <v>Calle  77 B # 119 - 40 (Gran Granada)</v>
          </cell>
          <cell r="V94" t="str">
            <v xml:space="preserve">GRAN GRANADA </v>
          </cell>
          <cell r="W94" t="str">
            <v>LEJANO</v>
          </cell>
          <cell r="X94">
            <v>3185793538</v>
          </cell>
          <cell r="Y94" t="str">
            <v>CENTRO</v>
          </cell>
          <cell r="Z94" t="str">
            <v xml:space="preserve">gran granada </v>
          </cell>
          <cell r="AA94" t="str">
            <v>Bogota</v>
          </cell>
          <cell r="AB94" t="str">
            <v>Cruz Roja</v>
          </cell>
          <cell r="AC94" t="str">
            <v>Av. Kra  68 # 68 B-31 Bloque 1 Piso 1</v>
          </cell>
          <cell r="AD94" t="str">
            <v>Primer Turno</v>
          </cell>
          <cell r="AE94">
            <v>17460</v>
          </cell>
          <cell r="AF94">
            <v>13000</v>
          </cell>
          <cell r="AG94">
            <v>11</v>
          </cell>
          <cell r="AH94">
            <v>22</v>
          </cell>
          <cell r="AI94">
            <v>20000</v>
          </cell>
          <cell r="AJ94">
            <v>18000</v>
          </cell>
          <cell r="AK94">
            <v>-5000</v>
          </cell>
          <cell r="AL94">
            <v>17460</v>
          </cell>
        </row>
        <row r="95">
          <cell r="T95" t="str">
            <v>Lucero Tapiero</v>
          </cell>
          <cell r="U95" t="str">
            <v>Cra 90 Bis # 75 - 77</v>
          </cell>
          <cell r="V95" t="str">
            <v>santa rosita</v>
          </cell>
          <cell r="W95" t="str">
            <v>CERCANO</v>
          </cell>
          <cell r="X95">
            <v>3142803047</v>
          </cell>
          <cell r="Y95" t="str">
            <v>CENTRO</v>
          </cell>
          <cell r="Z95" t="str">
            <v>santa rosita</v>
          </cell>
          <cell r="AA95" t="str">
            <v>Bogota</v>
          </cell>
          <cell r="AB95" t="str">
            <v>Cruz Roja</v>
          </cell>
          <cell r="AC95" t="str">
            <v>Av. Kra  68 # 68 B-31 Bloque 1 Piso 1</v>
          </cell>
          <cell r="AD95" t="str">
            <v>Tercer Turno</v>
          </cell>
          <cell r="AE95">
            <v>17460</v>
          </cell>
          <cell r="AF95">
            <v>9000</v>
          </cell>
          <cell r="AG95">
            <v>7</v>
          </cell>
          <cell r="AH95">
            <v>20</v>
          </cell>
          <cell r="AI95">
            <v>20000</v>
          </cell>
          <cell r="AJ95">
            <v>18000</v>
          </cell>
          <cell r="AK95">
            <v>-9000</v>
          </cell>
          <cell r="AL95">
            <v>17460</v>
          </cell>
        </row>
        <row r="96">
          <cell r="T96" t="str">
            <v>AUXILIAR ENFERMERIA</v>
          </cell>
          <cell r="U96" t="str">
            <v>Calle 33 A Avenida 9 #33-40 La Sabana</v>
          </cell>
          <cell r="V96">
            <v>0</v>
          </cell>
          <cell r="W96" t="str">
            <v>CERCANO</v>
          </cell>
          <cell r="X96">
            <v>3202320331</v>
          </cell>
          <cell r="Y96" t="str">
            <v>NORTE</v>
          </cell>
          <cell r="Z96"/>
          <cell r="AA96" t="str">
            <v>Cucuta</v>
          </cell>
          <cell r="AB96" t="str">
            <v>Cucuta</v>
          </cell>
          <cell r="AC96" t="str">
            <v>Calle 14 # 1-37 Barrio La Playa, Centro.</v>
          </cell>
          <cell r="AD96" t="str">
            <v>Primer Turno</v>
          </cell>
          <cell r="AE96">
            <v>13095</v>
          </cell>
          <cell r="AF96">
            <v>9000</v>
          </cell>
          <cell r="AG96">
            <v>0</v>
          </cell>
          <cell r="AH96">
            <v>0</v>
          </cell>
          <cell r="AI96">
            <v>15000</v>
          </cell>
          <cell r="AJ96">
            <v>13500</v>
          </cell>
          <cell r="AK96">
            <v>-4500</v>
          </cell>
          <cell r="AL96">
            <v>13095</v>
          </cell>
        </row>
        <row r="97">
          <cell r="T97" t="str">
            <v>AUXILIAR ENFERMERIA</v>
          </cell>
          <cell r="U97" t="str">
            <v>Calle 33 A Avenida 9 #33-40 La Sabana</v>
          </cell>
          <cell r="V97">
            <v>0</v>
          </cell>
          <cell r="W97" t="str">
            <v>CERCANO</v>
          </cell>
          <cell r="X97">
            <v>3202320331</v>
          </cell>
          <cell r="Y97" t="str">
            <v>NORTE</v>
          </cell>
          <cell r="Z97"/>
          <cell r="AA97" t="str">
            <v>Cucuta</v>
          </cell>
          <cell r="AB97" t="str">
            <v>Cucuta</v>
          </cell>
          <cell r="AC97" t="str">
            <v>Calle 14 # 1-37 Barrio La Playa, Centro.</v>
          </cell>
          <cell r="AD97" t="str">
            <v>Primer Turno</v>
          </cell>
          <cell r="AE97">
            <v>13095</v>
          </cell>
          <cell r="AF97">
            <v>9000</v>
          </cell>
          <cell r="AG97">
            <v>0</v>
          </cell>
          <cell r="AH97">
            <v>0</v>
          </cell>
          <cell r="AI97">
            <v>15000</v>
          </cell>
          <cell r="AJ97">
            <v>13500</v>
          </cell>
          <cell r="AK97">
            <v>-4500</v>
          </cell>
          <cell r="AL97">
            <v>13095</v>
          </cell>
        </row>
        <row r="98">
          <cell r="T98" t="str">
            <v>BETSY BELEN SANCHEZ</v>
          </cell>
          <cell r="U98" t="str">
            <v>Calle 6 # 18 - 04 Aniversario dos</v>
          </cell>
          <cell r="V98" t="str">
            <v>Aniversario 2</v>
          </cell>
          <cell r="W98" t="str">
            <v>CERCANO</v>
          </cell>
          <cell r="X98">
            <v>3142893319</v>
          </cell>
          <cell r="Y98" t="str">
            <v>NORTE</v>
          </cell>
          <cell r="Z98"/>
          <cell r="AA98" t="str">
            <v>Cucuta</v>
          </cell>
          <cell r="AB98" t="str">
            <v>Cucuta</v>
          </cell>
          <cell r="AC98" t="str">
            <v>Calle 14 # 1-37 Barrio La Playa, Centro.</v>
          </cell>
          <cell r="AD98" t="str">
            <v>Primer Turno</v>
          </cell>
          <cell r="AE98">
            <v>13095</v>
          </cell>
          <cell r="AF98">
            <v>9000</v>
          </cell>
          <cell r="AG98" t="str">
            <v>5.4 km</v>
          </cell>
          <cell r="AH98" t="str">
            <v>13 min</v>
          </cell>
          <cell r="AI98">
            <v>15000</v>
          </cell>
          <cell r="AJ98">
            <v>13500</v>
          </cell>
          <cell r="AK98">
            <v>-4500</v>
          </cell>
          <cell r="AL98">
            <v>13095</v>
          </cell>
        </row>
        <row r="99">
          <cell r="T99" t="str">
            <v>ALIPXA JIMENEZ</v>
          </cell>
          <cell r="U99" t="str">
            <v>Av 5a # 22n - 70 Prados Norte</v>
          </cell>
          <cell r="V99" t="str">
            <v>Prados Norte</v>
          </cell>
          <cell r="W99" t="str">
            <v>CERCANO</v>
          </cell>
          <cell r="X99">
            <v>3016919822</v>
          </cell>
          <cell r="Y99" t="str">
            <v>NORTE</v>
          </cell>
          <cell r="Z99"/>
          <cell r="AA99" t="str">
            <v>Cucuta</v>
          </cell>
          <cell r="AB99" t="str">
            <v>Cucuta</v>
          </cell>
          <cell r="AC99" t="str">
            <v>Calle 14 # 1-37 Barrio La Playa, Centro.</v>
          </cell>
          <cell r="AD99" t="str">
            <v>Tercer Turno</v>
          </cell>
          <cell r="AE99">
            <v>13095</v>
          </cell>
          <cell r="AF99">
            <v>9000</v>
          </cell>
          <cell r="AG99" t="str">
            <v>4.9 km</v>
          </cell>
          <cell r="AH99" t="str">
            <v>12 min</v>
          </cell>
          <cell r="AI99">
            <v>15000</v>
          </cell>
          <cell r="AJ99">
            <v>13500</v>
          </cell>
          <cell r="AK99">
            <v>-4500</v>
          </cell>
          <cell r="AL99">
            <v>13095</v>
          </cell>
        </row>
        <row r="100">
          <cell r="T100" t="str">
            <v>Omaira Muñoz</v>
          </cell>
          <cell r="U100" t="str">
            <v>CLL72a #87-39 los pinos</v>
          </cell>
          <cell r="V100" t="str">
            <v xml:space="preserve">LOS PINOS </v>
          </cell>
          <cell r="W100" t="str">
            <v>CERCANO</v>
          </cell>
          <cell r="X100" t="str">
            <v>320 2394841</v>
          </cell>
          <cell r="Y100" t="str">
            <v>CENTRO</v>
          </cell>
          <cell r="Z100" t="str">
            <v>los pinos</v>
          </cell>
          <cell r="AA100" t="str">
            <v>Bogota</v>
          </cell>
          <cell r="AB100" t="str">
            <v>Dorado</v>
          </cell>
          <cell r="AC100" t="str">
            <v>Diagonal 82 Bis # 85 - 90</v>
          </cell>
          <cell r="AD100" t="str">
            <v>Primer Turno</v>
          </cell>
          <cell r="AE100">
            <v>10670</v>
          </cell>
          <cell r="AF100">
            <v>9000</v>
          </cell>
          <cell r="AG100">
            <v>3</v>
          </cell>
          <cell r="AH100">
            <v>9</v>
          </cell>
          <cell r="AI100">
            <v>11000</v>
          </cell>
          <cell r="AJ100">
            <v>11000</v>
          </cell>
          <cell r="AK100">
            <v>-2000</v>
          </cell>
          <cell r="AL100">
            <v>10670</v>
          </cell>
        </row>
        <row r="101">
          <cell r="T101" t="str">
            <v>Kelly Guzmán</v>
          </cell>
          <cell r="U101" t="str">
            <v>Cra 89ª bis# 81-48</v>
          </cell>
          <cell r="V101" t="str">
            <v>ccial primavera</v>
          </cell>
          <cell r="W101" t="str">
            <v>CERCANO</v>
          </cell>
          <cell r="X101" t="str">
            <v>318 7953121</v>
          </cell>
          <cell r="Y101" t="str">
            <v>CENTRO</v>
          </cell>
          <cell r="Z101" t="str">
            <v>ccial primavera</v>
          </cell>
          <cell r="AA101" t="str">
            <v>Bogota</v>
          </cell>
          <cell r="AB101" t="str">
            <v>Dorado</v>
          </cell>
          <cell r="AC101" t="str">
            <v>Diagonal 82 Bis # 85 - 90</v>
          </cell>
          <cell r="AD101" t="str">
            <v>Primer Turno</v>
          </cell>
          <cell r="AE101">
            <v>10670</v>
          </cell>
          <cell r="AF101">
            <v>9000</v>
          </cell>
          <cell r="AG101">
            <v>2</v>
          </cell>
          <cell r="AH101">
            <v>6</v>
          </cell>
          <cell r="AI101">
            <v>11000</v>
          </cell>
          <cell r="AJ101">
            <v>11000</v>
          </cell>
          <cell r="AK101">
            <v>-2000</v>
          </cell>
          <cell r="AL101">
            <v>10670</v>
          </cell>
        </row>
        <row r="102">
          <cell r="T102" t="str">
            <v>CHIARI MARTINEZ ELSA CRISTINA</v>
          </cell>
          <cell r="U102" t="str">
            <v>CRA 118 #89B-51 CIUDADELA COLSUB</v>
          </cell>
          <cell r="V102" t="str">
            <v>COUDADELA COLSUBISIDIO</v>
          </cell>
          <cell r="W102" t="str">
            <v>CERCANO</v>
          </cell>
          <cell r="X102">
            <v>3115255380</v>
          </cell>
          <cell r="Y102" t="str">
            <v>CENTRO</v>
          </cell>
          <cell r="Z102" t="str">
            <v>ciudadela colsub</v>
          </cell>
          <cell r="AA102" t="str">
            <v>Bogota</v>
          </cell>
          <cell r="AB102" t="str">
            <v>Dorado</v>
          </cell>
          <cell r="AC102" t="str">
            <v>Diagonal 82 Bis # 85 - 90</v>
          </cell>
          <cell r="AD102" t="str">
            <v>Primer Turno</v>
          </cell>
          <cell r="AE102">
            <v>13095</v>
          </cell>
          <cell r="AF102">
            <v>9000</v>
          </cell>
          <cell r="AG102">
            <v>6</v>
          </cell>
          <cell r="AH102">
            <v>17</v>
          </cell>
          <cell r="AI102">
            <v>15000</v>
          </cell>
          <cell r="AJ102">
            <v>13500</v>
          </cell>
          <cell r="AK102">
            <v>-4500</v>
          </cell>
          <cell r="AL102">
            <v>13095</v>
          </cell>
        </row>
        <row r="103">
          <cell r="T103" t="str">
            <v>MORENO RODRIGUEZ OLIVA</v>
          </cell>
          <cell r="U103" t="str">
            <v>CALLE 18 N 109-20 Fontibon</v>
          </cell>
          <cell r="V103" t="str">
            <v>FONTIBON</v>
          </cell>
          <cell r="W103" t="str">
            <v>LEJANO</v>
          </cell>
          <cell r="X103">
            <v>3125083180</v>
          </cell>
          <cell r="Y103" t="str">
            <v>CENTRO</v>
          </cell>
          <cell r="Z103" t="str">
            <v>fontibon</v>
          </cell>
          <cell r="AA103" t="str">
            <v>Bogota</v>
          </cell>
          <cell r="AB103" t="str">
            <v>Dorado</v>
          </cell>
          <cell r="AC103" t="str">
            <v>Diagonal 82 Bis # 85 - 90</v>
          </cell>
          <cell r="AD103" t="str">
            <v>Primer Turno</v>
          </cell>
          <cell r="AE103">
            <v>17460</v>
          </cell>
          <cell r="AF103">
            <v>17000</v>
          </cell>
          <cell r="AG103">
            <v>13</v>
          </cell>
          <cell r="AH103">
            <v>25</v>
          </cell>
          <cell r="AI103">
            <v>20000</v>
          </cell>
          <cell r="AJ103">
            <v>18000</v>
          </cell>
          <cell r="AK103">
            <v>-1000</v>
          </cell>
          <cell r="AL103">
            <v>17460</v>
          </cell>
        </row>
        <row r="104">
          <cell r="T104" t="str">
            <v>ROCHA PINTO KATHERINE</v>
          </cell>
          <cell r="U104" t="str">
            <v>CRA88#72A-29 LOS PINOS</v>
          </cell>
          <cell r="V104" t="str">
            <v>LOS PINOS</v>
          </cell>
          <cell r="W104" t="str">
            <v>CERCANO</v>
          </cell>
          <cell r="X104">
            <v>3005149329</v>
          </cell>
          <cell r="Y104" t="str">
            <v>CENTRO</v>
          </cell>
          <cell r="Z104" t="str">
            <v>los pinos</v>
          </cell>
          <cell r="AA104" t="str">
            <v>Bogota</v>
          </cell>
          <cell r="AB104" t="str">
            <v>Dorado</v>
          </cell>
          <cell r="AC104" t="str">
            <v>Diagonal 82 Bis # 85 - 90</v>
          </cell>
          <cell r="AD104" t="str">
            <v>Primer Turno</v>
          </cell>
          <cell r="AE104">
            <v>10670</v>
          </cell>
          <cell r="AF104">
            <v>9000</v>
          </cell>
          <cell r="AG104">
            <v>3</v>
          </cell>
          <cell r="AH104">
            <v>9</v>
          </cell>
          <cell r="AI104">
            <v>11000</v>
          </cell>
          <cell r="AJ104">
            <v>11000</v>
          </cell>
          <cell r="AK104">
            <v>-2000</v>
          </cell>
          <cell r="AL104">
            <v>10670</v>
          </cell>
        </row>
        <row r="105">
          <cell r="T105" t="str">
            <v>NELSON FERNANDO GONZALEZ</v>
          </cell>
          <cell r="U105" t="str">
            <v>CRA 12D#14-40 CIUDAD JARDIN SUR</v>
          </cell>
          <cell r="V105" t="str">
            <v xml:space="preserve">CIUDAD JARDIN SUR </v>
          </cell>
          <cell r="W105" t="str">
            <v xml:space="preserve">LEJANO </v>
          </cell>
          <cell r="X105">
            <v>3138392033</v>
          </cell>
          <cell r="Y105" t="str">
            <v>CENTRO</v>
          </cell>
          <cell r="Z105" t="str">
            <v>ciudad jardin sur</v>
          </cell>
          <cell r="AA105" t="str">
            <v>Bogota</v>
          </cell>
          <cell r="AB105" t="str">
            <v>Dorado</v>
          </cell>
          <cell r="AC105" t="str">
            <v>Diagonal 82 Bis # 85 - 90</v>
          </cell>
          <cell r="AD105" t="str">
            <v>Primer Turno</v>
          </cell>
          <cell r="AE105">
            <v>26190</v>
          </cell>
          <cell r="AF105">
            <v>22000</v>
          </cell>
          <cell r="AG105">
            <v>19</v>
          </cell>
          <cell r="AH105">
            <v>35</v>
          </cell>
          <cell r="AI105">
            <v>30000</v>
          </cell>
          <cell r="AJ105">
            <v>27000</v>
          </cell>
          <cell r="AK105">
            <v>-5000</v>
          </cell>
          <cell r="AL105">
            <v>26190</v>
          </cell>
        </row>
        <row r="106">
          <cell r="T106" t="str">
            <v>BAREÑO LEYDI</v>
          </cell>
          <cell r="U106" t="str">
            <v>CALLE 13 B #24B-3 ESTE SUR</v>
          </cell>
          <cell r="V106" t="str">
            <v>ESTE SUR</v>
          </cell>
          <cell r="W106" t="str">
            <v>LEJANO PERIFERIA DE BOGOTA SUR ORIENTE</v>
          </cell>
          <cell r="X106">
            <v>3212826837</v>
          </cell>
          <cell r="Y106" t="str">
            <v>CENTRO</v>
          </cell>
          <cell r="Z106" t="str">
            <v>aguasclaras</v>
          </cell>
          <cell r="AA106" t="str">
            <v>Bogota</v>
          </cell>
          <cell r="AB106" t="str">
            <v>Dorado</v>
          </cell>
          <cell r="AC106" t="str">
            <v>Diagonal 82 Bis # 85 - 90</v>
          </cell>
          <cell r="AD106" t="str">
            <v>Primer Turno</v>
          </cell>
          <cell r="AE106">
            <v>26190</v>
          </cell>
          <cell r="AF106">
            <v>22000</v>
          </cell>
          <cell r="AG106">
            <v>18</v>
          </cell>
          <cell r="AH106">
            <v>35</v>
          </cell>
          <cell r="AI106">
            <v>30000</v>
          </cell>
          <cell r="AJ106">
            <v>27000</v>
          </cell>
          <cell r="AK106">
            <v>-5000</v>
          </cell>
          <cell r="AL106">
            <v>26190</v>
          </cell>
        </row>
        <row r="107">
          <cell r="T107" t="str">
            <v>Sandra Milena Cuta</v>
          </cell>
          <cell r="U107" t="str">
            <v>Cra 76 #81-22</v>
          </cell>
          <cell r="V107" t="str">
            <v>Minuto de Dios</v>
          </cell>
          <cell r="W107" t="str">
            <v>CERCANO</v>
          </cell>
          <cell r="X107" t="str">
            <v>318 7569329</v>
          </cell>
          <cell r="Y107" t="str">
            <v>CENTRO</v>
          </cell>
          <cell r="Z107" t="str">
            <v>Minuto de Dios</v>
          </cell>
          <cell r="AA107" t="str">
            <v>Bogota</v>
          </cell>
          <cell r="AB107" t="str">
            <v>Dorado</v>
          </cell>
          <cell r="AC107" t="str">
            <v>Diagonal 82 Bis # 85 - 90</v>
          </cell>
          <cell r="AD107" t="str">
            <v>Tercer Turno</v>
          </cell>
          <cell r="AE107">
            <v>10670</v>
          </cell>
          <cell r="AF107">
            <v>9000</v>
          </cell>
          <cell r="AG107">
            <v>2</v>
          </cell>
          <cell r="AH107">
            <v>6</v>
          </cell>
          <cell r="AI107">
            <v>11000</v>
          </cell>
          <cell r="AJ107">
            <v>11000</v>
          </cell>
          <cell r="AK107">
            <v>-2000</v>
          </cell>
          <cell r="AL107">
            <v>10670</v>
          </cell>
        </row>
        <row r="108">
          <cell r="T108" t="str">
            <v>BOLAÑOS LOPEZ MARIA ALICIA</v>
          </cell>
          <cell r="U108" t="str">
            <v>CRA 14B#161-54</v>
          </cell>
          <cell r="V108" t="str">
            <v>pradera nte</v>
          </cell>
          <cell r="W108" t="str">
            <v>LEJANO</v>
          </cell>
          <cell r="X108">
            <v>3043642304</v>
          </cell>
          <cell r="Y108" t="str">
            <v>CENTRO</v>
          </cell>
          <cell r="Z108" t="str">
            <v>pradera nte</v>
          </cell>
          <cell r="AA108" t="str">
            <v>Bogota</v>
          </cell>
          <cell r="AB108" t="str">
            <v>Dorado</v>
          </cell>
          <cell r="AC108" t="str">
            <v>Diagonal 82 Bis # 85 - 90</v>
          </cell>
          <cell r="AD108" t="str">
            <v>Tercer Turno</v>
          </cell>
          <cell r="AE108">
            <v>26190</v>
          </cell>
          <cell r="AF108">
            <v>22000</v>
          </cell>
          <cell r="AG108">
            <v>15</v>
          </cell>
          <cell r="AH108">
            <v>30</v>
          </cell>
          <cell r="AI108">
            <v>30000</v>
          </cell>
          <cell r="AJ108">
            <v>27000</v>
          </cell>
          <cell r="AK108">
            <v>-5000</v>
          </cell>
          <cell r="AL108">
            <v>26190</v>
          </cell>
        </row>
        <row r="109">
          <cell r="T109" t="str">
            <v>VILLAMIL DUEÑAS KATERINE</v>
          </cell>
          <cell r="U109" t="str">
            <v>CARRERA 90A #46-51 SUR CONJUNTO CASTELO NUEVA CASTILLA</v>
          </cell>
          <cell r="V109" t="str">
            <v>nueva castilla</v>
          </cell>
          <cell r="W109" t="str">
            <v>LEJANO</v>
          </cell>
          <cell r="X109">
            <v>3202267643</v>
          </cell>
          <cell r="Y109" t="str">
            <v>CENTRO</v>
          </cell>
          <cell r="Z109" t="str">
            <v>nueva castilla</v>
          </cell>
          <cell r="AA109" t="str">
            <v>Bogota</v>
          </cell>
          <cell r="AB109" t="str">
            <v>Dorado</v>
          </cell>
          <cell r="AC109" t="str">
            <v>Diagonal 82 Bis # 85 - 90</v>
          </cell>
          <cell r="AD109" t="str">
            <v>Tercer Turno</v>
          </cell>
          <cell r="AE109">
            <v>26190</v>
          </cell>
          <cell r="AF109">
            <v>22000</v>
          </cell>
          <cell r="AG109">
            <v>17</v>
          </cell>
          <cell r="AH109">
            <v>32</v>
          </cell>
          <cell r="AI109">
            <v>30000</v>
          </cell>
          <cell r="AJ109">
            <v>27000</v>
          </cell>
          <cell r="AK109">
            <v>-5000</v>
          </cell>
          <cell r="AL109">
            <v>26190</v>
          </cell>
        </row>
        <row r="110">
          <cell r="T110" t="str">
            <v>CALDERON ZULETEA ANDREA CAROLINA</v>
          </cell>
          <cell r="U110" t="str">
            <v>TRANV 70 N° 67 B - 80 SUR MADELENA</v>
          </cell>
          <cell r="V110" t="str">
            <v>madelena</v>
          </cell>
          <cell r="W110" t="str">
            <v>LEJANO AUTOPISTA SUR</v>
          </cell>
          <cell r="X110">
            <v>3135113960</v>
          </cell>
          <cell r="Y110" t="str">
            <v>CENTRO</v>
          </cell>
          <cell r="Z110" t="str">
            <v>madelena</v>
          </cell>
          <cell r="AA110" t="str">
            <v>Bogota</v>
          </cell>
          <cell r="AB110" t="str">
            <v>Dorado</v>
          </cell>
          <cell r="AC110" t="str">
            <v>Diagonal 82 Bis # 85 - 90</v>
          </cell>
          <cell r="AD110" t="str">
            <v>Tercer Turno</v>
          </cell>
          <cell r="AE110">
            <v>26190</v>
          </cell>
          <cell r="AF110">
            <v>22000</v>
          </cell>
          <cell r="AG110">
            <v>18</v>
          </cell>
          <cell r="AH110">
            <v>35</v>
          </cell>
          <cell r="AI110">
            <v>30000</v>
          </cell>
          <cell r="AJ110">
            <v>27000</v>
          </cell>
          <cell r="AK110">
            <v>-5000</v>
          </cell>
          <cell r="AL110">
            <v>26190</v>
          </cell>
        </row>
        <row r="111">
          <cell r="T111" t="str">
            <v>FAJARDO TIRIATH MARIA SOLEDAD</v>
          </cell>
          <cell r="U111" t="str">
            <v>CALLE 74#110 A-04</v>
          </cell>
          <cell r="V111" t="str">
            <v>alamos norte</v>
          </cell>
          <cell r="W111" t="str">
            <v>CERCANO</v>
          </cell>
          <cell r="X111">
            <v>3212425960</v>
          </cell>
          <cell r="Y111" t="str">
            <v>CENTRO</v>
          </cell>
          <cell r="Z111" t="str">
            <v>alamos norte</v>
          </cell>
          <cell r="AA111" t="str">
            <v>Bogota</v>
          </cell>
          <cell r="AB111" t="str">
            <v>Dorado</v>
          </cell>
          <cell r="AC111" t="str">
            <v>Diagonal 82 Bis # 85 - 90</v>
          </cell>
          <cell r="AD111" t="str">
            <v>Tercer Turno</v>
          </cell>
          <cell r="AE111">
            <v>13095</v>
          </cell>
          <cell r="AF111">
            <v>9000</v>
          </cell>
          <cell r="AG111">
            <v>8</v>
          </cell>
          <cell r="AH111">
            <v>19</v>
          </cell>
          <cell r="AI111">
            <v>15000</v>
          </cell>
          <cell r="AJ111">
            <v>13500</v>
          </cell>
          <cell r="AK111">
            <v>-4500</v>
          </cell>
          <cell r="AL111">
            <v>13095</v>
          </cell>
        </row>
        <row r="112">
          <cell r="T112" t="str">
            <v>ALVAREZ ANDRADE KAREN</v>
          </cell>
          <cell r="U112" t="str">
            <v>CRA 59A#134-22</v>
          </cell>
          <cell r="V112" t="str">
            <v>colina campestre</v>
          </cell>
          <cell r="W112" t="str">
            <v>CERCANO</v>
          </cell>
          <cell r="X112">
            <v>3223565720</v>
          </cell>
          <cell r="Y112" t="str">
            <v>CENTRO</v>
          </cell>
          <cell r="Z112" t="str">
            <v>colina campestre</v>
          </cell>
          <cell r="AA112" t="str">
            <v>Bogota</v>
          </cell>
          <cell r="AB112" t="str">
            <v>Dorado</v>
          </cell>
          <cell r="AC112" t="str">
            <v>Diagonal 82 Bis # 85 - 90</v>
          </cell>
          <cell r="AD112" t="str">
            <v>Tercer Turno</v>
          </cell>
          <cell r="AE112">
            <v>13095</v>
          </cell>
          <cell r="AF112">
            <v>9000</v>
          </cell>
          <cell r="AG112">
            <v>8</v>
          </cell>
          <cell r="AH112">
            <v>19</v>
          </cell>
          <cell r="AI112">
            <v>15000</v>
          </cell>
          <cell r="AJ112">
            <v>13500</v>
          </cell>
          <cell r="AK112">
            <v>-4500</v>
          </cell>
          <cell r="AL112">
            <v>13095</v>
          </cell>
        </row>
        <row r="113">
          <cell r="T113" t="str">
            <v>BAREÑO LEYDI</v>
          </cell>
          <cell r="U113" t="str">
            <v>CALLE 13 B #24B-3 ESTE SUR</v>
          </cell>
          <cell r="V113" t="str">
            <v>ESTE SUR</v>
          </cell>
          <cell r="W113" t="str">
            <v>LEJANO PERIFERIA DE BOGOTA SUR ORIENTE</v>
          </cell>
          <cell r="X113">
            <v>3212826837</v>
          </cell>
          <cell r="Y113" t="str">
            <v>CENTRO</v>
          </cell>
          <cell r="Z113" t="str">
            <v>aguasclaras</v>
          </cell>
          <cell r="AA113" t="str">
            <v>Bogota</v>
          </cell>
          <cell r="AB113" t="str">
            <v>Dorado</v>
          </cell>
          <cell r="AC113" t="str">
            <v>Diagonal 82 Bis # 85 - 90</v>
          </cell>
          <cell r="AD113" t="str">
            <v>Tercer Turno</v>
          </cell>
          <cell r="AE113">
            <v>26190</v>
          </cell>
          <cell r="AF113">
            <v>22000</v>
          </cell>
          <cell r="AG113">
            <v>18</v>
          </cell>
          <cell r="AH113">
            <v>35</v>
          </cell>
          <cell r="AI113">
            <v>30000</v>
          </cell>
          <cell r="AJ113">
            <v>27000</v>
          </cell>
          <cell r="AK113">
            <v>-5000</v>
          </cell>
          <cell r="AL113">
            <v>26190</v>
          </cell>
        </row>
        <row r="114">
          <cell r="T114" t="str">
            <v>AMANDA CORDOBA</v>
          </cell>
          <cell r="U114" t="str">
            <v>CALLE 39N 26D-18 LA MILAGROSA</v>
          </cell>
          <cell r="V114" t="str">
            <v>La Milagrosa</v>
          </cell>
          <cell r="W114" t="str">
            <v>ORDEN PUBLICO</v>
          </cell>
          <cell r="X114">
            <v>3114184754</v>
          </cell>
          <cell r="Y114" t="str">
            <v>SUROCCIDENTE</v>
          </cell>
          <cell r="Z114"/>
          <cell r="AA114" t="str">
            <v>Medellin</v>
          </cell>
          <cell r="AB114" t="str">
            <v>Envigado</v>
          </cell>
          <cell r="AC114" t="str">
            <v>Dg. 31 # 36 A Sur - 80</v>
          </cell>
          <cell r="AD114" t="str">
            <v>Primer Turno</v>
          </cell>
          <cell r="AE114">
            <v>21825</v>
          </cell>
          <cell r="AF114">
            <v>9000</v>
          </cell>
          <cell r="AG114" t="str">
            <v>6 km</v>
          </cell>
          <cell r="AH114" t="str">
            <v>15 min</v>
          </cell>
          <cell r="AI114">
            <v>25000</v>
          </cell>
          <cell r="AJ114">
            <v>22500</v>
          </cell>
          <cell r="AK114">
            <v>-13500</v>
          </cell>
          <cell r="AL114">
            <v>21825</v>
          </cell>
        </row>
        <row r="115">
          <cell r="T115" t="str">
            <v>Ginna Marcela Corredor</v>
          </cell>
          <cell r="U115" t="str">
            <v>KR 111 A # 148-88 ,Barrio Suba Conjunto Residencial Caprini 2 apto 806, torre 2 </v>
          </cell>
          <cell r="V115" t="str">
            <v>SUBA</v>
          </cell>
          <cell r="W115" t="str">
            <v>LEJANO</v>
          </cell>
          <cell r="X115" t="str">
            <v>3124699095 - 3166945666</v>
          </cell>
          <cell r="Y115" t="str">
            <v>CENTRO</v>
          </cell>
          <cell r="Z115" t="str">
            <v>Suba Conjunto Residencial Caprini 2 apto 806, torre 2 </v>
          </cell>
          <cell r="AA115" t="str">
            <v>Bogota</v>
          </cell>
          <cell r="AB115" t="str">
            <v>Fmexpress Bogotá</v>
          </cell>
          <cell r="AC115" t="str">
            <v>BOGOTA CLL 161 # 7G-36</v>
          </cell>
          <cell r="AD115" t="str">
            <v>Primer Turno</v>
          </cell>
          <cell r="AE115">
            <v>26190</v>
          </cell>
          <cell r="AF115">
            <v>22000</v>
          </cell>
          <cell r="AG115">
            <v>19</v>
          </cell>
          <cell r="AH115">
            <v>35</v>
          </cell>
          <cell r="AI115">
            <v>30000</v>
          </cell>
          <cell r="AJ115">
            <v>27000</v>
          </cell>
          <cell r="AK115">
            <v>-5000</v>
          </cell>
          <cell r="AL115">
            <v>26190</v>
          </cell>
        </row>
        <row r="116">
          <cell r="T116" t="str">
            <v>Luz Dary Calvo Cáceres</v>
          </cell>
          <cell r="U116" t="str">
            <v>Calle 4 # 36-55 apto 513 Barrio Galán</v>
          </cell>
          <cell r="V116" t="str">
            <v>GALAN</v>
          </cell>
          <cell r="W116" t="str">
            <v>LEJANO</v>
          </cell>
          <cell r="X116">
            <v>3164782913</v>
          </cell>
          <cell r="Y116" t="str">
            <v>CENTRO</v>
          </cell>
          <cell r="Z116" t="str">
            <v>Galán</v>
          </cell>
          <cell r="AA116" t="str">
            <v>Bogota</v>
          </cell>
          <cell r="AB116" t="str">
            <v>Fmexpress Bogotá</v>
          </cell>
          <cell r="AC116" t="str">
            <v>BOGOTA CLL 161 # 7G-36</v>
          </cell>
          <cell r="AD116" t="str">
            <v>Primer Turno</v>
          </cell>
          <cell r="AE116">
            <v>26190</v>
          </cell>
          <cell r="AF116">
            <v>22000</v>
          </cell>
          <cell r="AG116">
            <v>21</v>
          </cell>
          <cell r="AH116">
            <v>31</v>
          </cell>
          <cell r="AI116">
            <v>30000</v>
          </cell>
          <cell r="AJ116">
            <v>27000</v>
          </cell>
          <cell r="AK116">
            <v>-5000</v>
          </cell>
          <cell r="AL116">
            <v>26190</v>
          </cell>
        </row>
        <row r="117">
          <cell r="T117" t="str">
            <v>Maritza Quintero</v>
          </cell>
          <cell r="U117" t="str">
            <v xml:space="preserve"> CLL 131 # 126-82 Conjunto Alamedade Suba 1, torre 33 apto 201</v>
          </cell>
          <cell r="V117" t="str">
            <v>SUBA</v>
          </cell>
          <cell r="W117" t="str">
            <v>CERCANO</v>
          </cell>
          <cell r="X117" t="str">
            <v>3176491266-9243878</v>
          </cell>
          <cell r="Y117" t="str">
            <v>CENTRO</v>
          </cell>
          <cell r="Z117" t="str">
            <v>Conjunto Alamedade Suba 1, torre 33 apto 201</v>
          </cell>
          <cell r="AA117" t="str">
            <v>Bogota</v>
          </cell>
          <cell r="AB117" t="str">
            <v>Fmexpress Bogotá</v>
          </cell>
          <cell r="AC117" t="str">
            <v>BOGOTA CLL 161 # 7G-36</v>
          </cell>
          <cell r="AD117" t="str">
            <v>Primer Turno</v>
          </cell>
          <cell r="AE117">
            <v>14550</v>
          </cell>
          <cell r="AF117">
            <v>15000</v>
          </cell>
          <cell r="AG117">
            <v>12</v>
          </cell>
          <cell r="AH117">
            <v>20</v>
          </cell>
          <cell r="AI117">
            <v>15000</v>
          </cell>
          <cell r="AJ117">
            <v>15000</v>
          </cell>
          <cell r="AK117">
            <v>0</v>
          </cell>
          <cell r="AL117">
            <v>14550</v>
          </cell>
        </row>
        <row r="118">
          <cell r="T118" t="str">
            <v>BIANEY DUQUE</v>
          </cell>
          <cell r="U118" t="str">
            <v>Calle 33 A Avenida 9 #33-40 La Sabana Los Patios</v>
          </cell>
          <cell r="V118" t="str">
            <v>la sabana</v>
          </cell>
          <cell r="W118" t="str">
            <v>CERCANO</v>
          </cell>
          <cell r="X118">
            <v>3202320331</v>
          </cell>
          <cell r="Y118" t="str">
            <v>NORTE</v>
          </cell>
          <cell r="Z118"/>
          <cell r="AA118" t="str">
            <v>Cucuta</v>
          </cell>
          <cell r="AB118" t="str">
            <v>Fmexpress Cucuta</v>
          </cell>
          <cell r="AC118" t="str">
            <v>Calle 14 # 1-37 Barrio La Playa, Centro</v>
          </cell>
          <cell r="AD118" t="str">
            <v>Primer Turno</v>
          </cell>
          <cell r="AE118">
            <v>13095</v>
          </cell>
          <cell r="AF118">
            <v>9000</v>
          </cell>
          <cell r="AG118" t="str">
            <v>7.1 km</v>
          </cell>
          <cell r="AH118" t="str">
            <v>15 min</v>
          </cell>
          <cell r="AI118">
            <v>15000</v>
          </cell>
          <cell r="AJ118">
            <v>13500</v>
          </cell>
          <cell r="AK118">
            <v>-4500</v>
          </cell>
          <cell r="AL118">
            <v>13095</v>
          </cell>
        </row>
        <row r="119">
          <cell r="T119" t="str">
            <v>CABALLERO CAMARGO ERIKA JOHANNA</v>
          </cell>
          <cell r="U119" t="str">
            <v>Calle 5d # 16_15</v>
          </cell>
          <cell r="V119" t="str">
            <v>san marcos</v>
          </cell>
          <cell r="W119" t="str">
            <v>INTERMUNICIPAL</v>
          </cell>
          <cell r="X119">
            <v>3016775959</v>
          </cell>
          <cell r="Y119" t="str">
            <v>NORTE</v>
          </cell>
          <cell r="Z119" t="str">
            <v>PIEDECUESTA</v>
          </cell>
          <cell r="AA119" t="str">
            <v>Bucaramanga</v>
          </cell>
          <cell r="AB119" t="str">
            <v>Foscal</v>
          </cell>
          <cell r="AC119" t="str">
            <v>Cra. 24 # 154-106 Centro Médico Ardila Lule Torre B. Piso 12</v>
          </cell>
          <cell r="AD119" t="str">
            <v>Cuarto Turno</v>
          </cell>
          <cell r="AE119">
            <v>24250</v>
          </cell>
          <cell r="AF119">
            <v>9000</v>
          </cell>
          <cell r="AG119">
            <v>12</v>
          </cell>
          <cell r="AH119">
            <v>17</v>
          </cell>
          <cell r="AI119">
            <v>25000</v>
          </cell>
          <cell r="AJ119">
            <v>25000</v>
          </cell>
          <cell r="AK119">
            <v>-16000</v>
          </cell>
          <cell r="AL119">
            <v>24250</v>
          </cell>
        </row>
        <row r="120">
          <cell r="T120" t="str">
            <v>CALA BLANCO DAYANA ELIZABETH</v>
          </cell>
          <cell r="U120" t="str">
            <v>Carrera 26 # 35a - 96</v>
          </cell>
          <cell r="V120" t="str">
            <v>cañaveral</v>
          </cell>
          <cell r="W120" t="str">
            <v>CERCANO</v>
          </cell>
          <cell r="X120">
            <v>3126033769</v>
          </cell>
          <cell r="Y120" t="str">
            <v>NORTE</v>
          </cell>
          <cell r="Z120" t="str">
            <v>FLORIDABLANCA</v>
          </cell>
          <cell r="AA120" t="str">
            <v>Bucaramanga</v>
          </cell>
          <cell r="AB120" t="str">
            <v>Foscal</v>
          </cell>
          <cell r="AC120" t="str">
            <v>Cra. 24 # 154-106 Centro Médico Ardila Lule Torre B. Piso 12</v>
          </cell>
          <cell r="AD120" t="str">
            <v>Cuarto Turno</v>
          </cell>
          <cell r="AE120">
            <v>13095</v>
          </cell>
          <cell r="AF120">
            <v>9000</v>
          </cell>
          <cell r="AG120">
            <v>2</v>
          </cell>
          <cell r="AH120">
            <v>12</v>
          </cell>
          <cell r="AI120">
            <v>15000</v>
          </cell>
          <cell r="AJ120">
            <v>13500</v>
          </cell>
          <cell r="AK120">
            <v>-4500</v>
          </cell>
          <cell r="AL120">
            <v>13095</v>
          </cell>
        </row>
        <row r="121">
          <cell r="T121" t="str">
            <v>carmen Elisa Maestre velazquez</v>
          </cell>
          <cell r="U121" t="str">
            <v>carrera 9 N. 26-15 (Se traslada municipo)</v>
          </cell>
          <cell r="V121" t="str">
            <v>lagos 1</v>
          </cell>
          <cell r="W121" t="str">
            <v>CERCANO</v>
          </cell>
          <cell r="X121" t="e">
            <v>#REF!</v>
          </cell>
          <cell r="Y121" t="str">
            <v>NORTE</v>
          </cell>
          <cell r="Z121" t="str">
            <v>FLORIDABLANCA- CABECERA (Municipio)</v>
          </cell>
          <cell r="AA121" t="str">
            <v>Bucaramanga</v>
          </cell>
          <cell r="AB121" t="str">
            <v>Foscal</v>
          </cell>
          <cell r="AC121" t="str">
            <v>Cra. 24 # 154-106 Centro Médico Ardila Lule Torre B. Piso 12</v>
          </cell>
          <cell r="AD121" t="str">
            <v>Cuarto Turno</v>
          </cell>
          <cell r="AE121">
            <v>13095</v>
          </cell>
          <cell r="AF121">
            <v>9000</v>
          </cell>
          <cell r="AG121" t="str">
            <v>8 km</v>
          </cell>
          <cell r="AH121" t="str">
            <v>15 min</v>
          </cell>
          <cell r="AI121">
            <v>15000</v>
          </cell>
          <cell r="AJ121">
            <v>13500</v>
          </cell>
          <cell r="AK121">
            <v>-4500</v>
          </cell>
          <cell r="AL121">
            <v>13095</v>
          </cell>
        </row>
        <row r="122">
          <cell r="T122" t="str">
            <v>COLMENAREZ CRUZ SONIA RUBIDTH</v>
          </cell>
          <cell r="U122" t="str">
            <v>Calle 27 a # 7e-54</v>
          </cell>
          <cell r="V122" t="str">
            <v>la cumbre</v>
          </cell>
          <cell r="W122" t="str">
            <v>CERCANO</v>
          </cell>
          <cell r="X122" t="e">
            <v>#REF!</v>
          </cell>
          <cell r="Y122" t="str">
            <v>NORTE</v>
          </cell>
          <cell r="Z122" t="str">
            <v>FLORIDABLANCA</v>
          </cell>
          <cell r="AA122" t="str">
            <v>Bucaramanga</v>
          </cell>
          <cell r="AB122" t="str">
            <v>Foscal</v>
          </cell>
          <cell r="AC122" t="str">
            <v>Cra. 24 # 154-106 Centro Médico Ardila Lule Torre B. Piso 12</v>
          </cell>
          <cell r="AD122" t="str">
            <v>Cuarto Turno</v>
          </cell>
          <cell r="AE122">
            <v>13095</v>
          </cell>
          <cell r="AF122">
            <v>9000</v>
          </cell>
          <cell r="AG122">
            <v>4</v>
          </cell>
          <cell r="AH122">
            <v>15</v>
          </cell>
          <cell r="AI122">
            <v>15000</v>
          </cell>
          <cell r="AJ122">
            <v>13500</v>
          </cell>
          <cell r="AK122">
            <v>-4500</v>
          </cell>
          <cell r="AL122">
            <v>13095</v>
          </cell>
        </row>
        <row r="123">
          <cell r="T123" t="str">
            <v>CRUZ TRASLAVIÑA ALBA MILENA</v>
          </cell>
          <cell r="U123" t="str">
            <v>Calle 103 # 13-31 san fermin ll</v>
          </cell>
          <cell r="V123" t="str">
            <v>san fermin II</v>
          </cell>
          <cell r="W123" t="str">
            <v>CERCANO</v>
          </cell>
          <cell r="X123">
            <v>3164718069</v>
          </cell>
          <cell r="Y123" t="str">
            <v>NORTE</v>
          </cell>
          <cell r="Z123" t="str">
            <v>BUCARAMANGA</v>
          </cell>
          <cell r="AA123" t="str">
            <v>Bucaramanga</v>
          </cell>
          <cell r="AB123" t="str">
            <v>Foscal</v>
          </cell>
          <cell r="AC123" t="str">
            <v>Cra. 24 # 154-106 Centro Médico Ardila Lule Torre B. Piso 12</v>
          </cell>
          <cell r="AD123" t="str">
            <v>Cuarto Turno</v>
          </cell>
          <cell r="AE123">
            <v>13095</v>
          </cell>
          <cell r="AF123">
            <v>9000</v>
          </cell>
          <cell r="AG123">
            <v>7</v>
          </cell>
          <cell r="AH123">
            <v>17</v>
          </cell>
          <cell r="AI123">
            <v>15000</v>
          </cell>
          <cell r="AJ123">
            <v>13500</v>
          </cell>
          <cell r="AK123">
            <v>-4500</v>
          </cell>
          <cell r="AL123">
            <v>13095</v>
          </cell>
        </row>
        <row r="124">
          <cell r="T124" t="str">
            <v>MARTINEZ SAENZ LIZ JOHLOK</v>
          </cell>
          <cell r="U124" t="str">
            <v>Calle 28 # 10-55</v>
          </cell>
          <cell r="V124" t="str">
            <v>lagos 1</v>
          </cell>
          <cell r="W124" t="str">
            <v>CERCANO</v>
          </cell>
          <cell r="X124">
            <v>3133497183</v>
          </cell>
          <cell r="Y124" t="str">
            <v>NORTE</v>
          </cell>
          <cell r="Z124" t="str">
            <v>FLORIDABLANCA</v>
          </cell>
          <cell r="AA124" t="str">
            <v>Bucaramanga</v>
          </cell>
          <cell r="AB124" t="str">
            <v>Foscal</v>
          </cell>
          <cell r="AC124" t="str">
            <v>Cra. 24 # 154-106 Centro Médico Ardila Lule Torre B. Piso 12</v>
          </cell>
          <cell r="AD124" t="str">
            <v>Cuarto Turno</v>
          </cell>
          <cell r="AE124">
            <v>13095</v>
          </cell>
          <cell r="AF124">
            <v>9000</v>
          </cell>
          <cell r="AG124">
            <v>2</v>
          </cell>
          <cell r="AH124">
            <v>9</v>
          </cell>
          <cell r="AI124">
            <v>15000</v>
          </cell>
          <cell r="AJ124">
            <v>13500</v>
          </cell>
          <cell r="AK124">
            <v>-4500</v>
          </cell>
          <cell r="AL124">
            <v>13095</v>
          </cell>
        </row>
        <row r="125">
          <cell r="T125" t="str">
            <v>MORENO LEIDY YOHANNA</v>
          </cell>
          <cell r="U125" t="str">
            <v>Carrera 21 # 152-30 torre 32 apto 302</v>
          </cell>
          <cell r="V125" t="str">
            <v>san agustin</v>
          </cell>
          <cell r="W125" t="str">
            <v>CERCANO</v>
          </cell>
          <cell r="X125">
            <v>3124698291</v>
          </cell>
          <cell r="Y125" t="str">
            <v>NORTE</v>
          </cell>
          <cell r="Z125" t="str">
            <v>FLORIDABLANCA</v>
          </cell>
          <cell r="AA125" t="str">
            <v>Bucaramanga</v>
          </cell>
          <cell r="AB125" t="str">
            <v>Foscal</v>
          </cell>
          <cell r="AC125" t="str">
            <v>Cra. 24 # 154-106 Centro Médico Ardila Lule Torre B. Piso 12</v>
          </cell>
          <cell r="AD125" t="str">
            <v>Cuarto Turno</v>
          </cell>
          <cell r="AE125">
            <v>13095</v>
          </cell>
          <cell r="AF125">
            <v>9000</v>
          </cell>
          <cell r="AG125">
            <v>1</v>
          </cell>
          <cell r="AH125">
            <v>5</v>
          </cell>
          <cell r="AI125">
            <v>15000</v>
          </cell>
          <cell r="AJ125">
            <v>13500</v>
          </cell>
          <cell r="AK125">
            <v>-4500</v>
          </cell>
          <cell r="AL125">
            <v>13095</v>
          </cell>
        </row>
        <row r="126">
          <cell r="T126" t="str">
            <v>NARVAEZ ACUÑA OSCAR GUILLERMO</v>
          </cell>
          <cell r="U126" t="str">
            <v>Carrera 11 # 103E - 18</v>
          </cell>
          <cell r="V126" t="str">
            <v>ig sabelar</v>
          </cell>
          <cell r="W126" t="str">
            <v>CERCANO</v>
          </cell>
          <cell r="X126" t="e">
            <v>#REF!</v>
          </cell>
          <cell r="Y126" t="str">
            <v>NORTE</v>
          </cell>
          <cell r="Z126" t="str">
            <v>BUCARAMANGA</v>
          </cell>
          <cell r="AA126" t="str">
            <v>Bucaramanga</v>
          </cell>
          <cell r="AB126" t="str">
            <v>Foscal</v>
          </cell>
          <cell r="AC126" t="str">
            <v>Cra. 24 # 154-106 Centro Médico Ardila Lule Torre B. Piso 12</v>
          </cell>
          <cell r="AD126" t="str">
            <v>Cuarto Turno</v>
          </cell>
          <cell r="AE126">
            <v>21825</v>
          </cell>
          <cell r="AF126">
            <v>9000</v>
          </cell>
          <cell r="AG126">
            <v>10</v>
          </cell>
          <cell r="AH126">
            <v>18</v>
          </cell>
          <cell r="AI126">
            <v>25000</v>
          </cell>
          <cell r="AJ126">
            <v>22500</v>
          </cell>
          <cell r="AK126">
            <v>-13500</v>
          </cell>
          <cell r="AL126">
            <v>21825</v>
          </cell>
        </row>
        <row r="127">
          <cell r="T127" t="str">
            <v>PICO MENDOZA SANDRA YOLANDA</v>
          </cell>
          <cell r="U127" t="str">
            <v>Carrera 36 36 53 apto 202 edificio cibia</v>
          </cell>
          <cell r="V127" t="str">
            <v>el prado</v>
          </cell>
          <cell r="W127" t="str">
            <v>CERCANO</v>
          </cell>
          <cell r="X127">
            <v>3166473343</v>
          </cell>
          <cell r="Y127" t="str">
            <v>NORTE</v>
          </cell>
          <cell r="Z127" t="str">
            <v>BUCARAMANGA</v>
          </cell>
          <cell r="AA127" t="str">
            <v>Bucaramanga</v>
          </cell>
          <cell r="AB127" t="str">
            <v>Foscal</v>
          </cell>
          <cell r="AC127" t="str">
            <v>Cra. 24 # 154-106 Centro Médico Ardila Lule Torre B. Piso 12</v>
          </cell>
          <cell r="AD127" t="str">
            <v>Cuarto Turno</v>
          </cell>
          <cell r="AE127">
            <v>24250</v>
          </cell>
          <cell r="AF127">
            <v>9000</v>
          </cell>
          <cell r="AG127">
            <v>6</v>
          </cell>
          <cell r="AH127">
            <v>15</v>
          </cell>
          <cell r="AI127">
            <v>15000</v>
          </cell>
          <cell r="AJ127">
            <v>15000</v>
          </cell>
          <cell r="AK127">
            <v>-6000</v>
          </cell>
          <cell r="AL127">
            <v>14550</v>
          </cell>
        </row>
        <row r="128">
          <cell r="T128" t="str">
            <v>RAMIREZ OCHOA SOCORRO</v>
          </cell>
          <cell r="U128" t="str">
            <v>Carrera 8 # 42-38</v>
          </cell>
          <cell r="V128" t="str">
            <v>alfonso lopez</v>
          </cell>
          <cell r="W128" t="str">
            <v>CERCANO</v>
          </cell>
          <cell r="X128">
            <v>3153157029</v>
          </cell>
          <cell r="Y128" t="str">
            <v>NORTE</v>
          </cell>
          <cell r="Z128" t="str">
            <v>BUCARAMANGA</v>
          </cell>
          <cell r="AA128" t="str">
            <v>Bucaramanga</v>
          </cell>
          <cell r="AB128" t="str">
            <v>Foscal</v>
          </cell>
          <cell r="AC128" t="str">
            <v>Cra. 24 # 154-106 Centro Médico Ardila Lule Torre B. Piso 12</v>
          </cell>
          <cell r="AD128" t="str">
            <v>Cuarto Turno</v>
          </cell>
          <cell r="AE128">
            <v>13095</v>
          </cell>
          <cell r="AF128">
            <v>9000</v>
          </cell>
          <cell r="AG128">
            <v>2</v>
          </cell>
          <cell r="AH128">
            <v>7</v>
          </cell>
          <cell r="AI128">
            <v>15000</v>
          </cell>
          <cell r="AJ128">
            <v>13500</v>
          </cell>
          <cell r="AK128">
            <v>-4500</v>
          </cell>
          <cell r="AL128">
            <v>13095</v>
          </cell>
        </row>
        <row r="129">
          <cell r="T129" t="str">
            <v>REYES REINA BUENAVENTURA</v>
          </cell>
          <cell r="U129" t="str">
            <v>Calle 108 # 21-71</v>
          </cell>
          <cell r="V129" t="str">
            <v>provenza</v>
          </cell>
          <cell r="W129" t="str">
            <v>CERCANO</v>
          </cell>
          <cell r="X129">
            <v>3162375607</v>
          </cell>
          <cell r="Y129" t="str">
            <v>NORTE</v>
          </cell>
          <cell r="Z129" t="str">
            <v>BUCARAMANGA</v>
          </cell>
          <cell r="AA129" t="str">
            <v>Bucaramanga</v>
          </cell>
          <cell r="AB129" t="str">
            <v>Foscal</v>
          </cell>
          <cell r="AC129" t="str">
            <v>Cra. 24 # 154-106 Centro Médico Ardila Lule Torre B. Piso 12</v>
          </cell>
          <cell r="AD129" t="str">
            <v>Cuarto Turno</v>
          </cell>
          <cell r="AE129">
            <v>13095</v>
          </cell>
          <cell r="AF129">
            <v>9000</v>
          </cell>
          <cell r="AG129">
            <v>4</v>
          </cell>
          <cell r="AH129">
            <v>11</v>
          </cell>
          <cell r="AI129">
            <v>15000</v>
          </cell>
          <cell r="AJ129">
            <v>13500</v>
          </cell>
          <cell r="AK129">
            <v>-4500</v>
          </cell>
          <cell r="AL129">
            <v>13095</v>
          </cell>
        </row>
        <row r="130">
          <cell r="T130" t="str">
            <v>RIVERA ALBARRACIN WILLIAM</v>
          </cell>
          <cell r="U130" t="str">
            <v xml:space="preserve">Carrera 14 b # 58-157 </v>
          </cell>
          <cell r="V130" t="str">
            <v>el reposo</v>
          </cell>
          <cell r="W130" t="str">
            <v>CERCANO</v>
          </cell>
          <cell r="X130">
            <v>3212075665</v>
          </cell>
          <cell r="Y130" t="str">
            <v>NORTE</v>
          </cell>
          <cell r="Z130" t="str">
            <v>FLORIDABLANCA</v>
          </cell>
          <cell r="AA130" t="str">
            <v>Bucaramanga</v>
          </cell>
          <cell r="AB130" t="str">
            <v>Foscal</v>
          </cell>
          <cell r="AC130" t="str">
            <v>Cra. 24 # 154-106 Centro Médico Ardila Lule Torre B. Piso 12</v>
          </cell>
          <cell r="AD130" t="str">
            <v>Cuarto Turno</v>
          </cell>
          <cell r="AE130">
            <v>13095</v>
          </cell>
          <cell r="AF130">
            <v>9000</v>
          </cell>
          <cell r="AG130">
            <v>6</v>
          </cell>
          <cell r="AH130">
            <v>18</v>
          </cell>
          <cell r="AI130">
            <v>15000</v>
          </cell>
          <cell r="AJ130">
            <v>13500</v>
          </cell>
          <cell r="AK130">
            <v>-4500</v>
          </cell>
          <cell r="AL130">
            <v>13095</v>
          </cell>
        </row>
        <row r="131">
          <cell r="T131" t="str">
            <v>ROJAS RIVERO LEIDY SUSANA</v>
          </cell>
          <cell r="U131" t="str">
            <v>Calle  17 # 13 - 73</v>
          </cell>
          <cell r="V131" t="str">
            <v>ciudad valencia</v>
          </cell>
          <cell r="W131" t="str">
            <v>CERCANO</v>
          </cell>
          <cell r="X131">
            <v>3108764433</v>
          </cell>
          <cell r="Y131" t="str">
            <v>NORTE</v>
          </cell>
          <cell r="Z131" t="str">
            <v>FLORIDABLANCA</v>
          </cell>
          <cell r="AA131" t="str">
            <v>Bucaramanga</v>
          </cell>
          <cell r="AB131" t="str">
            <v>Foscal</v>
          </cell>
          <cell r="AC131" t="str">
            <v>Cra. 24 # 154-106 Centro Médico Ardila Lule Torre B. Piso 12</v>
          </cell>
          <cell r="AD131" t="str">
            <v>Cuarto Turno</v>
          </cell>
          <cell r="AE131">
            <v>13095</v>
          </cell>
          <cell r="AF131">
            <v>9000</v>
          </cell>
          <cell r="AG131">
            <v>2</v>
          </cell>
          <cell r="AH131">
            <v>9</v>
          </cell>
          <cell r="AI131">
            <v>15000</v>
          </cell>
          <cell r="AJ131">
            <v>13500</v>
          </cell>
          <cell r="AK131">
            <v>-4500</v>
          </cell>
          <cell r="AL131">
            <v>13095</v>
          </cell>
        </row>
        <row r="132">
          <cell r="T132" t="str">
            <v>RUIZ MENESES ADRIANA MARCELA</v>
          </cell>
          <cell r="U132" t="str">
            <v>Calle 157 # 154-237</v>
          </cell>
          <cell r="V132" t="str">
            <v>reserva cañaveral</v>
          </cell>
          <cell r="W132" t="str">
            <v>CERCANO</v>
          </cell>
          <cell r="X132">
            <v>3156716035</v>
          </cell>
          <cell r="Y132" t="str">
            <v>NORTE</v>
          </cell>
          <cell r="Z132" t="str">
            <v>FLORIDABLANCA</v>
          </cell>
          <cell r="AA132" t="str">
            <v>Bucaramanga</v>
          </cell>
          <cell r="AB132" t="str">
            <v>Foscal</v>
          </cell>
          <cell r="AC132" t="str">
            <v>Cra. 24 # 154-106 Centro Médico Ardila Lule Torre B. Piso 12</v>
          </cell>
          <cell r="AD132" t="str">
            <v>Cuarto Turno</v>
          </cell>
          <cell r="AE132">
            <v>13095</v>
          </cell>
          <cell r="AF132">
            <v>9000</v>
          </cell>
          <cell r="AG132">
            <v>2</v>
          </cell>
          <cell r="AH132">
            <v>8</v>
          </cell>
          <cell r="AI132">
            <v>15000</v>
          </cell>
          <cell r="AJ132">
            <v>13500</v>
          </cell>
          <cell r="AK132">
            <v>-4500</v>
          </cell>
          <cell r="AL132">
            <v>13095</v>
          </cell>
        </row>
        <row r="133">
          <cell r="T133" t="str">
            <v>SUAREZ MURILLO RAUL</v>
          </cell>
          <cell r="U133" t="str">
            <v>Calle 81 # 59-08</v>
          </cell>
          <cell r="V133" t="str">
            <v>altos del cacique</v>
          </cell>
          <cell r="W133" t="str">
            <v>CERCANO</v>
          </cell>
          <cell r="X133" t="e">
            <v>#REF!</v>
          </cell>
          <cell r="Y133" t="str">
            <v>NORTE</v>
          </cell>
          <cell r="Z133" t="str">
            <v>BUCARAMANGA</v>
          </cell>
          <cell r="AA133" t="str">
            <v>Bucaramanga</v>
          </cell>
          <cell r="AB133" t="str">
            <v>Foscal</v>
          </cell>
          <cell r="AC133" t="str">
            <v>Cra. 24 # 154-106 Centro Médico Ardila Lule Torre B. Piso 12</v>
          </cell>
          <cell r="AD133" t="str">
            <v>Cuarto Turno</v>
          </cell>
          <cell r="AE133">
            <v>13095</v>
          </cell>
          <cell r="AF133">
            <v>9000</v>
          </cell>
          <cell r="AG133">
            <v>5</v>
          </cell>
          <cell r="AH133">
            <v>12</v>
          </cell>
          <cell r="AI133">
            <v>15000</v>
          </cell>
          <cell r="AJ133">
            <v>13500</v>
          </cell>
          <cell r="AK133">
            <v>-4500</v>
          </cell>
          <cell r="AL133">
            <v>13095</v>
          </cell>
        </row>
        <row r="134">
          <cell r="T134" t="str">
            <v>MORENO LEIDY YOHANNA</v>
          </cell>
          <cell r="U134" t="str">
            <v>Carrera 21 # 152-30 torre 32 apto 302</v>
          </cell>
          <cell r="V134" t="str">
            <v>san agustin</v>
          </cell>
          <cell r="W134" t="str">
            <v>CERCANO</v>
          </cell>
          <cell r="X134">
            <v>3124698291</v>
          </cell>
          <cell r="Y134" t="str">
            <v>NORTE</v>
          </cell>
          <cell r="Z134" t="str">
            <v>FLORIDABLANCA</v>
          </cell>
          <cell r="AA134" t="str">
            <v>Bucaramanga</v>
          </cell>
          <cell r="AB134" t="str">
            <v>Foscal</v>
          </cell>
          <cell r="AC134" t="str">
            <v>Cra. 24 # 154-106 Centro Médico Ardila Lule Torre B. Piso 12</v>
          </cell>
          <cell r="AD134" t="str">
            <v>Primer Turno</v>
          </cell>
          <cell r="AE134">
            <v>13095</v>
          </cell>
          <cell r="AF134">
            <v>9000</v>
          </cell>
          <cell r="AG134">
            <v>1</v>
          </cell>
          <cell r="AH134">
            <v>5</v>
          </cell>
          <cell r="AI134">
            <v>15000</v>
          </cell>
          <cell r="AJ134">
            <v>13500</v>
          </cell>
          <cell r="AK134">
            <v>-4500</v>
          </cell>
          <cell r="AL134">
            <v>13095</v>
          </cell>
        </row>
        <row r="135">
          <cell r="T135" t="str">
            <v>REY ARGUELLO ANA MERCEDDES (finca)</v>
          </cell>
          <cell r="U135" t="str">
            <v>Finca San Jose Via Aeropuerto Palonegro (municipio-aeropuerto)</v>
          </cell>
          <cell r="V135" t="str">
            <v>finca</v>
          </cell>
          <cell r="W135" t="str">
            <v>INTERMUNICIPAL</v>
          </cell>
          <cell r="X135">
            <v>3002336757</v>
          </cell>
          <cell r="Y135" t="str">
            <v>NORTE</v>
          </cell>
          <cell r="Z135" t="str">
            <v>LEBRIJA</v>
          </cell>
          <cell r="AA135" t="str">
            <v>Bucaramanga</v>
          </cell>
          <cell r="AB135" t="str">
            <v>Foscal</v>
          </cell>
          <cell r="AC135" t="str">
            <v>Cra. 24 # 154-106 Centro Médico Ardila Lule Torre B. Piso 12</v>
          </cell>
          <cell r="AD135" t="str">
            <v>Primer Turno</v>
          </cell>
          <cell r="AE135">
            <v>58200</v>
          </cell>
          <cell r="AF135">
            <v>9000</v>
          </cell>
          <cell r="AG135">
            <v>24</v>
          </cell>
          <cell r="AH135">
            <v>31</v>
          </cell>
          <cell r="AI135">
            <v>60000</v>
          </cell>
          <cell r="AJ135">
            <v>60000</v>
          </cell>
          <cell r="AK135">
            <v>-51000</v>
          </cell>
          <cell r="AL135">
            <v>58200</v>
          </cell>
        </row>
        <row r="136">
          <cell r="T136" t="str">
            <v>RODRIGUEZ PLATA HENRY</v>
          </cell>
          <cell r="U136" t="str">
            <v>Carrera 5an # 1w- 34 (municipio)</v>
          </cell>
          <cell r="V136" t="str">
            <v>el refugio</v>
          </cell>
          <cell r="W136" t="str">
            <v>INTERMUNICIPAL</v>
          </cell>
          <cell r="X136">
            <v>3214616164</v>
          </cell>
          <cell r="Y136" t="str">
            <v>NORTE</v>
          </cell>
          <cell r="Z136" t="str">
            <v>PIEDECUESTA</v>
          </cell>
          <cell r="AA136" t="str">
            <v>Bucaramanga</v>
          </cell>
          <cell r="AB136" t="str">
            <v>Foscal</v>
          </cell>
          <cell r="AC136" t="str">
            <v>Cra. 24 # 154-106 Centro Médico Ardila Lule Torre B. Piso 12</v>
          </cell>
          <cell r="AD136" t="str">
            <v>Primer Turno</v>
          </cell>
          <cell r="AE136">
            <v>24250</v>
          </cell>
          <cell r="AF136">
            <v>9000</v>
          </cell>
          <cell r="AG136">
            <v>13</v>
          </cell>
          <cell r="AH136">
            <v>20</v>
          </cell>
          <cell r="AI136">
            <v>25000</v>
          </cell>
          <cell r="AJ136">
            <v>25000</v>
          </cell>
          <cell r="AK136">
            <v>-16000</v>
          </cell>
          <cell r="AL136">
            <v>24250</v>
          </cell>
        </row>
        <row r="137">
          <cell r="T137" t="str">
            <v>ROMERO ROJAS ANA YULIETH</v>
          </cell>
          <cell r="U137" t="str">
            <v>torre 1 apto 609</v>
          </cell>
          <cell r="V137" t="str">
            <v>reserva san lorenzo</v>
          </cell>
          <cell r="W137" t="str">
            <v>CERCANO</v>
          </cell>
          <cell r="X137">
            <v>3004862538</v>
          </cell>
          <cell r="Y137" t="str">
            <v>NORTE</v>
          </cell>
          <cell r="Z137" t="str">
            <v>PROVENSA</v>
          </cell>
          <cell r="AA137" t="str">
            <v>Bucaramanga</v>
          </cell>
          <cell r="AB137" t="str">
            <v>Foscal</v>
          </cell>
          <cell r="AC137" t="str">
            <v>Cra. 24 # 154-106 Centro Médico Ardila Lule Torre B. Piso 12</v>
          </cell>
          <cell r="AD137" t="str">
            <v>Primer Turno</v>
          </cell>
          <cell r="AE137">
            <v>10670</v>
          </cell>
          <cell r="AF137">
            <v>9000</v>
          </cell>
          <cell r="AG137">
            <v>3</v>
          </cell>
          <cell r="AH137">
            <v>9</v>
          </cell>
          <cell r="AI137">
            <v>11000</v>
          </cell>
          <cell r="AJ137">
            <v>11000</v>
          </cell>
          <cell r="AK137">
            <v>-2000</v>
          </cell>
          <cell r="AL137">
            <v>10670</v>
          </cell>
        </row>
        <row r="138">
          <cell r="T138" t="str">
            <v>BUENAHORA RODRIGUEZ INGRID LICED</v>
          </cell>
          <cell r="U138" t="str">
            <v>Calle 201a #20a-18</v>
          </cell>
          <cell r="V138" t="str">
            <v>los principes</v>
          </cell>
          <cell r="W138" t="str">
            <v>CERCANO</v>
          </cell>
          <cell r="X138">
            <v>3186537507</v>
          </cell>
          <cell r="Y138" t="str">
            <v>NORTE</v>
          </cell>
          <cell r="Z138" t="str">
            <v>BUCARAMANGA</v>
          </cell>
          <cell r="AA138" t="str">
            <v>Bucaramanga</v>
          </cell>
          <cell r="AB138" t="str">
            <v>Foscal</v>
          </cell>
          <cell r="AC138" t="str">
            <v>Cra. 24 # 154-106 Centro Médico Ardila Lule Torre B. Piso 12</v>
          </cell>
          <cell r="AD138" t="str">
            <v>Primer Turno</v>
          </cell>
          <cell r="AE138">
            <v>27160</v>
          </cell>
          <cell r="AF138">
            <v>16000</v>
          </cell>
          <cell r="AG138">
            <v>3</v>
          </cell>
          <cell r="AH138">
            <v>9</v>
          </cell>
          <cell r="AI138">
            <v>15000</v>
          </cell>
          <cell r="AJ138">
            <v>15000</v>
          </cell>
          <cell r="AK138">
            <v>1000</v>
          </cell>
          <cell r="AL138">
            <v>14550</v>
          </cell>
        </row>
        <row r="139">
          <cell r="T139" t="str">
            <v>CABALLERO CAMARGO ERIKA JOHANNA</v>
          </cell>
          <cell r="U139" t="str">
            <v>Calle 5d # 16_15</v>
          </cell>
          <cell r="V139" t="str">
            <v>PIE DE CUESTA</v>
          </cell>
          <cell r="W139" t="str">
            <v>INTERMUNICIPAL</v>
          </cell>
          <cell r="X139">
            <v>3016775959</v>
          </cell>
          <cell r="Y139" t="str">
            <v>NORTE</v>
          </cell>
          <cell r="Z139" t="str">
            <v>PIEDECUESTA</v>
          </cell>
          <cell r="AA139" t="str">
            <v>Bucaramanga</v>
          </cell>
          <cell r="AB139" t="str">
            <v>Foscal</v>
          </cell>
          <cell r="AC139" t="str">
            <v>Cra. 24 # 154-106 Centro Médico Ardila Lule Torre B. Piso 12</v>
          </cell>
          <cell r="AD139" t="str">
            <v>Primer Turno</v>
          </cell>
          <cell r="AE139">
            <v>24250</v>
          </cell>
          <cell r="AF139">
            <v>9000</v>
          </cell>
          <cell r="AG139">
            <v>12</v>
          </cell>
          <cell r="AH139">
            <v>17</v>
          </cell>
          <cell r="AI139">
            <v>25000</v>
          </cell>
          <cell r="AJ139">
            <v>25000</v>
          </cell>
          <cell r="AK139">
            <v>-16000</v>
          </cell>
          <cell r="AL139">
            <v>24250</v>
          </cell>
        </row>
        <row r="140">
          <cell r="T140" t="str">
            <v>CALA BLANCO DAYANA ELIZABETH</v>
          </cell>
          <cell r="U140" t="str">
            <v>Carrera 26 # 35a - 96</v>
          </cell>
          <cell r="V140" t="str">
            <v>cañaveral</v>
          </cell>
          <cell r="W140" t="str">
            <v>CERCANO</v>
          </cell>
          <cell r="X140">
            <v>3126033769</v>
          </cell>
          <cell r="Y140" t="str">
            <v>NORTE</v>
          </cell>
          <cell r="Z140" t="str">
            <v>FLORIDABLANCA</v>
          </cell>
          <cell r="AA140" t="str">
            <v>Bucaramanga</v>
          </cell>
          <cell r="AB140" t="str">
            <v>Foscal</v>
          </cell>
          <cell r="AC140" t="str">
            <v>Cra. 24 # 154-106 Centro Médico Ardila Lule Torre B. Piso 12</v>
          </cell>
          <cell r="AD140" t="str">
            <v>Primer Turno</v>
          </cell>
          <cell r="AE140">
            <v>13095</v>
          </cell>
          <cell r="AF140">
            <v>9000</v>
          </cell>
          <cell r="AG140">
            <v>2</v>
          </cell>
          <cell r="AH140">
            <v>12</v>
          </cell>
          <cell r="AI140">
            <v>15000</v>
          </cell>
          <cell r="AJ140">
            <v>13500</v>
          </cell>
          <cell r="AK140">
            <v>-4500</v>
          </cell>
          <cell r="AL140">
            <v>13095</v>
          </cell>
        </row>
        <row r="141">
          <cell r="T141" t="str">
            <v xml:space="preserve">maria del pilar perez </v>
          </cell>
          <cell r="U141" t="str">
            <v>conjunto los trinitarios</v>
          </cell>
          <cell r="V141" t="str">
            <v>conunto los trinitarios</v>
          </cell>
          <cell r="W141" t="str">
            <v>CERCANO</v>
          </cell>
          <cell r="X141">
            <v>3108818358</v>
          </cell>
          <cell r="Y141" t="str">
            <v>NORTE</v>
          </cell>
          <cell r="Z141" t="str">
            <v>BUCARAMANGA</v>
          </cell>
          <cell r="AA141" t="str">
            <v>Bucaramanga</v>
          </cell>
          <cell r="AB141" t="str">
            <v>Foscal</v>
          </cell>
          <cell r="AC141" t="str">
            <v>Cra. 24 # 154-106 Centro Médico Ardila Lule Torre B. Piso 12</v>
          </cell>
          <cell r="AD141" t="str">
            <v>Primer Turno</v>
          </cell>
          <cell r="AE141">
            <v>13095</v>
          </cell>
          <cell r="AF141">
            <v>9000</v>
          </cell>
          <cell r="AG141" t="str">
            <v>2 km</v>
          </cell>
          <cell r="AH141" t="str">
            <v>5 min</v>
          </cell>
          <cell r="AI141">
            <v>15000</v>
          </cell>
          <cell r="AJ141">
            <v>13500</v>
          </cell>
          <cell r="AK141">
            <v>-4500</v>
          </cell>
          <cell r="AL141">
            <v>13095</v>
          </cell>
        </row>
        <row r="142">
          <cell r="T142" t="str">
            <v xml:space="preserve">MARIA ISABEL DELGADO </v>
          </cell>
          <cell r="U142" t="str">
            <v xml:space="preserve">AVERIGUAR CON EL CONDUCTOR </v>
          </cell>
          <cell r="V142" t="str">
            <v>averiguar con el conductor</v>
          </cell>
          <cell r="W142" t="str">
            <v>CERCANO</v>
          </cell>
          <cell r="X142" t="str">
            <v xml:space="preserve">AVERIGUAR CON EL CONDUCTOR </v>
          </cell>
          <cell r="Y142" t="str">
            <v>NORTE</v>
          </cell>
          <cell r="Z142" t="str">
            <v>BUCARAMANGA</v>
          </cell>
          <cell r="AA142" t="str">
            <v>Bucaramanga</v>
          </cell>
          <cell r="AB142" t="str">
            <v>Foscal</v>
          </cell>
          <cell r="AC142" t="str">
            <v>Cra. 24 # 154-106 Centro Médico Ardila Lule Torre B. Piso 12</v>
          </cell>
          <cell r="AD142" t="str">
            <v>Primer Turno</v>
          </cell>
          <cell r="AE142">
            <v>13095</v>
          </cell>
          <cell r="AF142">
            <v>9000</v>
          </cell>
          <cell r="AG142">
            <v>4</v>
          </cell>
          <cell r="AH142">
            <v>6</v>
          </cell>
          <cell r="AI142">
            <v>15000</v>
          </cell>
          <cell r="AJ142">
            <v>13500</v>
          </cell>
          <cell r="AK142">
            <v>-4500</v>
          </cell>
          <cell r="AL142">
            <v>13095</v>
          </cell>
        </row>
        <row r="143">
          <cell r="T143" t="str">
            <v>RUIZ MENESES ADRIANA MARCELA</v>
          </cell>
          <cell r="U143" t="str">
            <v>Calle 157 # 154-237</v>
          </cell>
          <cell r="V143" t="str">
            <v>reserva cañaveral</v>
          </cell>
          <cell r="W143" t="str">
            <v>CERCANO</v>
          </cell>
          <cell r="X143">
            <v>3156716035</v>
          </cell>
          <cell r="Y143" t="str">
            <v>NORTE</v>
          </cell>
          <cell r="Z143" t="str">
            <v>FLORIDABLANCA</v>
          </cell>
          <cell r="AA143" t="str">
            <v>Bucaramanga</v>
          </cell>
          <cell r="AB143" t="str">
            <v>Foscal</v>
          </cell>
          <cell r="AC143" t="str">
            <v>Cra. 24 # 154-106 Centro Médico Ardila Lule Torre B. Piso 12</v>
          </cell>
          <cell r="AD143" t="str">
            <v>Primer Turno</v>
          </cell>
          <cell r="AE143">
            <v>13095</v>
          </cell>
          <cell r="AF143">
            <v>9000</v>
          </cell>
          <cell r="AG143">
            <v>2</v>
          </cell>
          <cell r="AH143">
            <v>8</v>
          </cell>
          <cell r="AI143">
            <v>15000</v>
          </cell>
          <cell r="AJ143">
            <v>13500</v>
          </cell>
          <cell r="AK143">
            <v>-4500</v>
          </cell>
          <cell r="AL143">
            <v>13095</v>
          </cell>
        </row>
        <row r="144">
          <cell r="T144" t="str">
            <v>VELASCO JAIMES ELIANA MARCELA</v>
          </cell>
          <cell r="U144" t="str">
            <v>Carrera 28 # 11-15 (se traslada a otro municipio)</v>
          </cell>
          <cell r="V144" t="str">
            <v>villas de san juan</v>
          </cell>
          <cell r="W144" t="str">
            <v>INTERMUNICIPAL</v>
          </cell>
          <cell r="X144">
            <v>3167836722</v>
          </cell>
          <cell r="Y144" t="str">
            <v>NORTE</v>
          </cell>
          <cell r="Z144" t="str">
            <v>GIRON</v>
          </cell>
          <cell r="AA144" t="str">
            <v>Bucaramanga</v>
          </cell>
          <cell r="AB144" t="str">
            <v>Foscal</v>
          </cell>
          <cell r="AC144" t="str">
            <v>Cra. 24 # 154-106 Centro Médico Ardila Lule Torre B. Piso 12</v>
          </cell>
          <cell r="AD144" t="str">
            <v>Primer Turno</v>
          </cell>
          <cell r="AE144">
            <v>21825</v>
          </cell>
          <cell r="AF144">
            <v>9000</v>
          </cell>
          <cell r="AG144">
            <v>10</v>
          </cell>
          <cell r="AH144">
            <v>17</v>
          </cell>
          <cell r="AI144">
            <v>25000</v>
          </cell>
          <cell r="AJ144">
            <v>22500</v>
          </cell>
          <cell r="AK144">
            <v>-13500</v>
          </cell>
          <cell r="AL144">
            <v>21825</v>
          </cell>
        </row>
        <row r="145">
          <cell r="T145" t="str">
            <v>BUENAHORA RODRIGUEZ INGRID LICED</v>
          </cell>
          <cell r="U145" t="str">
            <v>Calle 201a #20a-18</v>
          </cell>
          <cell r="V145" t="str">
            <v>los principes</v>
          </cell>
          <cell r="W145" t="str">
            <v>CERCANO</v>
          </cell>
          <cell r="X145">
            <v>3186537507</v>
          </cell>
          <cell r="Y145" t="str">
            <v>NORTE</v>
          </cell>
          <cell r="Z145" t="str">
            <v>BUCARAMANGA</v>
          </cell>
          <cell r="AA145" t="str">
            <v>Bucaramanga</v>
          </cell>
          <cell r="AB145" t="str">
            <v>Foscal</v>
          </cell>
          <cell r="AC145" t="str">
            <v>Cra. 24 # 154-106 Centro Médico Ardila Lule Torre B. Piso 12</v>
          </cell>
          <cell r="AD145" t="str">
            <v>Tercer Turno</v>
          </cell>
          <cell r="AE145">
            <v>27160</v>
          </cell>
          <cell r="AF145">
            <v>9000</v>
          </cell>
          <cell r="AG145">
            <v>3</v>
          </cell>
          <cell r="AH145">
            <v>9</v>
          </cell>
          <cell r="AI145">
            <v>15000</v>
          </cell>
          <cell r="AJ145">
            <v>15000</v>
          </cell>
          <cell r="AK145">
            <v>-6000</v>
          </cell>
          <cell r="AL145">
            <v>14550</v>
          </cell>
        </row>
        <row r="146">
          <cell r="T146" t="str">
            <v>CABALLERO CAMARGO ERIKA JOHANNA</v>
          </cell>
          <cell r="U146" t="str">
            <v>Calle 5d # 16_15 (municipio)</v>
          </cell>
          <cell r="V146" t="str">
            <v>san marcos</v>
          </cell>
          <cell r="W146" t="str">
            <v>INTERMUNICIPAL</v>
          </cell>
          <cell r="X146">
            <v>3016775959</v>
          </cell>
          <cell r="Y146" t="str">
            <v>NORTE</v>
          </cell>
          <cell r="Z146" t="str">
            <v>PIEDECUESTA</v>
          </cell>
          <cell r="AA146" t="str">
            <v>Bucaramanga</v>
          </cell>
          <cell r="AB146" t="str">
            <v>Foscal</v>
          </cell>
          <cell r="AC146" t="str">
            <v>Cra. 24 # 154-106 Centro Médico Ardila Lule Torre B. Piso 12</v>
          </cell>
          <cell r="AD146" t="str">
            <v>Tercer Turno</v>
          </cell>
          <cell r="AE146">
            <v>24250</v>
          </cell>
          <cell r="AF146">
            <v>20000</v>
          </cell>
          <cell r="AG146">
            <v>12</v>
          </cell>
          <cell r="AH146">
            <v>17</v>
          </cell>
          <cell r="AI146">
            <v>25000</v>
          </cell>
          <cell r="AJ146">
            <v>25000</v>
          </cell>
          <cell r="AK146">
            <v>-5000</v>
          </cell>
          <cell r="AL146">
            <v>24250</v>
          </cell>
        </row>
        <row r="147">
          <cell r="T147" t="str">
            <v>CALA BLANCO DAYANA ELIZABETH</v>
          </cell>
          <cell r="U147" t="str">
            <v>Carrera 26 # 35a - 96</v>
          </cell>
          <cell r="V147" t="str">
            <v>cañaveral</v>
          </cell>
          <cell r="W147" t="str">
            <v>CERCANO</v>
          </cell>
          <cell r="X147">
            <v>3126033769</v>
          </cell>
          <cell r="Y147" t="str">
            <v>NORTE</v>
          </cell>
          <cell r="Z147" t="str">
            <v>FLORIDABLANCA</v>
          </cell>
          <cell r="AA147" t="str">
            <v>Bucaramanga</v>
          </cell>
          <cell r="AB147" t="str">
            <v>Foscal</v>
          </cell>
          <cell r="AC147" t="str">
            <v>Cra. 24 # 154-106 Centro Médico Ardila Lule Torre B. Piso 12</v>
          </cell>
          <cell r="AD147" t="str">
            <v>Tercer Turno</v>
          </cell>
          <cell r="AE147">
            <v>13095</v>
          </cell>
          <cell r="AF147">
            <v>9000</v>
          </cell>
          <cell r="AG147">
            <v>2</v>
          </cell>
          <cell r="AH147">
            <v>12</v>
          </cell>
          <cell r="AI147">
            <v>15000</v>
          </cell>
          <cell r="AJ147">
            <v>13500</v>
          </cell>
          <cell r="AK147">
            <v>-4500</v>
          </cell>
          <cell r="AL147">
            <v>13095</v>
          </cell>
        </row>
        <row r="148">
          <cell r="T148" t="str">
            <v>CARREÑO GARCIA MIGUEL CAMILO</v>
          </cell>
          <cell r="U148" t="str">
            <v xml:space="preserve">Calle 111 # 34 04 </v>
          </cell>
          <cell r="V148" t="str">
            <v>caldas</v>
          </cell>
          <cell r="W148" t="str">
            <v>CERCANO</v>
          </cell>
          <cell r="X148">
            <v>3105556764</v>
          </cell>
          <cell r="Y148" t="str">
            <v>NORTE</v>
          </cell>
          <cell r="Z148" t="str">
            <v>FLORIDABLANCA</v>
          </cell>
          <cell r="AA148" t="str">
            <v>Bucaramanga</v>
          </cell>
          <cell r="AB148" t="str">
            <v>Foscal</v>
          </cell>
          <cell r="AC148" t="str">
            <v>Cra. 24 # 154-106 Centro Médico Ardila Lule Torre B. Piso 12</v>
          </cell>
          <cell r="AD148" t="str">
            <v>Tercer Turno</v>
          </cell>
          <cell r="AE148">
            <v>13095</v>
          </cell>
          <cell r="AF148">
            <v>9000</v>
          </cell>
          <cell r="AG148">
            <v>4</v>
          </cell>
          <cell r="AH148">
            <v>12</v>
          </cell>
          <cell r="AI148">
            <v>15000</v>
          </cell>
          <cell r="AJ148">
            <v>13500</v>
          </cell>
          <cell r="AK148">
            <v>-4500</v>
          </cell>
          <cell r="AL148">
            <v>13095</v>
          </cell>
        </row>
        <row r="149">
          <cell r="T149" t="str">
            <v>MANCILLA MENDOZA HERLY PATRICIA</v>
          </cell>
          <cell r="U149" t="str">
            <v>Carrera 26 # 35 170</v>
          </cell>
          <cell r="V149" t="str">
            <v>cañaveral</v>
          </cell>
          <cell r="W149" t="str">
            <v>CERCANO</v>
          </cell>
          <cell r="X149">
            <v>3156373765</v>
          </cell>
          <cell r="Y149" t="str">
            <v>NORTE</v>
          </cell>
          <cell r="Z149" t="str">
            <v>FLORIDABLANCA</v>
          </cell>
          <cell r="AA149" t="str">
            <v>Bucaramanga</v>
          </cell>
          <cell r="AB149" t="str">
            <v>Foscal</v>
          </cell>
          <cell r="AC149" t="str">
            <v>Cra. 24 # 154-106 Centro Médico Ardila Lule Torre B. Piso 12</v>
          </cell>
          <cell r="AD149" t="str">
            <v>Tercer Turno</v>
          </cell>
          <cell r="AE149">
            <v>13095</v>
          </cell>
          <cell r="AF149">
            <v>9000</v>
          </cell>
          <cell r="AG149">
            <v>2</v>
          </cell>
          <cell r="AH149">
            <v>12</v>
          </cell>
          <cell r="AI149">
            <v>15000</v>
          </cell>
          <cell r="AJ149">
            <v>13500</v>
          </cell>
          <cell r="AK149">
            <v>-4500</v>
          </cell>
          <cell r="AL149">
            <v>13095</v>
          </cell>
        </row>
        <row r="150">
          <cell r="T150" t="str">
            <v>VELASCO JAIMES ELIANA MARCELA</v>
          </cell>
          <cell r="U150" t="str">
            <v>Carrera 28 # 11-15 (se traslada a otro municipio)</v>
          </cell>
          <cell r="V150" t="str">
            <v>villas de san juan</v>
          </cell>
          <cell r="W150" t="str">
            <v>INTERMUNICIPAL</v>
          </cell>
          <cell r="X150">
            <v>3167836722</v>
          </cell>
          <cell r="Y150" t="str">
            <v>NORTE</v>
          </cell>
          <cell r="Z150" t="str">
            <v>GIRON</v>
          </cell>
          <cell r="AA150" t="str">
            <v>Bucaramanga</v>
          </cell>
          <cell r="AB150" t="str">
            <v>Foscal</v>
          </cell>
          <cell r="AC150" t="str">
            <v>Cra. 24 # 154-106 Centro Médico Ardila Lule Torre B. Piso 12</v>
          </cell>
          <cell r="AD150" t="str">
            <v>Tercer Turno</v>
          </cell>
          <cell r="AE150">
            <v>21825</v>
          </cell>
          <cell r="AF150">
            <v>9000</v>
          </cell>
          <cell r="AG150">
            <v>10</v>
          </cell>
          <cell r="AH150">
            <v>17</v>
          </cell>
          <cell r="AI150">
            <v>25000</v>
          </cell>
          <cell r="AJ150">
            <v>22500</v>
          </cell>
          <cell r="AK150">
            <v>-13500</v>
          </cell>
          <cell r="AL150">
            <v>21825</v>
          </cell>
        </row>
        <row r="151">
          <cell r="T151" t="str">
            <v>MORENO LEIDY YOHANNA</v>
          </cell>
          <cell r="U151" t="str">
            <v>Carrera 21 # 152-30 torre 32 apto 302</v>
          </cell>
          <cell r="V151" t="str">
            <v>san agustin</v>
          </cell>
          <cell r="W151" t="str">
            <v>CERCANO</v>
          </cell>
          <cell r="X151">
            <v>3124698291</v>
          </cell>
          <cell r="Y151" t="str">
            <v>NORTE</v>
          </cell>
          <cell r="Z151" t="str">
            <v>FLORIDABLANCA</v>
          </cell>
          <cell r="AA151" t="str">
            <v>Bucaramanga</v>
          </cell>
          <cell r="AB151" t="str">
            <v>Foscal</v>
          </cell>
          <cell r="AC151" t="str">
            <v>Cra. 24 # 154-106 Centro Médico Ardila Lule Torre B. Piso 12</v>
          </cell>
          <cell r="AD151" t="str">
            <v>Tercer Turno</v>
          </cell>
          <cell r="AE151">
            <v>13095</v>
          </cell>
          <cell r="AF151">
            <v>9000</v>
          </cell>
          <cell r="AG151">
            <v>1</v>
          </cell>
          <cell r="AH151">
            <v>5</v>
          </cell>
          <cell r="AI151">
            <v>15000</v>
          </cell>
          <cell r="AJ151">
            <v>13500</v>
          </cell>
          <cell r="AK151">
            <v>-4500</v>
          </cell>
          <cell r="AL151">
            <v>13095</v>
          </cell>
        </row>
        <row r="152">
          <cell r="T152" t="str">
            <v>RIVERA ALBARRACIN WILLIAM</v>
          </cell>
          <cell r="U152" t="str">
            <v xml:space="preserve">Carrera 14 b # 58-157 </v>
          </cell>
          <cell r="V152" t="str">
            <v>el reposo</v>
          </cell>
          <cell r="W152" t="str">
            <v>CERCANO</v>
          </cell>
          <cell r="X152">
            <v>3212075665</v>
          </cell>
          <cell r="Y152" t="str">
            <v>NORTE</v>
          </cell>
          <cell r="Z152" t="str">
            <v>FLORIDABLANCA</v>
          </cell>
          <cell r="AA152" t="str">
            <v>Bucaramanga</v>
          </cell>
          <cell r="AB152" t="str">
            <v>Foscal</v>
          </cell>
          <cell r="AC152" t="str">
            <v>Cra. 24 # 154-106 Centro Médico Ardila Lule Torre B. Piso 12</v>
          </cell>
          <cell r="AD152" t="str">
            <v>Tercer Turno</v>
          </cell>
          <cell r="AE152">
            <v>13095</v>
          </cell>
          <cell r="AF152">
            <v>20000</v>
          </cell>
          <cell r="AG152">
            <v>6</v>
          </cell>
          <cell r="AH152">
            <v>18</v>
          </cell>
          <cell r="AI152">
            <v>15000</v>
          </cell>
          <cell r="AJ152">
            <v>13500</v>
          </cell>
          <cell r="AK152">
            <v>6500</v>
          </cell>
          <cell r="AL152">
            <v>13095</v>
          </cell>
        </row>
        <row r="153">
          <cell r="T153" t="str">
            <v>ROJAS RIVERO LEIDY SUSANA</v>
          </cell>
          <cell r="U153" t="str">
            <v>Calle  17 # 13 - 73</v>
          </cell>
          <cell r="V153" t="str">
            <v>ciudad valencia</v>
          </cell>
          <cell r="W153" t="str">
            <v>CERCANO</v>
          </cell>
          <cell r="X153">
            <v>3108764433</v>
          </cell>
          <cell r="Y153" t="str">
            <v>NORTE</v>
          </cell>
          <cell r="Z153" t="str">
            <v>FLORIDABLANCA</v>
          </cell>
          <cell r="AA153" t="str">
            <v>Bucaramanga</v>
          </cell>
          <cell r="AB153" t="str">
            <v>Foscal</v>
          </cell>
          <cell r="AC153" t="str">
            <v>Cra. 24 # 154-106 Centro Médico Ardila Lule Torre B. Piso 12</v>
          </cell>
          <cell r="AD153" t="str">
            <v>Tercer Turno</v>
          </cell>
          <cell r="AE153">
            <v>13095</v>
          </cell>
          <cell r="AF153">
            <v>9000</v>
          </cell>
          <cell r="AG153">
            <v>2</v>
          </cell>
          <cell r="AH153">
            <v>9</v>
          </cell>
          <cell r="AI153">
            <v>15000</v>
          </cell>
          <cell r="AJ153">
            <v>13500</v>
          </cell>
          <cell r="AK153">
            <v>-4500</v>
          </cell>
          <cell r="AL153">
            <v>13095</v>
          </cell>
        </row>
        <row r="154">
          <cell r="T154" t="str">
            <v>RUIZ MENESES ADRIANA MARCELA</v>
          </cell>
          <cell r="U154" t="str">
            <v>anillo vial # 21 -462 conjunto caminos de providencia (Se traslada a Municipio)</v>
          </cell>
          <cell r="V154" t="str">
            <v>reserva cañaveral</v>
          </cell>
          <cell r="W154" t="str">
            <v>CERCANO</v>
          </cell>
          <cell r="X154">
            <v>3156716035</v>
          </cell>
          <cell r="Y154" t="str">
            <v>NORTE</v>
          </cell>
          <cell r="Z154" t="str">
            <v>FLORIDABLANCA</v>
          </cell>
          <cell r="AA154" t="str">
            <v>Bucaramanga</v>
          </cell>
          <cell r="AB154" t="str">
            <v>Foscal</v>
          </cell>
          <cell r="AC154" t="str">
            <v>Cra. 24 # 154-106 Centro Médico Ardila Lule Torre B. Piso 12</v>
          </cell>
          <cell r="AD154" t="str">
            <v>Tercer Turno</v>
          </cell>
          <cell r="AE154">
            <v>13095</v>
          </cell>
          <cell r="AF154">
            <v>9000</v>
          </cell>
          <cell r="AG154">
            <v>2</v>
          </cell>
          <cell r="AH154">
            <v>8</v>
          </cell>
          <cell r="AI154">
            <v>15000</v>
          </cell>
          <cell r="AJ154">
            <v>13500</v>
          </cell>
          <cell r="AK154">
            <v>-4500</v>
          </cell>
          <cell r="AL154">
            <v>13095</v>
          </cell>
        </row>
        <row r="155">
          <cell r="T155" t="str">
            <v xml:space="preserve">Henry De Avila </v>
          </cell>
          <cell r="U155" t="str">
            <v xml:space="preserve">Balcones de Casaloma Mz D casa 2 </v>
          </cell>
          <cell r="V155" t="str">
            <v>Balcones de Casaloma</v>
          </cell>
          <cell r="W155" t="str">
            <v>CERCANO</v>
          </cell>
          <cell r="X155">
            <v>3125313069</v>
          </cell>
          <cell r="Y155" t="str">
            <v>CENTRO</v>
          </cell>
          <cell r="Z155"/>
          <cell r="AA155" t="str">
            <v>Girardot</v>
          </cell>
          <cell r="AB155" t="str">
            <v>Girardot</v>
          </cell>
          <cell r="AC155" t="str">
            <v>Cra. 7 A # 31 - 54 Barrio La Magdalena</v>
          </cell>
          <cell r="AD155" t="str">
            <v>Cuarto Turno</v>
          </cell>
          <cell r="AE155">
            <v>13095</v>
          </cell>
          <cell r="AF155">
            <v>9000</v>
          </cell>
          <cell r="AG155" t="str">
            <v>3.7 km</v>
          </cell>
          <cell r="AH155" t="str">
            <v>10 min</v>
          </cell>
          <cell r="AI155">
            <v>15000</v>
          </cell>
          <cell r="AJ155">
            <v>13500</v>
          </cell>
          <cell r="AK155">
            <v>-4500</v>
          </cell>
          <cell r="AL155">
            <v>13095</v>
          </cell>
        </row>
        <row r="156">
          <cell r="T156" t="str">
            <v xml:space="preserve">Jhon Lozano </v>
          </cell>
          <cell r="U156" t="str">
            <v xml:space="preserve">Cra 9C No. 1b-36 la ceiba </v>
          </cell>
          <cell r="V156" t="str">
            <v>La Ceiba</v>
          </cell>
          <cell r="W156" t="str">
            <v>CERCANO</v>
          </cell>
          <cell r="X156">
            <v>3112737846</v>
          </cell>
          <cell r="Y156" t="str">
            <v>CENTRO</v>
          </cell>
          <cell r="Z156"/>
          <cell r="AA156" t="str">
            <v>Girardot</v>
          </cell>
          <cell r="AB156" t="str">
            <v>Girardot</v>
          </cell>
          <cell r="AC156" t="str">
            <v>Cra. 7 A # 31 - 54 Barrio La Magdalena</v>
          </cell>
          <cell r="AD156" t="str">
            <v>Cuarto Turno</v>
          </cell>
          <cell r="AE156">
            <v>13095</v>
          </cell>
          <cell r="AF156">
            <v>9000</v>
          </cell>
          <cell r="AG156" t="str">
            <v xml:space="preserve">3.5 km </v>
          </cell>
          <cell r="AH156" t="str">
            <v>9 min</v>
          </cell>
          <cell r="AI156">
            <v>15000</v>
          </cell>
          <cell r="AJ156">
            <v>13500</v>
          </cell>
          <cell r="AK156">
            <v>-4500</v>
          </cell>
          <cell r="AL156">
            <v>13095</v>
          </cell>
        </row>
        <row r="157">
          <cell r="T157" t="str">
            <v xml:space="preserve">Ana Victoria Bermudez </v>
          </cell>
          <cell r="U157" t="str">
            <v xml:space="preserve">Acualina Orange Torre 2 Ato 102 </v>
          </cell>
          <cell r="V157" t="str">
            <v>Acualina Orange</v>
          </cell>
          <cell r="W157" t="str">
            <v>CERCANO</v>
          </cell>
          <cell r="X157">
            <v>3202543859</v>
          </cell>
          <cell r="Y157" t="str">
            <v>CENTRO</v>
          </cell>
          <cell r="Z157"/>
          <cell r="AA157" t="str">
            <v>Girardot</v>
          </cell>
          <cell r="AB157" t="str">
            <v>Girardot</v>
          </cell>
          <cell r="AC157" t="str">
            <v>Cra. 7 A # 31 - 54 Barrio La Magdalena</v>
          </cell>
          <cell r="AD157" t="str">
            <v>Cuarto Turno</v>
          </cell>
          <cell r="AE157">
            <v>13095</v>
          </cell>
          <cell r="AF157">
            <v>9000</v>
          </cell>
          <cell r="AG157" t="str">
            <v>700 metros</v>
          </cell>
          <cell r="AH157" t="str">
            <v>2 min</v>
          </cell>
          <cell r="AI157">
            <v>15000</v>
          </cell>
          <cell r="AJ157">
            <v>13500</v>
          </cell>
          <cell r="AK157">
            <v>-4500</v>
          </cell>
          <cell r="AL157">
            <v>13095</v>
          </cell>
        </row>
        <row r="158">
          <cell r="T158" t="str">
            <v xml:space="preserve">Ana Cecilia Prada Peralta </v>
          </cell>
          <cell r="U158" t="str">
            <v>Mz 60 casa 17 B/ Kennedy</v>
          </cell>
          <cell r="V158" t="str">
            <v>Kenedy</v>
          </cell>
          <cell r="W158" t="str">
            <v>CERCANO</v>
          </cell>
          <cell r="X158">
            <v>3142289561</v>
          </cell>
          <cell r="Y158" t="str">
            <v>CENTRO</v>
          </cell>
          <cell r="Z158"/>
          <cell r="AA158" t="str">
            <v>Girardot</v>
          </cell>
          <cell r="AB158" t="str">
            <v>Girardot</v>
          </cell>
          <cell r="AC158" t="str">
            <v>Cra. 7 A # 31 - 54 Barrio La Magdalena</v>
          </cell>
          <cell r="AD158" t="str">
            <v>Cuarto Turno</v>
          </cell>
          <cell r="AE158">
            <v>13095</v>
          </cell>
          <cell r="AF158">
            <v>9000</v>
          </cell>
          <cell r="AG158" t="str">
            <v>2.6 km</v>
          </cell>
          <cell r="AH158" t="str">
            <v>7 min</v>
          </cell>
          <cell r="AI158">
            <v>15000</v>
          </cell>
          <cell r="AJ158">
            <v>13500</v>
          </cell>
          <cell r="AK158">
            <v>-4500</v>
          </cell>
          <cell r="AL158">
            <v>13095</v>
          </cell>
        </row>
        <row r="159">
          <cell r="T159" t="str">
            <v>Ana Cecilia Prada Peralta (Maritza Parra)</v>
          </cell>
          <cell r="U159" t="str">
            <v xml:space="preserve">Mz F casa 43 Urbanización Bosquez de Viscaya </v>
          </cell>
          <cell r="V159" t="str">
            <v>Bosques de Viscaya</v>
          </cell>
          <cell r="W159" t="str">
            <v>CERCANO</v>
          </cell>
          <cell r="X159">
            <v>3102808463</v>
          </cell>
          <cell r="Y159" t="str">
            <v>CENTRO</v>
          </cell>
          <cell r="Z159"/>
          <cell r="AA159" t="str">
            <v>Girardot</v>
          </cell>
          <cell r="AB159" t="str">
            <v>Girardot</v>
          </cell>
          <cell r="AC159" t="str">
            <v>Cra. 7 A # 31 - 54 Barrio La Magdalena</v>
          </cell>
          <cell r="AD159" t="str">
            <v>Cuarto Turno</v>
          </cell>
          <cell r="AE159">
            <v>13095</v>
          </cell>
          <cell r="AF159">
            <v>9000</v>
          </cell>
          <cell r="AG159" t="str">
            <v>1.9 km</v>
          </cell>
          <cell r="AH159" t="str">
            <v>6 min</v>
          </cell>
          <cell r="AI159">
            <v>15000</v>
          </cell>
          <cell r="AJ159">
            <v>13500</v>
          </cell>
          <cell r="AK159">
            <v>-4500</v>
          </cell>
          <cell r="AL159">
            <v>13095</v>
          </cell>
        </row>
        <row r="160">
          <cell r="T160" t="str">
            <v xml:space="preserve">Roberto Carlos Cotes </v>
          </cell>
          <cell r="U160" t="str">
            <v xml:space="preserve">Cra 10 No. 33-07 B/ Rosa Blanca </v>
          </cell>
          <cell r="V160" t="str">
            <v>Rosa Blanca</v>
          </cell>
          <cell r="W160" t="str">
            <v>CERCANO</v>
          </cell>
          <cell r="X160">
            <v>3223082766</v>
          </cell>
          <cell r="Y160" t="str">
            <v>CENTRO</v>
          </cell>
          <cell r="Z160"/>
          <cell r="AA160" t="str">
            <v>Girardot</v>
          </cell>
          <cell r="AB160" t="str">
            <v>Girardot</v>
          </cell>
          <cell r="AC160" t="str">
            <v>Cra. 7 A # 31 - 54 Barrio La Magdalena</v>
          </cell>
          <cell r="AD160" t="str">
            <v>Primer Turno</v>
          </cell>
          <cell r="AE160">
            <v>13095</v>
          </cell>
          <cell r="AF160">
            <v>9000</v>
          </cell>
          <cell r="AG160" t="str">
            <v>1.1 km</v>
          </cell>
          <cell r="AH160" t="str">
            <v>4 min</v>
          </cell>
          <cell r="AI160">
            <v>15000</v>
          </cell>
          <cell r="AJ160">
            <v>13500</v>
          </cell>
          <cell r="AK160">
            <v>-4500</v>
          </cell>
          <cell r="AL160">
            <v>13095</v>
          </cell>
        </row>
        <row r="161">
          <cell r="T161" t="str">
            <v xml:space="preserve">Ana Maria Rios Bernal </v>
          </cell>
          <cell r="U161" t="str">
            <v xml:space="preserve">Etapa 35B casa 43 Bello Horizonte </v>
          </cell>
          <cell r="V161" t="str">
            <v>Bello Horizonte</v>
          </cell>
          <cell r="W161" t="str">
            <v>CERCANO</v>
          </cell>
          <cell r="X161">
            <v>3176392979</v>
          </cell>
          <cell r="Y161" t="str">
            <v>CENTRO</v>
          </cell>
          <cell r="Z161"/>
          <cell r="AA161" t="str">
            <v>Girardot</v>
          </cell>
          <cell r="AB161" t="str">
            <v>Girardot</v>
          </cell>
          <cell r="AC161" t="str">
            <v>Cra. 7 A # 31 - 54 Barrio La Magdalena</v>
          </cell>
          <cell r="AD161" t="str">
            <v>Primer Turno</v>
          </cell>
          <cell r="AE161">
            <v>13095</v>
          </cell>
          <cell r="AF161">
            <v>9000</v>
          </cell>
          <cell r="AG161" t="str">
            <v>1.7 km</v>
          </cell>
          <cell r="AH161" t="str">
            <v>5 min</v>
          </cell>
          <cell r="AI161">
            <v>15000</v>
          </cell>
          <cell r="AJ161">
            <v>13500</v>
          </cell>
          <cell r="AK161">
            <v>-4500</v>
          </cell>
          <cell r="AL161">
            <v>13095</v>
          </cell>
        </row>
        <row r="162">
          <cell r="T162" t="str">
            <v xml:space="preserve">Javier Mora </v>
          </cell>
          <cell r="U162" t="str">
            <v xml:space="preserve">Tranv 23 No. 7a-47 B/ la colina </v>
          </cell>
          <cell r="V162" t="str">
            <v>La Colina</v>
          </cell>
          <cell r="W162" t="str">
            <v>CERCANO</v>
          </cell>
          <cell r="X162">
            <v>3138557901</v>
          </cell>
          <cell r="Y162" t="str">
            <v>CENTRO</v>
          </cell>
          <cell r="Z162"/>
          <cell r="AA162" t="str">
            <v>Girardot</v>
          </cell>
          <cell r="AB162" t="str">
            <v>Girardot</v>
          </cell>
          <cell r="AC162" t="str">
            <v>Cra. 7 A # 31 - 54 Barrio La Magdalena</v>
          </cell>
          <cell r="AD162" t="str">
            <v>Primer Turno</v>
          </cell>
          <cell r="AE162">
            <v>13095</v>
          </cell>
          <cell r="AF162">
            <v>9000</v>
          </cell>
          <cell r="AG162" t="str">
            <v>3.7 km</v>
          </cell>
          <cell r="AH162" t="str">
            <v>10 min</v>
          </cell>
          <cell r="AI162">
            <v>15000</v>
          </cell>
          <cell r="AJ162">
            <v>13500</v>
          </cell>
          <cell r="AK162">
            <v>-4500</v>
          </cell>
          <cell r="AL162">
            <v>13095</v>
          </cell>
        </row>
        <row r="163">
          <cell r="T163" t="str">
            <v xml:space="preserve">Miguel Morales </v>
          </cell>
          <cell r="U163" t="str">
            <v xml:space="preserve">Cra 9a # 35-04 la paz flandes </v>
          </cell>
          <cell r="V163" t="str">
            <v>La Paz</v>
          </cell>
          <cell r="W163" t="str">
            <v>CERCANO</v>
          </cell>
          <cell r="X163">
            <v>3213902923</v>
          </cell>
          <cell r="Y163" t="str">
            <v>CENTRO</v>
          </cell>
          <cell r="Z163"/>
          <cell r="AA163" t="str">
            <v>Girardot</v>
          </cell>
          <cell r="AB163" t="str">
            <v>Girardot</v>
          </cell>
          <cell r="AC163" t="str">
            <v>Cra. 7 A # 31 - 54 Barrio La Magdalena</v>
          </cell>
          <cell r="AD163" t="str">
            <v>Primer Turno</v>
          </cell>
          <cell r="AE163">
            <v>13095</v>
          </cell>
          <cell r="AF163">
            <v>9000</v>
          </cell>
          <cell r="AG163" t="str">
            <v>4.2 km</v>
          </cell>
          <cell r="AH163" t="str">
            <v>10 min</v>
          </cell>
          <cell r="AI163">
            <v>15000</v>
          </cell>
          <cell r="AJ163">
            <v>13500</v>
          </cell>
          <cell r="AK163">
            <v>-4500</v>
          </cell>
          <cell r="AL163">
            <v>13095</v>
          </cell>
        </row>
        <row r="164">
          <cell r="T164" t="str">
            <v xml:space="preserve">Carolina Sanchez </v>
          </cell>
          <cell r="U164" t="str">
            <v>mz 5 casa 13c B/ Hacienda Girardot etapa II</v>
          </cell>
          <cell r="V164" t="str">
            <v>La Esperanza</v>
          </cell>
          <cell r="W164" t="str">
            <v>CERCANO</v>
          </cell>
          <cell r="X164">
            <v>3152913033</v>
          </cell>
          <cell r="Y164" t="str">
            <v>CENTRO</v>
          </cell>
          <cell r="Z164"/>
          <cell r="AA164" t="str">
            <v>Girardot</v>
          </cell>
          <cell r="AB164" t="str">
            <v>Girardot</v>
          </cell>
          <cell r="AC164" t="str">
            <v>Cra. 7 A # 31 - 54 Barrio La Magdalena</v>
          </cell>
          <cell r="AD164" t="str">
            <v>Primer Turno</v>
          </cell>
          <cell r="AE164">
            <v>13095</v>
          </cell>
          <cell r="AF164">
            <v>9000</v>
          </cell>
          <cell r="AG164" t="str">
            <v>4.6 km</v>
          </cell>
          <cell r="AH164" t="str">
            <v>11 min</v>
          </cell>
          <cell r="AI164">
            <v>15000</v>
          </cell>
          <cell r="AJ164">
            <v>13500</v>
          </cell>
          <cell r="AK164">
            <v>-4500</v>
          </cell>
          <cell r="AL164">
            <v>13095</v>
          </cell>
        </row>
        <row r="165">
          <cell r="T165" t="str">
            <v xml:space="preserve">Blanca Rivera </v>
          </cell>
          <cell r="U165" t="str">
            <v xml:space="preserve">Mz 30 casa 2 altos del peñon </v>
          </cell>
          <cell r="V165" t="str">
            <v>Altos del Peñon</v>
          </cell>
          <cell r="W165" t="str">
            <v>CERCANO</v>
          </cell>
          <cell r="X165">
            <v>3118567058</v>
          </cell>
          <cell r="Y165" t="str">
            <v>CENTRO</v>
          </cell>
          <cell r="Z165"/>
          <cell r="AA165" t="str">
            <v>Girardot</v>
          </cell>
          <cell r="AB165" t="str">
            <v>Girardot</v>
          </cell>
          <cell r="AC165" t="str">
            <v>Cra. 7 A # 31 - 54 Barrio La Magdalena</v>
          </cell>
          <cell r="AD165" t="str">
            <v>Primer Turno</v>
          </cell>
          <cell r="AE165">
            <v>13095</v>
          </cell>
          <cell r="AF165">
            <v>9000</v>
          </cell>
          <cell r="AG165" t="str">
            <v>2.6 km</v>
          </cell>
          <cell r="AH165" t="str">
            <v>8 min</v>
          </cell>
          <cell r="AI165">
            <v>15000</v>
          </cell>
          <cell r="AJ165">
            <v>13500</v>
          </cell>
          <cell r="AK165">
            <v>-4500</v>
          </cell>
          <cell r="AL165">
            <v>13095</v>
          </cell>
        </row>
        <row r="166">
          <cell r="T166" t="str">
            <v xml:space="preserve">Ruben Rojas </v>
          </cell>
          <cell r="U166" t="str">
            <v xml:space="preserve">Tranv 9 con calle 35 casa #13 B/ Los Naranjos </v>
          </cell>
          <cell r="V166" t="str">
            <v>Los Naranjos</v>
          </cell>
          <cell r="W166" t="str">
            <v>CERCANO</v>
          </cell>
          <cell r="X166">
            <v>3015234473</v>
          </cell>
          <cell r="Y166" t="str">
            <v>CENTRO</v>
          </cell>
          <cell r="Z166"/>
          <cell r="AA166" t="str">
            <v>Girardot</v>
          </cell>
          <cell r="AB166" t="str">
            <v>Girardot</v>
          </cell>
          <cell r="AC166" t="str">
            <v>Cra. 7 A # 31 - 54 Barrio La Magdalena</v>
          </cell>
          <cell r="AD166" t="str">
            <v>Primer Turno</v>
          </cell>
          <cell r="AE166">
            <v>13095</v>
          </cell>
          <cell r="AF166">
            <v>9000</v>
          </cell>
          <cell r="AG166" t="str">
            <v>1.7 km</v>
          </cell>
          <cell r="AH166" t="str">
            <v>5 min</v>
          </cell>
          <cell r="AI166">
            <v>15000</v>
          </cell>
          <cell r="AJ166">
            <v>13500</v>
          </cell>
          <cell r="AK166">
            <v>-4500</v>
          </cell>
          <cell r="AL166">
            <v>13095</v>
          </cell>
        </row>
        <row r="167">
          <cell r="T167" t="str">
            <v xml:space="preserve">Evelin Trujillo </v>
          </cell>
          <cell r="U167" t="str">
            <v xml:space="preserve">Mz E casa 16 bosuqe del viscaya </v>
          </cell>
          <cell r="V167" t="str">
            <v>Bosques de Viscaya</v>
          </cell>
          <cell r="W167" t="str">
            <v>CERCANO</v>
          </cell>
          <cell r="X167">
            <v>3116566561</v>
          </cell>
          <cell r="Y167" t="str">
            <v>CENTRO</v>
          </cell>
          <cell r="Z167"/>
          <cell r="AA167" t="str">
            <v>Girardot</v>
          </cell>
          <cell r="AB167" t="str">
            <v>Girardot</v>
          </cell>
          <cell r="AC167" t="str">
            <v>Cra. 7 A # 31 - 54 Barrio La Magdalena</v>
          </cell>
          <cell r="AD167" t="str">
            <v>Tercer Turno</v>
          </cell>
          <cell r="AE167">
            <v>13095</v>
          </cell>
          <cell r="AF167">
            <v>9000</v>
          </cell>
          <cell r="AG167" t="str">
            <v>1.9 km</v>
          </cell>
          <cell r="AH167" t="str">
            <v>6 min</v>
          </cell>
          <cell r="AI167">
            <v>15000</v>
          </cell>
          <cell r="AJ167">
            <v>13500</v>
          </cell>
          <cell r="AK167">
            <v>-4500</v>
          </cell>
          <cell r="AL167">
            <v>13095</v>
          </cell>
        </row>
        <row r="168">
          <cell r="T168" t="str">
            <v xml:space="preserve">Mercedes Bocanegra </v>
          </cell>
          <cell r="U168" t="str">
            <v xml:space="preserve">Tranv 9 # 44-27 B/ Portachuelo Condominio Atlantis </v>
          </cell>
          <cell r="V168" t="str">
            <v>Portachuelo</v>
          </cell>
          <cell r="W168" t="str">
            <v>CERCANO</v>
          </cell>
          <cell r="X168">
            <v>3204659738</v>
          </cell>
          <cell r="Y168" t="str">
            <v>CENTRO</v>
          </cell>
          <cell r="Z168"/>
          <cell r="AA168" t="str">
            <v>Girardot</v>
          </cell>
          <cell r="AB168" t="str">
            <v>Girardot</v>
          </cell>
          <cell r="AC168" t="str">
            <v>Cra. 7 A # 31 - 54 Barrio La Magdalena</v>
          </cell>
          <cell r="AD168" t="str">
            <v>Tercer Turno</v>
          </cell>
          <cell r="AE168">
            <v>13095</v>
          </cell>
          <cell r="AF168">
            <v>9000</v>
          </cell>
          <cell r="AG168" t="str">
            <v>1.8 km</v>
          </cell>
          <cell r="AH168" t="str">
            <v>5 min</v>
          </cell>
          <cell r="AI168">
            <v>15000</v>
          </cell>
          <cell r="AJ168">
            <v>13500</v>
          </cell>
          <cell r="AK168">
            <v>-4500</v>
          </cell>
          <cell r="AL168">
            <v>13095</v>
          </cell>
        </row>
        <row r="169">
          <cell r="T169" t="str">
            <v xml:space="preserve">Lina Torres </v>
          </cell>
          <cell r="U169" t="str">
            <v xml:space="preserve">Mz G1 casa 23 Cenderos de la acacias </v>
          </cell>
          <cell r="V169" t="str">
            <v>Cenderos de la Acacias</v>
          </cell>
          <cell r="W169" t="str">
            <v>CERCANO</v>
          </cell>
          <cell r="X169">
            <v>3006300606</v>
          </cell>
          <cell r="Y169" t="str">
            <v>CENTRO</v>
          </cell>
          <cell r="Z169"/>
          <cell r="AA169" t="str">
            <v>Girardot</v>
          </cell>
          <cell r="AB169" t="str">
            <v>Girardot</v>
          </cell>
          <cell r="AC169" t="str">
            <v>Cra. 7 A # 31 - 54 Barrio La Magdalena</v>
          </cell>
          <cell r="AD169" t="str">
            <v>Tercer Turno</v>
          </cell>
          <cell r="AE169">
            <v>13095</v>
          </cell>
          <cell r="AF169">
            <v>9000</v>
          </cell>
          <cell r="AG169" t="str">
            <v>1.9 km</v>
          </cell>
          <cell r="AH169" t="str">
            <v>6 min</v>
          </cell>
          <cell r="AI169">
            <v>15000</v>
          </cell>
          <cell r="AJ169">
            <v>13500</v>
          </cell>
          <cell r="AK169">
            <v>-4500</v>
          </cell>
          <cell r="AL169">
            <v>13095</v>
          </cell>
        </row>
        <row r="170">
          <cell r="T170" t="str">
            <v xml:space="preserve">Maria Del Carmen Sanchez </v>
          </cell>
          <cell r="U170" t="str">
            <v xml:space="preserve">Mz 30 casa 27 B/ Quintas de Flandes </v>
          </cell>
          <cell r="V170" t="str">
            <v>Quintas</v>
          </cell>
          <cell r="W170" t="str">
            <v>CERCANO</v>
          </cell>
          <cell r="X170">
            <v>3213600392</v>
          </cell>
          <cell r="Y170" t="str">
            <v>CENTRO</v>
          </cell>
          <cell r="Z170"/>
          <cell r="AA170" t="str">
            <v>Girardot</v>
          </cell>
          <cell r="AB170" t="str">
            <v>Girardot</v>
          </cell>
          <cell r="AC170" t="str">
            <v>Cra. 7 A # 31 - 54 Barrio La Magdalena</v>
          </cell>
          <cell r="AD170" t="str">
            <v>Tercer Turno</v>
          </cell>
          <cell r="AE170">
            <v>13095</v>
          </cell>
          <cell r="AF170">
            <v>9000</v>
          </cell>
          <cell r="AG170" t="str">
            <v>4.2 km</v>
          </cell>
          <cell r="AH170" t="str">
            <v>10 min</v>
          </cell>
          <cell r="AI170">
            <v>15000</v>
          </cell>
          <cell r="AJ170">
            <v>13500</v>
          </cell>
          <cell r="AK170">
            <v>-4500</v>
          </cell>
          <cell r="AL170">
            <v>13095</v>
          </cell>
        </row>
        <row r="171">
          <cell r="T171" t="str">
            <v>Olga Lucia Pachon</v>
          </cell>
          <cell r="U171" t="str">
            <v xml:space="preserve">Cra 92 # 73 a -49 </v>
          </cell>
          <cell r="V171" t="str">
            <v>SANTA ROSITA</v>
          </cell>
          <cell r="W171" t="str">
            <v>LEJANO</v>
          </cell>
          <cell r="X171">
            <v>3053957658</v>
          </cell>
          <cell r="Y171" t="str">
            <v>CENTRO</v>
          </cell>
          <cell r="Z171" t="str">
            <v>SANTA ROSITA</v>
          </cell>
          <cell r="AA171" t="str">
            <v>Bogota</v>
          </cell>
          <cell r="AB171" t="str">
            <v>Horizonte</v>
          </cell>
          <cell r="AC171" t="str">
            <v>Av. Cll 134 # 7b- 83 Edificio el Bosque piso 2 Consultorio 2018</v>
          </cell>
          <cell r="AD171" t="str">
            <v>Primer Turno</v>
          </cell>
          <cell r="AE171">
            <v>17460</v>
          </cell>
          <cell r="AF171">
            <v>12000</v>
          </cell>
          <cell r="AG171">
            <v>14</v>
          </cell>
          <cell r="AH171">
            <v>27</v>
          </cell>
          <cell r="AI171">
            <v>20000</v>
          </cell>
          <cell r="AJ171">
            <v>18000</v>
          </cell>
          <cell r="AK171">
            <v>-6000</v>
          </cell>
          <cell r="AL171">
            <v>17460</v>
          </cell>
        </row>
        <row r="172">
          <cell r="T172" t="str">
            <v>Matha Niño</v>
          </cell>
          <cell r="U172" t="str">
            <v>Calle 146 # 7f -45</v>
          </cell>
          <cell r="V172" t="str">
            <v>cedritos</v>
          </cell>
          <cell r="W172" t="str">
            <v>CERCANO</v>
          </cell>
          <cell r="X172">
            <v>3115807186</v>
          </cell>
          <cell r="Y172" t="str">
            <v>CENTRO</v>
          </cell>
          <cell r="Z172" t="str">
            <v>cedritos</v>
          </cell>
          <cell r="AA172" t="str">
            <v>Bogota</v>
          </cell>
          <cell r="AB172" t="str">
            <v>Horizonte</v>
          </cell>
          <cell r="AC172" t="str">
            <v>Av. Cll 134 # 7b- 83 Edificio el Bosque piso 2 Consultorio 2018</v>
          </cell>
          <cell r="AD172" t="str">
            <v>Tercer Turno</v>
          </cell>
          <cell r="AE172">
            <v>17460</v>
          </cell>
          <cell r="AF172">
            <v>8000</v>
          </cell>
          <cell r="AG172">
            <v>18</v>
          </cell>
          <cell r="AH172">
            <v>25</v>
          </cell>
          <cell r="AI172">
            <v>20000</v>
          </cell>
          <cell r="AJ172">
            <v>18000</v>
          </cell>
          <cell r="AK172">
            <v>-10000</v>
          </cell>
          <cell r="AL172">
            <v>17460</v>
          </cell>
        </row>
        <row r="173">
          <cell r="T173" t="str">
            <v xml:space="preserve">Jairo Torres </v>
          </cell>
          <cell r="U173" t="str">
            <v xml:space="preserve">Cra.52 a #39-09 Barrio Ensenillas Rionegro </v>
          </cell>
          <cell r="V173" t="str">
            <v>Ensenillas</v>
          </cell>
          <cell r="W173" t="str">
            <v>Intermunicipal</v>
          </cell>
          <cell r="X173">
            <v>3185561883</v>
          </cell>
          <cell r="Y173" t="str">
            <v>SUROCCIDENTE</v>
          </cell>
          <cell r="Z173"/>
          <cell r="AA173" t="str">
            <v>Medellin</v>
          </cell>
          <cell r="AB173" t="str">
            <v>Hosp. San Vicente de Paúl</v>
          </cell>
          <cell r="AC173" t="str">
            <v>Cll. 64 # 51 D - 70 HSVP</v>
          </cell>
          <cell r="AD173" t="str">
            <v>Cuarto Turno</v>
          </cell>
          <cell r="AE173">
            <v>48015</v>
          </cell>
          <cell r="AF173">
            <v>30000</v>
          </cell>
          <cell r="AG173" t="str">
            <v>40 km</v>
          </cell>
          <cell r="AH173" t="str">
            <v>50 min</v>
          </cell>
          <cell r="AI173">
            <v>55000</v>
          </cell>
          <cell r="AJ173">
            <v>49500</v>
          </cell>
          <cell r="AK173">
            <v>-19500</v>
          </cell>
          <cell r="AL173">
            <v>48015</v>
          </cell>
        </row>
        <row r="174">
          <cell r="T174" t="str">
            <v xml:space="preserve">Gloria Mosquera </v>
          </cell>
          <cell r="U174" t="str">
            <v xml:space="preserve">Cra.70c #94a -20 Robledo </v>
          </cell>
          <cell r="V174" t="str">
            <v>BARRIO ROBLEDO PARTE ALTA COMUNA 7</v>
          </cell>
          <cell r="W174" t="str">
            <v>ORDEN PUBLICO</v>
          </cell>
          <cell r="X174">
            <v>3024370223</v>
          </cell>
          <cell r="Y174" t="str">
            <v>SUROCCIDENTE</v>
          </cell>
          <cell r="Z174"/>
          <cell r="AA174" t="str">
            <v>Medellin</v>
          </cell>
          <cell r="AB174" t="str">
            <v>Hosp. San Vicente de Paúl</v>
          </cell>
          <cell r="AC174" t="str">
            <v>Cll. 64 # 51 D - 70 HSVP</v>
          </cell>
          <cell r="AD174" t="str">
            <v>Cuarto Turno</v>
          </cell>
          <cell r="AE174">
            <v>17460</v>
          </cell>
          <cell r="AF174">
            <v>13000</v>
          </cell>
          <cell r="AG174" t="str">
            <v>6 km</v>
          </cell>
          <cell r="AH174" t="str">
            <v>15 MIN</v>
          </cell>
          <cell r="AI174">
            <v>20000</v>
          </cell>
          <cell r="AJ174">
            <v>18000</v>
          </cell>
          <cell r="AK174">
            <v>-5000</v>
          </cell>
          <cell r="AL174">
            <v>17460</v>
          </cell>
        </row>
        <row r="175">
          <cell r="T175" t="str">
            <v xml:space="preserve">Merly Sulbaran </v>
          </cell>
          <cell r="U175" t="str">
            <v xml:space="preserve">Cll56n #41-99 edificio Bolivia Plaza 2 en frente de la universidad Maria Cano </v>
          </cell>
          <cell r="V175" t="str">
            <v>BARRIO PRADO CENTRO</v>
          </cell>
          <cell r="W175" t="str">
            <v>CERCANO</v>
          </cell>
          <cell r="X175">
            <v>3145868900</v>
          </cell>
          <cell r="Y175" t="str">
            <v>SUROCCIDENTE</v>
          </cell>
          <cell r="Z175"/>
          <cell r="AA175" t="str">
            <v>Medellin</v>
          </cell>
          <cell r="AB175" t="str">
            <v>Hosp. San Vicente de Paúl</v>
          </cell>
          <cell r="AC175" t="str">
            <v>Cll. 64 # 51 D - 70 HSVP</v>
          </cell>
          <cell r="AD175" t="str">
            <v>Cuarto Turno</v>
          </cell>
          <cell r="AE175">
            <v>13095</v>
          </cell>
          <cell r="AF175">
            <v>9000</v>
          </cell>
          <cell r="AG175" t="str">
            <v>4 km</v>
          </cell>
          <cell r="AH175" t="str">
            <v>10 min</v>
          </cell>
          <cell r="AI175">
            <v>15000</v>
          </cell>
          <cell r="AJ175">
            <v>13500</v>
          </cell>
          <cell r="AK175">
            <v>-4500</v>
          </cell>
          <cell r="AL175">
            <v>13095</v>
          </cell>
        </row>
        <row r="176">
          <cell r="T176" t="str">
            <v xml:space="preserve">Natalia Restrepo </v>
          </cell>
          <cell r="U176" t="str">
            <v xml:space="preserve">Hatillo Barbosa vereda el tablazo </v>
          </cell>
          <cell r="V176" t="str">
            <v>El Hatillo</v>
          </cell>
          <cell r="W176" t="str">
            <v>Intermunicipal</v>
          </cell>
          <cell r="X176">
            <v>3012752416</v>
          </cell>
          <cell r="Y176" t="str">
            <v>SUROCCIDENTE</v>
          </cell>
          <cell r="Z176"/>
          <cell r="AA176" t="str">
            <v>Medellin</v>
          </cell>
          <cell r="AB176" t="str">
            <v>Hosp. San Vicente de Paúl</v>
          </cell>
          <cell r="AC176" t="str">
            <v>Cll. 64 # 51 D - 70 HSVP</v>
          </cell>
          <cell r="AD176" t="str">
            <v>Cuarto Turno</v>
          </cell>
          <cell r="AE176">
            <v>58200</v>
          </cell>
          <cell r="AF176">
            <v>22000</v>
          </cell>
          <cell r="AG176" t="str">
            <v>42 km</v>
          </cell>
          <cell r="AH176" t="str">
            <v>45 MIN</v>
          </cell>
          <cell r="AI176">
            <v>60000</v>
          </cell>
          <cell r="AJ176">
            <v>60000</v>
          </cell>
          <cell r="AK176">
            <v>-38000</v>
          </cell>
          <cell r="AL176">
            <v>58200</v>
          </cell>
        </row>
        <row r="177">
          <cell r="T177" t="str">
            <v xml:space="preserve">Natalia Duque </v>
          </cell>
          <cell r="U177" t="str">
            <v xml:space="preserve">cll 96 c #81-61 Barrio 12 de octubre </v>
          </cell>
          <cell r="V177" t="str">
            <v>BARRIO 12 OCTUBRE COMUNA 6</v>
          </cell>
          <cell r="W177" t="str">
            <v>CERCANO</v>
          </cell>
          <cell r="X177">
            <v>3002127186</v>
          </cell>
          <cell r="Y177" t="str">
            <v>SUROCCIDENTE</v>
          </cell>
          <cell r="Z177"/>
          <cell r="AA177" t="str">
            <v>Medellin</v>
          </cell>
          <cell r="AB177" t="str">
            <v>Hosp. San Vicente de Paúl</v>
          </cell>
          <cell r="AC177" t="str">
            <v>Cll. 64 # 51 D - 70 HSVP</v>
          </cell>
          <cell r="AD177" t="str">
            <v>Cuarto Turno</v>
          </cell>
          <cell r="AE177">
            <v>13095</v>
          </cell>
          <cell r="AF177">
            <v>9000</v>
          </cell>
          <cell r="AG177" t="str">
            <v>8 KM</v>
          </cell>
          <cell r="AH177" t="str">
            <v>17 MIN</v>
          </cell>
          <cell r="AI177">
            <v>15000</v>
          </cell>
          <cell r="AJ177">
            <v>13500</v>
          </cell>
          <cell r="AK177">
            <v>-4500</v>
          </cell>
          <cell r="AL177">
            <v>13095</v>
          </cell>
        </row>
        <row r="178">
          <cell r="T178" t="str">
            <v xml:space="preserve">Edilma Casas </v>
          </cell>
          <cell r="U178" t="str">
            <v xml:space="preserve">Cra53#23-25 Bello </v>
          </cell>
          <cell r="V178" t="str">
            <v>Bello</v>
          </cell>
          <cell r="W178" t="str">
            <v>Intermunicipal</v>
          </cell>
          <cell r="X178">
            <v>3046273619</v>
          </cell>
          <cell r="Y178" t="str">
            <v>SUROCCIDENTE</v>
          </cell>
          <cell r="Z178"/>
          <cell r="AA178" t="str">
            <v>Medellin</v>
          </cell>
          <cell r="AB178" t="str">
            <v>Hosp. San Vicente de Paúl</v>
          </cell>
          <cell r="AC178" t="str">
            <v>Cll. 64 # 51 D - 70 HSVP</v>
          </cell>
          <cell r="AD178" t="str">
            <v>Cuarto Turno</v>
          </cell>
          <cell r="AE178">
            <v>29100</v>
          </cell>
          <cell r="AF178">
            <v>13000</v>
          </cell>
          <cell r="AG178" t="str">
            <v>12 km</v>
          </cell>
          <cell r="AH178" t="str">
            <v>20 min</v>
          </cell>
          <cell r="AI178">
            <v>30000</v>
          </cell>
          <cell r="AJ178">
            <v>30000</v>
          </cell>
          <cell r="AK178">
            <v>-17000</v>
          </cell>
          <cell r="AL178">
            <v>29100</v>
          </cell>
        </row>
        <row r="179">
          <cell r="T179" t="str">
            <v xml:space="preserve">Blacina Ordoñez </v>
          </cell>
          <cell r="U179" t="str">
            <v xml:space="preserve">Cll77 c sur # 45-37 Edificio Recinto Del trapiche Sabaneta </v>
          </cell>
          <cell r="V179" t="str">
            <v>Sabaneta</v>
          </cell>
          <cell r="W179" t="str">
            <v>Intermunicipal</v>
          </cell>
          <cell r="X179">
            <v>3188381123</v>
          </cell>
          <cell r="Y179" t="str">
            <v>SUROCCIDENTE</v>
          </cell>
          <cell r="Z179"/>
          <cell r="AA179" t="str">
            <v>Medellin</v>
          </cell>
          <cell r="AB179" t="str">
            <v>Hosp. San Vicente de Paúl</v>
          </cell>
          <cell r="AC179" t="str">
            <v>Cll. 64 # 51 D - 70 HSVP</v>
          </cell>
          <cell r="AD179" t="str">
            <v>Cuarto Turno</v>
          </cell>
          <cell r="AE179">
            <v>48500</v>
          </cell>
          <cell r="AF179">
            <v>30000</v>
          </cell>
          <cell r="AG179" t="str">
            <v>20 km</v>
          </cell>
          <cell r="AH179" t="str">
            <v>25 min</v>
          </cell>
          <cell r="AI179">
            <v>40000</v>
          </cell>
          <cell r="AJ179">
            <v>40000</v>
          </cell>
          <cell r="AK179">
            <v>-10000</v>
          </cell>
          <cell r="AL179">
            <v>38800</v>
          </cell>
        </row>
        <row r="180">
          <cell r="T180" t="str">
            <v xml:space="preserve">Edith Graciano </v>
          </cell>
          <cell r="U180" t="str">
            <v xml:space="preserve">Cra 29 #73 sur 106 sabaneta la doctora </v>
          </cell>
          <cell r="V180" t="str">
            <v>Sabaneta Vereda la doctora</v>
          </cell>
          <cell r="W180" t="str">
            <v>Intermunicipal</v>
          </cell>
          <cell r="X180">
            <v>3218458694</v>
          </cell>
          <cell r="Y180" t="str">
            <v>SUROCCIDENTE</v>
          </cell>
          <cell r="Z180"/>
          <cell r="AA180" t="str">
            <v>Medellin</v>
          </cell>
          <cell r="AB180" t="str">
            <v>Hosp. San Vicente de Paúl</v>
          </cell>
          <cell r="AC180" t="str">
            <v>Cll. 64 # 51 D - 70 HSVP</v>
          </cell>
          <cell r="AD180" t="str">
            <v>Cuarto Turno</v>
          </cell>
          <cell r="AE180">
            <v>34920</v>
          </cell>
          <cell r="AF180">
            <v>18000</v>
          </cell>
          <cell r="AG180">
            <v>0</v>
          </cell>
          <cell r="AH180">
            <v>0</v>
          </cell>
          <cell r="AI180">
            <v>40000</v>
          </cell>
          <cell r="AJ180">
            <v>36000</v>
          </cell>
          <cell r="AK180">
            <v>-18000</v>
          </cell>
          <cell r="AL180">
            <v>34920</v>
          </cell>
        </row>
        <row r="181">
          <cell r="T181" t="str">
            <v xml:space="preserve">Katerine Marin </v>
          </cell>
          <cell r="U181" t="str">
            <v xml:space="preserve">Cra 43 #78-48 Segundo Piso 2020 Manrique Central </v>
          </cell>
          <cell r="V181" t="str">
            <v>BARRIO MANRRIQUE COMUNA 3</v>
          </cell>
          <cell r="W181" t="str">
            <v>ORDEN PUBLICO</v>
          </cell>
          <cell r="X181">
            <v>3185453945</v>
          </cell>
          <cell r="Y181" t="str">
            <v>SUROCCIDENTE</v>
          </cell>
          <cell r="Z181"/>
          <cell r="AA181" t="str">
            <v>Medellin</v>
          </cell>
          <cell r="AB181" t="str">
            <v>Hosp. San Vicente de Paúl</v>
          </cell>
          <cell r="AC181" t="str">
            <v>Cll. 64 # 51 D - 70 HSVP</v>
          </cell>
          <cell r="AD181" t="str">
            <v>Cuarto Turno</v>
          </cell>
          <cell r="AE181">
            <v>17460</v>
          </cell>
          <cell r="AF181">
            <v>13000</v>
          </cell>
          <cell r="AG181" t="str">
            <v>3 km</v>
          </cell>
          <cell r="AH181" t="str">
            <v>10 MIN</v>
          </cell>
          <cell r="AI181">
            <v>20000</v>
          </cell>
          <cell r="AJ181">
            <v>18000</v>
          </cell>
          <cell r="AK181">
            <v>-5000</v>
          </cell>
          <cell r="AL181">
            <v>17460</v>
          </cell>
        </row>
        <row r="182">
          <cell r="T182" t="str">
            <v xml:space="preserve">Diana Gomez </v>
          </cell>
          <cell r="U182" t="str">
            <v>Cra82#48-37 Edificio Complejo de Calazan</v>
          </cell>
          <cell r="V182" t="str">
            <v>BARRIO CALAZANS PARTE ALTA</v>
          </cell>
          <cell r="W182" t="str">
            <v>ORDEN PUBLICO</v>
          </cell>
          <cell r="X182">
            <v>3122880826</v>
          </cell>
          <cell r="Y182" t="str">
            <v>SUROCCIDENTE</v>
          </cell>
          <cell r="Z182"/>
          <cell r="AA182" t="str">
            <v>Medellin</v>
          </cell>
          <cell r="AB182" t="str">
            <v>Hosp. San Vicente de Paúl</v>
          </cell>
          <cell r="AC182" t="str">
            <v>Cll. 64 # 51 D - 70 HSVP</v>
          </cell>
          <cell r="AD182" t="str">
            <v>Cuarto Turno</v>
          </cell>
          <cell r="AE182">
            <v>17460</v>
          </cell>
          <cell r="AF182">
            <v>13000</v>
          </cell>
          <cell r="AG182" t="str">
            <v>6 KM</v>
          </cell>
          <cell r="AH182" t="str">
            <v>15 MIN</v>
          </cell>
          <cell r="AI182">
            <v>20000</v>
          </cell>
          <cell r="AJ182">
            <v>18000</v>
          </cell>
          <cell r="AK182">
            <v>-5000</v>
          </cell>
          <cell r="AL182">
            <v>17460</v>
          </cell>
        </row>
        <row r="183">
          <cell r="T183" t="str">
            <v xml:space="preserve">Rosana Melendez </v>
          </cell>
          <cell r="U183" t="str">
            <v xml:space="preserve">Cll45a sur # 81 a-27 Barrio Salinas San Antonio de Prado </v>
          </cell>
          <cell r="V183" t="str">
            <v>CORREGIMIENTO SAN ANTONIO DE PRADO DE MEDELLIN SE INGRESA POR EL MUNICIPIO DE ITAGUI</v>
          </cell>
          <cell r="W183" t="str">
            <v>Intermunicipal</v>
          </cell>
          <cell r="X183">
            <v>3207103578</v>
          </cell>
          <cell r="Y183" t="str">
            <v>SUROCCIDENTE</v>
          </cell>
          <cell r="Z183"/>
          <cell r="AA183" t="str">
            <v>Medellin</v>
          </cell>
          <cell r="AB183" t="str">
            <v>Hosp. San Vicente de Paúl</v>
          </cell>
          <cell r="AC183" t="str">
            <v>Cll. 64 # 51 D - 70 HSVP</v>
          </cell>
          <cell r="AD183" t="str">
            <v>Cuarto Turno</v>
          </cell>
          <cell r="AE183">
            <v>34920</v>
          </cell>
          <cell r="AF183">
            <v>18000</v>
          </cell>
          <cell r="AG183" t="str">
            <v>25 km</v>
          </cell>
          <cell r="AH183" t="str">
            <v>35 min</v>
          </cell>
          <cell r="AI183">
            <v>40000</v>
          </cell>
          <cell r="AJ183">
            <v>36000</v>
          </cell>
          <cell r="AK183">
            <v>-18000</v>
          </cell>
          <cell r="AL183">
            <v>34920</v>
          </cell>
        </row>
        <row r="184">
          <cell r="T184" t="str">
            <v xml:space="preserve">YULITZA OSPINO </v>
          </cell>
          <cell r="U184" t="str">
            <v>CALLE 7 No, 83 -  31 LOMA DE LOS BERNAL- CONJUNTO SIEMPRE VERDE</v>
          </cell>
          <cell r="V184" t="str">
            <v>BARRIO BELEN</v>
          </cell>
          <cell r="W184" t="str">
            <v>CERCANO</v>
          </cell>
          <cell r="X184">
            <v>3107283942</v>
          </cell>
          <cell r="Y184" t="str">
            <v>SUROCCIDENTE</v>
          </cell>
          <cell r="Z184" t="str">
            <v>Loma de los bernal</v>
          </cell>
          <cell r="AA184" t="str">
            <v>Medellin</v>
          </cell>
          <cell r="AB184" t="str">
            <v>Hosp. San Vicente de Paúl</v>
          </cell>
          <cell r="AC184" t="str">
            <v>Cll. 64 # 51 D - 70 HSVP</v>
          </cell>
          <cell r="AD184" t="str">
            <v>Primer Turno</v>
          </cell>
          <cell r="AE184">
            <v>13095</v>
          </cell>
          <cell r="AF184">
            <v>9000</v>
          </cell>
          <cell r="AG184" t="str">
            <v>10 km</v>
          </cell>
          <cell r="AH184" t="str">
            <v>20 min</v>
          </cell>
          <cell r="AI184">
            <v>15000</v>
          </cell>
          <cell r="AJ184">
            <v>13500</v>
          </cell>
          <cell r="AK184">
            <v>-4500</v>
          </cell>
          <cell r="AL184">
            <v>13095</v>
          </cell>
        </row>
        <row r="185">
          <cell r="T185" t="str">
            <v>LUZ DEL MAR LLANOS</v>
          </cell>
          <cell r="U185" t="str">
            <v>CALLE 68 SUR No 45 - 70 TORRE 1 EDIFICIO LUIS PINO SABANETA</v>
          </cell>
          <cell r="V185" t="str">
            <v>Sabaneta</v>
          </cell>
          <cell r="W185" t="str">
            <v>Intermunicipal</v>
          </cell>
          <cell r="X185">
            <v>3502887416</v>
          </cell>
          <cell r="Y185" t="str">
            <v>SUROCCIDENTE</v>
          </cell>
          <cell r="Z185"/>
          <cell r="AA185" t="str">
            <v>Medellin</v>
          </cell>
          <cell r="AB185" t="str">
            <v>Hosp. San Vicente de Paúl</v>
          </cell>
          <cell r="AC185" t="str">
            <v>Cll. 64 # 51 D - 70 HSVP</v>
          </cell>
          <cell r="AD185" t="str">
            <v>Primer Turno</v>
          </cell>
          <cell r="AE185">
            <v>48500</v>
          </cell>
          <cell r="AF185">
            <v>30000</v>
          </cell>
          <cell r="AG185" t="str">
            <v>20 km</v>
          </cell>
          <cell r="AH185" t="str">
            <v>25 min</v>
          </cell>
          <cell r="AI185">
            <v>40000</v>
          </cell>
          <cell r="AJ185">
            <v>36000</v>
          </cell>
          <cell r="AK185">
            <v>-6000</v>
          </cell>
          <cell r="AL185">
            <v>34920</v>
          </cell>
        </row>
        <row r="186">
          <cell r="T186" t="str">
            <v>LILIANA ROJAS</v>
          </cell>
          <cell r="U186" t="str">
            <v>CALLE 94 · No, 71 A - 13 CASTILLLA</v>
          </cell>
          <cell r="V186" t="str">
            <v>BARRIO CASTILLA COMUNA 5</v>
          </cell>
          <cell r="W186" t="str">
            <v>ORDEN PUBLICO</v>
          </cell>
          <cell r="X186">
            <v>3015897573</v>
          </cell>
          <cell r="Y186" t="str">
            <v>SUROCCIDENTE</v>
          </cell>
          <cell r="Z186"/>
          <cell r="AA186" t="str">
            <v>Medellin</v>
          </cell>
          <cell r="AB186" t="str">
            <v>Hosp. San Vicente de Paúl</v>
          </cell>
          <cell r="AC186" t="str">
            <v>Cll. 64 # 51 D - 70 HSVP</v>
          </cell>
          <cell r="AD186" t="str">
            <v>Primer Turno</v>
          </cell>
          <cell r="AE186">
            <v>19400</v>
          </cell>
          <cell r="AF186">
            <v>30000</v>
          </cell>
          <cell r="AG186" t="str">
            <v>6 km</v>
          </cell>
          <cell r="AH186" t="str">
            <v>13 min</v>
          </cell>
          <cell r="AI186">
            <v>20000</v>
          </cell>
          <cell r="AJ186">
            <v>20000</v>
          </cell>
          <cell r="AK186">
            <v>10000</v>
          </cell>
          <cell r="AL186">
            <v>19400</v>
          </cell>
        </row>
        <row r="187">
          <cell r="T187" t="str">
            <v>EDICELI PEREZ</v>
          </cell>
          <cell r="U187" t="str">
            <v xml:space="preserve">CALLE 97 · No, 76 - 143 CASTILLLA </v>
          </cell>
          <cell r="V187" t="str">
            <v>CASTILLA</v>
          </cell>
          <cell r="W187" t="str">
            <v>ORDEN PUBLICO</v>
          </cell>
          <cell r="X187">
            <v>3116024359</v>
          </cell>
          <cell r="Y187" t="str">
            <v>SUROCCIDENTE</v>
          </cell>
          <cell r="Z187"/>
          <cell r="AA187" t="str">
            <v>Medellin</v>
          </cell>
          <cell r="AB187" t="str">
            <v>Hosp. San Vicente de Paúl</v>
          </cell>
          <cell r="AC187" t="str">
            <v>Cll. 64 # 51 D - 70 HSVP</v>
          </cell>
          <cell r="AD187" t="str">
            <v>Primer Turno</v>
          </cell>
          <cell r="AE187">
            <v>19400</v>
          </cell>
          <cell r="AF187">
            <v>12000</v>
          </cell>
          <cell r="AG187" t="str">
            <v>7 KM</v>
          </cell>
          <cell r="AH187" t="str">
            <v>17 MIN</v>
          </cell>
          <cell r="AI187">
            <v>20000</v>
          </cell>
          <cell r="AJ187">
            <v>20000</v>
          </cell>
          <cell r="AK187">
            <v>-8000</v>
          </cell>
          <cell r="AL187">
            <v>19400</v>
          </cell>
        </row>
        <row r="188">
          <cell r="T188" t="str">
            <v>YOLANDA ANDICA</v>
          </cell>
          <cell r="U188" t="str">
            <v>CARRERA 84 No. 45C- 106 EDIFICIO SAN JOSE LA FLORESTA</v>
          </cell>
          <cell r="V188" t="str">
            <v>BARRIO LA FLORESTA</v>
          </cell>
          <cell r="W188" t="str">
            <v>CERCANO</v>
          </cell>
          <cell r="X188">
            <v>3234036186</v>
          </cell>
          <cell r="Y188" t="str">
            <v>SUROCCIDENTE</v>
          </cell>
          <cell r="Z188"/>
          <cell r="AA188" t="str">
            <v>Medellin</v>
          </cell>
          <cell r="AB188" t="str">
            <v>Hosp. San Vicente de Paúl</v>
          </cell>
          <cell r="AC188" t="str">
            <v>Cll. 64 # 51 D - 70 HSVP</v>
          </cell>
          <cell r="AD188" t="str">
            <v>Primer Turno</v>
          </cell>
          <cell r="AE188">
            <v>13095</v>
          </cell>
          <cell r="AF188">
            <v>9000</v>
          </cell>
          <cell r="AG188" t="str">
            <v>6 km</v>
          </cell>
          <cell r="AH188" t="str">
            <v>14 min</v>
          </cell>
          <cell r="AI188">
            <v>15000</v>
          </cell>
          <cell r="AJ188">
            <v>13500</v>
          </cell>
          <cell r="AK188">
            <v>-4500</v>
          </cell>
          <cell r="AL188">
            <v>13095</v>
          </cell>
        </row>
        <row r="189">
          <cell r="T189" t="str">
            <v>EDITH GRACIANO</v>
          </cell>
          <cell r="U189" t="str">
            <v>CARRERA 29 No, 73 SUR - 106 SABANETA VDA LA DOCTORA</v>
          </cell>
          <cell r="V189" t="str">
            <v>Sabaneta Vereda la doctora</v>
          </cell>
          <cell r="W189" t="str">
            <v>Intermunicipal</v>
          </cell>
          <cell r="X189">
            <v>3218458694</v>
          </cell>
          <cell r="Y189" t="str">
            <v>SUROCCIDENTE</v>
          </cell>
          <cell r="Z189"/>
          <cell r="AA189" t="str">
            <v>Medellin</v>
          </cell>
          <cell r="AB189" t="str">
            <v>Hosp. San Vicente de Paúl</v>
          </cell>
          <cell r="AC189" t="str">
            <v>Cll. 64 # 51 D - 70 HSVP</v>
          </cell>
          <cell r="AD189" t="str">
            <v>Primer Turno</v>
          </cell>
          <cell r="AE189">
            <v>48500</v>
          </cell>
          <cell r="AF189">
            <v>30000</v>
          </cell>
          <cell r="AG189" t="str">
            <v>25 km</v>
          </cell>
          <cell r="AH189" t="str">
            <v>30 min</v>
          </cell>
          <cell r="AI189">
            <v>40000</v>
          </cell>
          <cell r="AJ189">
            <v>36000</v>
          </cell>
          <cell r="AK189">
            <v>-6000</v>
          </cell>
          <cell r="AL189">
            <v>34920</v>
          </cell>
        </row>
        <row r="190">
          <cell r="T190" t="str">
            <v>ANDREA JARAMILLO</v>
          </cell>
          <cell r="U190" t="str">
            <v>CALLE 54 CARRERA 17 CAICEDO CASA 17 A 20</v>
          </cell>
          <cell r="V190" t="str">
            <v>BARRIO CAICEDO, COMUNA 8 PARTE MEDIO ALTA</v>
          </cell>
          <cell r="W190" t="str">
            <v>ORDEN PUBLICO</v>
          </cell>
          <cell r="X190">
            <v>3053392035</v>
          </cell>
          <cell r="Y190" t="str">
            <v>SUROCCIDENTE</v>
          </cell>
          <cell r="Z190"/>
          <cell r="AA190" t="str">
            <v>Medellin</v>
          </cell>
          <cell r="AB190" t="str">
            <v>Hosp. San Vicente de Paúl</v>
          </cell>
          <cell r="AC190" t="str">
            <v>Cll. 64 # 51 D - 70 HSVP</v>
          </cell>
          <cell r="AD190" t="str">
            <v>Primer Turno</v>
          </cell>
          <cell r="AE190">
            <v>24250</v>
          </cell>
          <cell r="AF190">
            <v>12000</v>
          </cell>
          <cell r="AG190" t="str">
            <v>5 KM</v>
          </cell>
          <cell r="AH190" t="str">
            <v>13 MIN</v>
          </cell>
          <cell r="AI190">
            <v>20000</v>
          </cell>
          <cell r="AJ190">
            <v>20000</v>
          </cell>
          <cell r="AK190">
            <v>-8000</v>
          </cell>
          <cell r="AL190">
            <v>19400</v>
          </cell>
        </row>
        <row r="191">
          <cell r="T191" t="str">
            <v xml:space="preserve">Jasbleidis Cantillo Salas </v>
          </cell>
          <cell r="U191" t="str">
            <v xml:space="preserve">Cra 50 D # 65-29 La candelaria </v>
          </cell>
          <cell r="V191" t="str">
            <v>La candelaria</v>
          </cell>
          <cell r="W191" t="str">
            <v>CERCANO</v>
          </cell>
          <cell r="X191">
            <v>3007724525</v>
          </cell>
          <cell r="Y191" t="str">
            <v>SUROCCIDENTE</v>
          </cell>
          <cell r="Z191" t="str">
            <v>Prado centro</v>
          </cell>
          <cell r="AA191" t="str">
            <v>Medellin</v>
          </cell>
          <cell r="AB191" t="str">
            <v>Hosp. San Vicente de Paúl</v>
          </cell>
          <cell r="AC191" t="str">
            <v>Cll. 64 # 51 D - 70 HSVP</v>
          </cell>
          <cell r="AD191" t="str">
            <v>Primer Turno</v>
          </cell>
          <cell r="AE191">
            <v>13095</v>
          </cell>
          <cell r="AF191">
            <v>9000</v>
          </cell>
          <cell r="AG191" t="str">
            <v>1 km</v>
          </cell>
          <cell r="AH191" t="str">
            <v>5 MIN</v>
          </cell>
          <cell r="AI191">
            <v>15000</v>
          </cell>
          <cell r="AJ191">
            <v>13500</v>
          </cell>
          <cell r="AK191">
            <v>-4500</v>
          </cell>
          <cell r="AL191">
            <v>13095</v>
          </cell>
        </row>
        <row r="192">
          <cell r="T192" t="str">
            <v xml:space="preserve">Arnold Estupiñan Fuentes </v>
          </cell>
          <cell r="U192" t="str">
            <v xml:space="preserve">Cra 50 D # 65-29 La candelaria </v>
          </cell>
          <cell r="V192" t="str">
            <v>La candelaria</v>
          </cell>
          <cell r="W192" t="str">
            <v>CERCANO</v>
          </cell>
          <cell r="X192">
            <v>3209737252</v>
          </cell>
          <cell r="Y192" t="str">
            <v>SUROCCIDENTE</v>
          </cell>
          <cell r="Z192" t="str">
            <v>Prado centro</v>
          </cell>
          <cell r="AA192" t="str">
            <v>Medellin</v>
          </cell>
          <cell r="AB192" t="str">
            <v>Hosp. San Vicente de Paúl</v>
          </cell>
          <cell r="AC192" t="str">
            <v>Cll. 64 # 51 D - 70 HSVP</v>
          </cell>
          <cell r="AD192" t="str">
            <v>Primer Turno</v>
          </cell>
          <cell r="AE192">
            <v>13095</v>
          </cell>
          <cell r="AF192">
            <v>9000</v>
          </cell>
          <cell r="AG192" t="str">
            <v>1 km</v>
          </cell>
          <cell r="AH192" t="str">
            <v>5 MIN</v>
          </cell>
          <cell r="AI192">
            <v>15000</v>
          </cell>
          <cell r="AJ192">
            <v>13500</v>
          </cell>
          <cell r="AK192">
            <v>-4500</v>
          </cell>
          <cell r="AL192">
            <v>13095</v>
          </cell>
        </row>
        <row r="193">
          <cell r="T193" t="str">
            <v xml:space="preserve">Sofia Celestino </v>
          </cell>
          <cell r="U193" t="str">
            <v xml:space="preserve">Cra 89 #48E-15 Santa Lucia </v>
          </cell>
          <cell r="V193" t="str">
            <v>BARRIO SANTA LUCIA</v>
          </cell>
          <cell r="W193" t="str">
            <v>CERCANO</v>
          </cell>
          <cell r="X193">
            <v>3014071392</v>
          </cell>
          <cell r="Y193" t="str">
            <v>SUROCCIDENTE</v>
          </cell>
          <cell r="Z193" t="str">
            <v>Santalucia</v>
          </cell>
          <cell r="AA193" t="str">
            <v>Medellin</v>
          </cell>
          <cell r="AB193" t="str">
            <v>Hosp. San Vicente de Paúl</v>
          </cell>
          <cell r="AC193" t="str">
            <v>Cll. 64 # 51 D - 70 HSVP</v>
          </cell>
          <cell r="AD193" t="str">
            <v>Primer Turno</v>
          </cell>
          <cell r="AE193">
            <v>13095</v>
          </cell>
          <cell r="AF193">
            <v>9000</v>
          </cell>
          <cell r="AG193" t="str">
            <v>7 km</v>
          </cell>
          <cell r="AH193" t="str">
            <v>15 min</v>
          </cell>
          <cell r="AI193">
            <v>15000</v>
          </cell>
          <cell r="AJ193">
            <v>13500</v>
          </cell>
          <cell r="AK193">
            <v>-4500</v>
          </cell>
          <cell r="AL193">
            <v>13095</v>
          </cell>
        </row>
        <row r="194">
          <cell r="T194" t="str">
            <v>HENRY PEINADO</v>
          </cell>
          <cell r="U194" t="str">
            <v>Bello bucaros</v>
          </cell>
          <cell r="V194" t="str">
            <v>Bucaros</v>
          </cell>
          <cell r="W194" t="str">
            <v>Intermunicipal</v>
          </cell>
          <cell r="X194">
            <v>3003638666</v>
          </cell>
          <cell r="Y194" t="str">
            <v>SUROCCIDENTE</v>
          </cell>
          <cell r="Z194"/>
          <cell r="AA194" t="str">
            <v>Medellin</v>
          </cell>
          <cell r="AB194" t="str">
            <v>Hosp. San Vicente de Paúl</v>
          </cell>
          <cell r="AC194" t="str">
            <v>Cll. 64 # 51 D - 70 HSVP</v>
          </cell>
          <cell r="AD194" t="str">
            <v>Primer Turno</v>
          </cell>
          <cell r="AE194">
            <v>34920</v>
          </cell>
          <cell r="AF194">
            <v>18000</v>
          </cell>
          <cell r="AG194" t="str">
            <v>26 km</v>
          </cell>
          <cell r="AH194" t="str">
            <v>35 Min</v>
          </cell>
          <cell r="AI194">
            <v>40000</v>
          </cell>
          <cell r="AJ194">
            <v>36000</v>
          </cell>
          <cell r="AK194">
            <v>-18000</v>
          </cell>
          <cell r="AL194">
            <v>34920</v>
          </cell>
        </row>
        <row r="195">
          <cell r="T195" t="str">
            <v xml:space="preserve">Blacina Ordoñez </v>
          </cell>
          <cell r="U195" t="str">
            <v xml:space="preserve">Cll77 c sur # 45-37 Edificio Recinto Del trapiche Sabaneta </v>
          </cell>
          <cell r="V195" t="str">
            <v>Sabaneta</v>
          </cell>
          <cell r="W195" t="str">
            <v>Intermunicipal</v>
          </cell>
          <cell r="X195">
            <v>3188381123</v>
          </cell>
          <cell r="Y195" t="str">
            <v>SUROCCIDENTE</v>
          </cell>
          <cell r="Z195"/>
          <cell r="AA195" t="str">
            <v>Medellin</v>
          </cell>
          <cell r="AB195" t="str">
            <v>Hosp. San Vicente de Paúl</v>
          </cell>
          <cell r="AC195" t="str">
            <v>Cll. 64 # 51 D - 70 HSVP</v>
          </cell>
          <cell r="AD195" t="str">
            <v>Tercer Turno</v>
          </cell>
          <cell r="AE195">
            <v>48500</v>
          </cell>
          <cell r="AF195">
            <v>30000</v>
          </cell>
          <cell r="AG195" t="str">
            <v>20 km</v>
          </cell>
          <cell r="AH195" t="str">
            <v>25 min</v>
          </cell>
          <cell r="AI195">
            <v>40000</v>
          </cell>
          <cell r="AJ195">
            <v>40000</v>
          </cell>
          <cell r="AK195">
            <v>-10000</v>
          </cell>
          <cell r="AL195">
            <v>38800</v>
          </cell>
        </row>
        <row r="196">
          <cell r="T196" t="str">
            <v xml:space="preserve">Diana Gomez </v>
          </cell>
          <cell r="U196" t="str">
            <v>Cra82#48-37 Edificio Complejo de Calazan</v>
          </cell>
          <cell r="V196" t="str">
            <v>BARRIO CALAZANS PARTE ALTA</v>
          </cell>
          <cell r="W196" t="str">
            <v>ORDEN PUBLICO</v>
          </cell>
          <cell r="X196">
            <v>3122880826</v>
          </cell>
          <cell r="Y196" t="str">
            <v>SUROCCIDENTE</v>
          </cell>
          <cell r="Z196"/>
          <cell r="AA196" t="str">
            <v>Medellin</v>
          </cell>
          <cell r="AB196" t="str">
            <v>Hosp. San Vicente de Paúl</v>
          </cell>
          <cell r="AC196" t="str">
            <v>Cll. 64 # 51 D - 70 HSVP</v>
          </cell>
          <cell r="AD196" t="str">
            <v>Tercer Turno</v>
          </cell>
          <cell r="AE196">
            <v>17460</v>
          </cell>
          <cell r="AF196">
            <v>13000</v>
          </cell>
          <cell r="AG196" t="str">
            <v>6 KM</v>
          </cell>
          <cell r="AH196" t="str">
            <v>15 MIN</v>
          </cell>
          <cell r="AI196">
            <v>20000</v>
          </cell>
          <cell r="AJ196">
            <v>18000</v>
          </cell>
          <cell r="AK196">
            <v>-5000</v>
          </cell>
          <cell r="AL196">
            <v>17460</v>
          </cell>
        </row>
        <row r="197">
          <cell r="T197" t="str">
            <v xml:space="preserve">Rosana Melendez </v>
          </cell>
          <cell r="U197" t="str">
            <v xml:space="preserve">Cll45a sur # 81 a-27 Barrio Salinas San Antonio de Prado </v>
          </cell>
          <cell r="V197" t="str">
            <v>CORREGIMIENTO SAN ANTONIO DE PRADO DE MEDELLIN SE INGRESA POR EL MUNICIPIO DE ITAGUI</v>
          </cell>
          <cell r="W197" t="str">
            <v>Intermunicipal</v>
          </cell>
          <cell r="X197">
            <v>3207103578</v>
          </cell>
          <cell r="Y197" t="str">
            <v>SUROCCIDENTE</v>
          </cell>
          <cell r="Z197"/>
          <cell r="AA197" t="str">
            <v>Medellin</v>
          </cell>
          <cell r="AB197" t="str">
            <v>Hosp. San Vicente de Paúl</v>
          </cell>
          <cell r="AC197" t="str">
            <v>Cll. 64 # 51 D - 70 HSVP</v>
          </cell>
          <cell r="AD197" t="str">
            <v>Tercer Turno</v>
          </cell>
          <cell r="AE197">
            <v>34920</v>
          </cell>
          <cell r="AF197">
            <v>18000</v>
          </cell>
          <cell r="AG197" t="str">
            <v>25 km</v>
          </cell>
          <cell r="AH197" t="str">
            <v>35 min</v>
          </cell>
          <cell r="AI197">
            <v>40000</v>
          </cell>
          <cell r="AJ197">
            <v>36000</v>
          </cell>
          <cell r="AK197">
            <v>-18000</v>
          </cell>
          <cell r="AL197">
            <v>34920</v>
          </cell>
        </row>
        <row r="198">
          <cell r="T198" t="str">
            <v xml:space="preserve">Marcela Gutierrez </v>
          </cell>
          <cell r="U198" t="str">
            <v xml:space="preserve">Cra 67B#118-16 Bello </v>
          </cell>
          <cell r="V198" t="str">
            <v>Bello</v>
          </cell>
          <cell r="W198" t="str">
            <v>Intermunicipal</v>
          </cell>
          <cell r="X198">
            <v>3122341341</v>
          </cell>
          <cell r="Y198" t="str">
            <v>SUROCCIDENTE</v>
          </cell>
          <cell r="Z198"/>
          <cell r="AA198" t="str">
            <v>Medellin</v>
          </cell>
          <cell r="AB198" t="str">
            <v>Hosp. San Vicente de Paúl</v>
          </cell>
          <cell r="AC198" t="str">
            <v>Cll. 64 # 51 D - 70 HSVP</v>
          </cell>
          <cell r="AD198" t="str">
            <v>Tercer Turno</v>
          </cell>
          <cell r="AE198">
            <v>34920</v>
          </cell>
          <cell r="AF198">
            <v>13000</v>
          </cell>
          <cell r="AG198" t="str">
            <v>12 km</v>
          </cell>
          <cell r="AH198" t="str">
            <v>20 min</v>
          </cell>
          <cell r="AI198">
            <v>40000</v>
          </cell>
          <cell r="AJ198">
            <v>36000</v>
          </cell>
          <cell r="AK198">
            <v>-23000</v>
          </cell>
          <cell r="AL198">
            <v>34920</v>
          </cell>
        </row>
        <row r="199">
          <cell r="T199" t="str">
            <v xml:space="preserve">Kelly Higuita </v>
          </cell>
          <cell r="U199" t="str">
            <v xml:space="preserve">Cra83#91a-24 Barrio Robledo miramar </v>
          </cell>
          <cell r="V199" t="str">
            <v>BARRIO ROBLEDO MIRAMAR COMUNA 7</v>
          </cell>
          <cell r="W199" t="str">
            <v>ORDEN PUBLICO</v>
          </cell>
          <cell r="X199" t="str">
            <v>3143330381-2577586</v>
          </cell>
          <cell r="Y199" t="str">
            <v>SUROCCIDENTE</v>
          </cell>
          <cell r="Z199"/>
          <cell r="AA199" t="str">
            <v>Medellin</v>
          </cell>
          <cell r="AB199" t="str">
            <v>Hosp. San Vicente de Paúl</v>
          </cell>
          <cell r="AC199" t="str">
            <v>Cll. 64 # 51 D - 70 HSVP</v>
          </cell>
          <cell r="AD199" t="str">
            <v>Tercer Turno</v>
          </cell>
          <cell r="AE199">
            <v>24250</v>
          </cell>
          <cell r="AF199">
            <v>12000</v>
          </cell>
          <cell r="AG199" t="str">
            <v>11 KM</v>
          </cell>
          <cell r="AH199" t="str">
            <v>21 MIN</v>
          </cell>
          <cell r="AI199">
            <v>20000</v>
          </cell>
          <cell r="AJ199">
            <v>20000</v>
          </cell>
          <cell r="AK199">
            <v>-8000</v>
          </cell>
          <cell r="AL199">
            <v>19400</v>
          </cell>
        </row>
        <row r="200">
          <cell r="T200" t="str">
            <v xml:space="preserve">Katerine Marin </v>
          </cell>
          <cell r="U200" t="str">
            <v xml:space="preserve">Cra 43 #78-48 Segundo Piso 2020 Manrique Central </v>
          </cell>
          <cell r="V200" t="str">
            <v>BARRIO MANRRIQUE COMUNA 3</v>
          </cell>
          <cell r="W200" t="str">
            <v>ORDEN PUBLICO</v>
          </cell>
          <cell r="X200">
            <v>3185453945</v>
          </cell>
          <cell r="Y200" t="str">
            <v>SUROCCIDENTE</v>
          </cell>
          <cell r="Z200"/>
          <cell r="AA200" t="str">
            <v>Medellin</v>
          </cell>
          <cell r="AB200" t="str">
            <v>Hosp. San Vicente de Paúl</v>
          </cell>
          <cell r="AC200" t="str">
            <v>Cll. 64 # 51 D - 70 HSVP</v>
          </cell>
          <cell r="AD200" t="str">
            <v>Tercer Turno</v>
          </cell>
          <cell r="AE200">
            <v>17460</v>
          </cell>
          <cell r="AF200">
            <v>13000</v>
          </cell>
          <cell r="AG200" t="str">
            <v>3 km</v>
          </cell>
          <cell r="AH200" t="str">
            <v>10 MIN</v>
          </cell>
          <cell r="AI200">
            <v>20000</v>
          </cell>
          <cell r="AJ200">
            <v>18000</v>
          </cell>
          <cell r="AK200">
            <v>-5000</v>
          </cell>
          <cell r="AL200">
            <v>17460</v>
          </cell>
        </row>
        <row r="201">
          <cell r="T201" t="str">
            <v xml:space="preserve">Edilma Casas </v>
          </cell>
          <cell r="U201" t="str">
            <v xml:space="preserve">Cra53#23-25 Bello </v>
          </cell>
          <cell r="V201" t="str">
            <v>Bello</v>
          </cell>
          <cell r="W201" t="str">
            <v>Intermunicipal</v>
          </cell>
          <cell r="X201">
            <v>3046273619</v>
          </cell>
          <cell r="Y201" t="str">
            <v>SUROCCIDENTE</v>
          </cell>
          <cell r="Z201"/>
          <cell r="AA201" t="str">
            <v>Medellin</v>
          </cell>
          <cell r="AB201" t="str">
            <v>Hosp. San Vicente de Paúl</v>
          </cell>
          <cell r="AC201" t="str">
            <v>Cll. 64 # 51 D - 70 HSVP</v>
          </cell>
          <cell r="AD201" t="str">
            <v>Tercer Turno</v>
          </cell>
          <cell r="AE201">
            <v>29100</v>
          </cell>
          <cell r="AF201">
            <v>13000</v>
          </cell>
          <cell r="AG201" t="str">
            <v>12 km</v>
          </cell>
          <cell r="AH201" t="str">
            <v>20 min</v>
          </cell>
          <cell r="AI201">
            <v>30000</v>
          </cell>
          <cell r="AJ201">
            <v>30000</v>
          </cell>
          <cell r="AK201">
            <v>-17000</v>
          </cell>
          <cell r="AL201">
            <v>29100</v>
          </cell>
        </row>
        <row r="202">
          <cell r="T202" t="str">
            <v xml:space="preserve">Nora Loaiza </v>
          </cell>
          <cell r="U202" t="str">
            <v xml:space="preserve">Cll80b #72c-166 barrio Lopez de mesa </v>
          </cell>
          <cell r="V202" t="str">
            <v>BARRIO LOPEZ DE MESA COMUNA 5</v>
          </cell>
          <cell r="W202" t="str">
            <v>ORDEN PUBLICO</v>
          </cell>
          <cell r="X202">
            <v>3207548934</v>
          </cell>
          <cell r="Y202" t="str">
            <v>SUROCCIDENTE</v>
          </cell>
          <cell r="Z202"/>
          <cell r="AA202" t="str">
            <v>Medellin</v>
          </cell>
          <cell r="AB202" t="str">
            <v>Hosp. San Vicente de Paúl</v>
          </cell>
          <cell r="AC202" t="str">
            <v>Cll. 64 # 51 D - 70 HSVP</v>
          </cell>
          <cell r="AD202" t="str">
            <v>Tercer Turno</v>
          </cell>
          <cell r="AE202">
            <v>24250</v>
          </cell>
          <cell r="AF202">
            <v>12000</v>
          </cell>
          <cell r="AG202" t="str">
            <v>6 Km</v>
          </cell>
          <cell r="AH202" t="str">
            <v>15 MIN</v>
          </cell>
          <cell r="AI202">
            <v>20000</v>
          </cell>
          <cell r="AJ202">
            <v>20000</v>
          </cell>
          <cell r="AK202">
            <v>-8000</v>
          </cell>
          <cell r="AL202">
            <v>19400</v>
          </cell>
        </row>
        <row r="203">
          <cell r="T203" t="str">
            <v>YORLEDYS MORON MORON</v>
          </cell>
          <cell r="U203" t="str">
            <v>Carrera 43 B · 68 A SUR - 18 SABANETA EIDIFCIO MIRADOR DEL PARQUE</v>
          </cell>
          <cell r="V203" t="str">
            <v>Mirador del parque</v>
          </cell>
          <cell r="W203" t="str">
            <v>Intermunicipal</v>
          </cell>
          <cell r="X203">
            <v>3015422541</v>
          </cell>
          <cell r="Y203" t="str">
            <v>SUROCCIDENTE</v>
          </cell>
          <cell r="Z203"/>
          <cell r="AA203" t="str">
            <v xml:space="preserve">Medellin </v>
          </cell>
          <cell r="AB203" t="str">
            <v xml:space="preserve">I. Riñón </v>
          </cell>
          <cell r="AC203" t="str">
            <v>Cll. 11B sur # 44-103</v>
          </cell>
          <cell r="AD203" t="str">
            <v>Primer Turno</v>
          </cell>
          <cell r="AE203">
            <v>34920</v>
          </cell>
          <cell r="AF203">
            <v>30000</v>
          </cell>
          <cell r="AG203" t="str">
            <v>25km</v>
          </cell>
          <cell r="AH203" t="str">
            <v>30 min</v>
          </cell>
          <cell r="AI203">
            <v>40000</v>
          </cell>
          <cell r="AJ203">
            <v>36000</v>
          </cell>
          <cell r="AK203">
            <v>-6000</v>
          </cell>
          <cell r="AL203">
            <v>34920</v>
          </cell>
        </row>
        <row r="204">
          <cell r="T204" t="str">
            <v>ORLANDO GAMBOA</v>
          </cell>
          <cell r="U204" t="str">
            <v>CALLE 53 No. 6-12 EL TORREON (detrás del Hospital Federico Lleras)</v>
          </cell>
          <cell r="V204" t="str">
            <v>Torreon</v>
          </cell>
          <cell r="W204" t="str">
            <v>CERCANO</v>
          </cell>
          <cell r="X204">
            <v>3505620503</v>
          </cell>
          <cell r="Y204" t="str">
            <v>SUROCCIDENTE</v>
          </cell>
          <cell r="Z204"/>
          <cell r="AA204" t="str">
            <v>Ibague</v>
          </cell>
          <cell r="AB204" t="str">
            <v>Ibague</v>
          </cell>
          <cell r="AC204" t="str">
            <v>Calle 41 # 5 - 40 Barrio Restrepo</v>
          </cell>
          <cell r="AD204" t="str">
            <v>Cuarto Turno</v>
          </cell>
          <cell r="AE204">
            <v>13095</v>
          </cell>
          <cell r="AF204">
            <v>9000</v>
          </cell>
          <cell r="AG204" t="str">
            <v>800 metros</v>
          </cell>
          <cell r="AH204" t="str">
            <v>2 min</v>
          </cell>
          <cell r="AI204">
            <v>15000</v>
          </cell>
          <cell r="AJ204">
            <v>13500</v>
          </cell>
          <cell r="AK204">
            <v>-4500</v>
          </cell>
          <cell r="AL204">
            <v>13095</v>
          </cell>
        </row>
        <row r="205">
          <cell r="T205" t="str">
            <v xml:space="preserve">NUÑEZ GUZMAN MARIA DEL CARMEN </v>
          </cell>
          <cell r="U205" t="str">
            <v>Carrera 3a  70-31 B/ Valparaiso III</v>
          </cell>
          <cell r="V205" t="str">
            <v>Valparaiso III</v>
          </cell>
          <cell r="W205" t="str">
            <v>CERCANO</v>
          </cell>
          <cell r="X205">
            <v>3104789198</v>
          </cell>
          <cell r="Y205" t="str">
            <v>SUROCCIDENTE</v>
          </cell>
          <cell r="Z205"/>
          <cell r="AA205" t="str">
            <v>Ibague</v>
          </cell>
          <cell r="AB205" t="str">
            <v>Ibague</v>
          </cell>
          <cell r="AC205" t="str">
            <v>Calle 41 # 5 - 40 Barrio Restrepo</v>
          </cell>
          <cell r="AD205" t="str">
            <v>Primer Turno</v>
          </cell>
          <cell r="AE205">
            <v>13095</v>
          </cell>
          <cell r="AF205">
            <v>9000</v>
          </cell>
          <cell r="AG205" t="str">
            <v>2.3 km</v>
          </cell>
          <cell r="AH205" t="str">
            <v>7 min</v>
          </cell>
          <cell r="AI205">
            <v>15000</v>
          </cell>
          <cell r="AJ205">
            <v>13500</v>
          </cell>
          <cell r="AK205">
            <v>-4500</v>
          </cell>
          <cell r="AL205">
            <v>13095</v>
          </cell>
        </row>
        <row r="206">
          <cell r="T206" t="str">
            <v>SAEZ  MONTEALEGRE YAMILE</v>
          </cell>
          <cell r="U206" t="str">
            <v>Calle 64  23-121 Apto 102B Torres de los Rosales</v>
          </cell>
          <cell r="V206" t="str">
            <v>Los Rosales</v>
          </cell>
          <cell r="W206" t="str">
            <v>CERCANO</v>
          </cell>
          <cell r="X206">
            <v>3164699494</v>
          </cell>
          <cell r="Y206" t="str">
            <v>SUROCCIDENTE</v>
          </cell>
          <cell r="Z206"/>
          <cell r="AA206" t="str">
            <v>Ibague</v>
          </cell>
          <cell r="AB206" t="str">
            <v>Ibague</v>
          </cell>
          <cell r="AC206" t="str">
            <v>Calle 41 # 5 - 40 Barrio Restrepo</v>
          </cell>
          <cell r="AD206" t="str">
            <v>Primer Turno</v>
          </cell>
          <cell r="AE206">
            <v>13095</v>
          </cell>
          <cell r="AF206">
            <v>9000</v>
          </cell>
          <cell r="AG206" t="str">
            <v>3.9 km</v>
          </cell>
          <cell r="AH206" t="str">
            <v>11 min</v>
          </cell>
          <cell r="AI206">
            <v>15000</v>
          </cell>
          <cell r="AJ206">
            <v>13500</v>
          </cell>
          <cell r="AK206">
            <v>-4500</v>
          </cell>
          <cell r="AL206">
            <v>13095</v>
          </cell>
        </row>
        <row r="207">
          <cell r="T207" t="str">
            <v>MEDINA SAENZ OLGA LUCIA</v>
          </cell>
          <cell r="U207" t="str">
            <v>Manzana 19 Casa 18 II Etapa Villa Café</v>
          </cell>
          <cell r="V207" t="str">
            <v>Villa Cafe</v>
          </cell>
          <cell r="W207" t="str">
            <v>CERCANO</v>
          </cell>
          <cell r="X207" t="str">
            <v>2675691 - 3168669583</v>
          </cell>
          <cell r="Y207" t="str">
            <v>SUROCCIDENTE</v>
          </cell>
          <cell r="Z207"/>
          <cell r="AA207" t="str">
            <v>Ibague</v>
          </cell>
          <cell r="AB207" t="str">
            <v>Ibague</v>
          </cell>
          <cell r="AC207" t="str">
            <v>Calle 41 # 5 - 40 Barrio Restrepo</v>
          </cell>
          <cell r="AD207" t="str">
            <v>Primer Turno</v>
          </cell>
          <cell r="AE207">
            <v>13095</v>
          </cell>
          <cell r="AF207">
            <v>9000</v>
          </cell>
          <cell r="AG207" t="str">
            <v>4.9 km</v>
          </cell>
          <cell r="AH207" t="str">
            <v>9 min</v>
          </cell>
          <cell r="AI207">
            <v>15000</v>
          </cell>
          <cell r="AJ207">
            <v>13500</v>
          </cell>
          <cell r="AK207">
            <v>-4500</v>
          </cell>
          <cell r="AL207">
            <v>13095</v>
          </cell>
        </row>
        <row r="208">
          <cell r="T208" t="str">
            <v xml:space="preserve">ADOLFO CASTILLO MONTENGRO </v>
          </cell>
          <cell r="U208" t="str">
            <v>CRA 3 N 30-45  EL CLARET</v>
          </cell>
          <cell r="V208" t="str">
            <v>El Claret</v>
          </cell>
          <cell r="W208" t="str">
            <v>CERCANO</v>
          </cell>
          <cell r="X208">
            <v>3132541450</v>
          </cell>
          <cell r="Y208" t="str">
            <v>SUROCCIDENTE</v>
          </cell>
          <cell r="Z208"/>
          <cell r="AA208" t="str">
            <v>Ibague</v>
          </cell>
          <cell r="AB208" t="str">
            <v>Ibague</v>
          </cell>
          <cell r="AC208" t="str">
            <v>Calle 41 # 5 - 40 Barrio Restrepo</v>
          </cell>
          <cell r="AD208" t="str">
            <v>Primer Turno</v>
          </cell>
          <cell r="AE208">
            <v>13095</v>
          </cell>
          <cell r="AF208">
            <v>9000</v>
          </cell>
          <cell r="AG208" t="str">
            <v>3.1 km</v>
          </cell>
          <cell r="AH208" t="str">
            <v>8 min</v>
          </cell>
          <cell r="AI208">
            <v>15000</v>
          </cell>
          <cell r="AJ208">
            <v>13500</v>
          </cell>
          <cell r="AK208">
            <v>-4500</v>
          </cell>
          <cell r="AL208">
            <v>13095</v>
          </cell>
        </row>
        <row r="209">
          <cell r="T209" t="str">
            <v xml:space="preserve">NEIDER JHOAN RODRIGUEZ RODRIGUEZ </v>
          </cell>
          <cell r="U209" t="str">
            <v>URBANICACION AMBALA CASA 31</v>
          </cell>
          <cell r="V209" t="str">
            <v>Ambala</v>
          </cell>
          <cell r="W209" t="str">
            <v>CERCANO</v>
          </cell>
          <cell r="X209">
            <v>3222700968</v>
          </cell>
          <cell r="Y209" t="str">
            <v>SUROCCIDENTE</v>
          </cell>
          <cell r="Z209"/>
          <cell r="AA209" t="str">
            <v>Ibague</v>
          </cell>
          <cell r="AB209" t="str">
            <v>Ibague</v>
          </cell>
          <cell r="AC209" t="str">
            <v>Calle 41 # 5 - 40 Barrio Restrepo</v>
          </cell>
          <cell r="AD209" t="str">
            <v>Primer Turno</v>
          </cell>
          <cell r="AE209">
            <v>13095</v>
          </cell>
          <cell r="AF209">
            <v>9000</v>
          </cell>
          <cell r="AG209" t="str">
            <v>4.5 km</v>
          </cell>
          <cell r="AH209" t="str">
            <v>10 min</v>
          </cell>
          <cell r="AI209">
            <v>15000</v>
          </cell>
          <cell r="AJ209">
            <v>13500</v>
          </cell>
          <cell r="AK209">
            <v>-4500</v>
          </cell>
          <cell r="AL209">
            <v>13095</v>
          </cell>
        </row>
        <row r="210">
          <cell r="T210" t="str">
            <v>IRMA LUCIA RODRIGUEZ GONZALEZ</v>
          </cell>
          <cell r="U210" t="str">
            <v>CLL 156 #21 sur - 20 ARBOLEDA CAMPESTRE</v>
          </cell>
          <cell r="V210" t="str">
            <v>Arboleda</v>
          </cell>
          <cell r="W210" t="str">
            <v>LEJANO</v>
          </cell>
          <cell r="X210">
            <v>3016382079</v>
          </cell>
          <cell r="Y210" t="str">
            <v>SUROCCIDENTE</v>
          </cell>
          <cell r="Z210"/>
          <cell r="AA210" t="str">
            <v>Ibague</v>
          </cell>
          <cell r="AB210" t="str">
            <v>Ibague</v>
          </cell>
          <cell r="AC210" t="str">
            <v>Calle 41 # 5 - 40 Barrio Restrepo</v>
          </cell>
          <cell r="AD210" t="str">
            <v>Primer Turno</v>
          </cell>
          <cell r="AE210">
            <v>24250</v>
          </cell>
          <cell r="AF210">
            <v>15000</v>
          </cell>
          <cell r="AG210" t="str">
            <v>12 km</v>
          </cell>
          <cell r="AH210" t="str">
            <v>25 min</v>
          </cell>
          <cell r="AI210">
            <v>15000</v>
          </cell>
          <cell r="AJ210">
            <v>15000</v>
          </cell>
          <cell r="AK210">
            <v>0</v>
          </cell>
          <cell r="AL210">
            <v>14550</v>
          </cell>
        </row>
        <row r="211">
          <cell r="T211" t="str">
            <v>PADILLA PARRALES DIANA MARCELA</v>
          </cell>
          <cell r="U211" t="str">
            <v>Cra 4b No. 78b-79 2da Etapa Jardin</v>
          </cell>
          <cell r="V211" t="str">
            <v>Jardin etapa 2</v>
          </cell>
          <cell r="W211" t="str">
            <v>CERCANO</v>
          </cell>
          <cell r="X211">
            <v>3134864091</v>
          </cell>
          <cell r="Y211" t="str">
            <v>SUROCCIDENTE</v>
          </cell>
          <cell r="Z211"/>
          <cell r="AA211" t="str">
            <v>Ibague</v>
          </cell>
          <cell r="AB211" t="str">
            <v>Ibague</v>
          </cell>
          <cell r="AC211" t="str">
            <v>Calle 41 # 5 - 40 Barrio Restrepo</v>
          </cell>
          <cell r="AD211" t="str">
            <v>Tercer Turno</v>
          </cell>
          <cell r="AE211">
            <v>13095</v>
          </cell>
          <cell r="AF211">
            <v>9000</v>
          </cell>
          <cell r="AG211" t="str">
            <v>2.1 km</v>
          </cell>
          <cell r="AH211" t="str">
            <v>6 min</v>
          </cell>
          <cell r="AI211">
            <v>15000</v>
          </cell>
          <cell r="AJ211">
            <v>13500</v>
          </cell>
          <cell r="AK211">
            <v>-4500</v>
          </cell>
          <cell r="AL211">
            <v>13095</v>
          </cell>
        </row>
        <row r="212">
          <cell r="T212" t="str">
            <v xml:space="preserve">MACHADO NUÑEZ JASBLEYDI TATIANA </v>
          </cell>
          <cell r="U212" t="str">
            <v>MZ 38 Casa 2 Ciudadela Simon Bolivar Etapa 1</v>
          </cell>
          <cell r="V212" t="str">
            <v>Simon Bolivar</v>
          </cell>
          <cell r="W212" t="str">
            <v>CERCANO</v>
          </cell>
          <cell r="X212">
            <v>3102049394</v>
          </cell>
          <cell r="Y212" t="str">
            <v>SUROCCIDENTE</v>
          </cell>
          <cell r="Z212"/>
          <cell r="AA212" t="str">
            <v>Ibague</v>
          </cell>
          <cell r="AB212" t="str">
            <v>Ibague</v>
          </cell>
          <cell r="AC212" t="str">
            <v>Calle 41 # 5 - 40 Barrio Restrepo</v>
          </cell>
          <cell r="AD212" t="str">
            <v>Tercer Turno</v>
          </cell>
          <cell r="AE212">
            <v>13095</v>
          </cell>
          <cell r="AF212">
            <v>9000</v>
          </cell>
          <cell r="AG212" t="str">
            <v>6.2 km</v>
          </cell>
          <cell r="AH212" t="str">
            <v>14 min</v>
          </cell>
          <cell r="AI212">
            <v>15000</v>
          </cell>
          <cell r="AJ212">
            <v>13500</v>
          </cell>
          <cell r="AK212">
            <v>-4500</v>
          </cell>
          <cell r="AL212">
            <v>13095</v>
          </cell>
        </row>
        <row r="213">
          <cell r="T213" t="str">
            <v xml:space="preserve">RIVERA VARGAS DERNY YALIF </v>
          </cell>
          <cell r="U213" t="str">
            <v xml:space="preserve">MZ 11A Casa 3 Topacio </v>
          </cell>
          <cell r="V213" t="str">
            <v>Topacio</v>
          </cell>
          <cell r="W213" t="str">
            <v>CERCANO</v>
          </cell>
          <cell r="X213">
            <v>3115962682</v>
          </cell>
          <cell r="Y213" t="str">
            <v>SUROCCIDENTE</v>
          </cell>
          <cell r="Z213"/>
          <cell r="AA213" t="str">
            <v>Ibague</v>
          </cell>
          <cell r="AB213" t="str">
            <v>Ibague</v>
          </cell>
          <cell r="AC213" t="str">
            <v>Calle 41 # 5 - 40 Barrio Restrepo</v>
          </cell>
          <cell r="AD213" t="str">
            <v>Tercer Turno</v>
          </cell>
          <cell r="AE213">
            <v>13095</v>
          </cell>
          <cell r="AF213">
            <v>9000</v>
          </cell>
          <cell r="AG213" t="str">
            <v>5.8 km</v>
          </cell>
          <cell r="AH213" t="str">
            <v>14 min</v>
          </cell>
          <cell r="AI213">
            <v>15000</v>
          </cell>
          <cell r="AJ213">
            <v>13500</v>
          </cell>
          <cell r="AK213">
            <v>-4500</v>
          </cell>
          <cell r="AL213">
            <v>13095</v>
          </cell>
        </row>
        <row r="214">
          <cell r="T214" t="str">
            <v>MURCIA MORENO DIEGO</v>
          </cell>
          <cell r="U214" t="str">
            <v xml:space="preserve">Fortaleza 2 Torre F Apartamento 11-05 </v>
          </cell>
          <cell r="V214" t="str">
            <v>Fortaleza 2</v>
          </cell>
          <cell r="W214" t="str">
            <v>CERCANO</v>
          </cell>
          <cell r="X214">
            <v>3015559742</v>
          </cell>
          <cell r="Y214" t="str">
            <v>SUROCCIDENTE</v>
          </cell>
          <cell r="Z214"/>
          <cell r="AA214" t="str">
            <v>Ibague</v>
          </cell>
          <cell r="AB214" t="str">
            <v>Ibague</v>
          </cell>
          <cell r="AC214" t="str">
            <v>Calle 41 # 5 - 40 Barrio Restrepo</v>
          </cell>
          <cell r="AD214" t="str">
            <v>Tercer Turno</v>
          </cell>
          <cell r="AE214">
            <v>13095</v>
          </cell>
          <cell r="AF214">
            <v>9000</v>
          </cell>
          <cell r="AG214" t="str">
            <v>6.3 km</v>
          </cell>
          <cell r="AH214" t="str">
            <v>12 min</v>
          </cell>
          <cell r="AI214">
            <v>15000</v>
          </cell>
          <cell r="AJ214">
            <v>13500</v>
          </cell>
          <cell r="AK214">
            <v>-4500</v>
          </cell>
          <cell r="AL214">
            <v>13095</v>
          </cell>
        </row>
        <row r="215">
          <cell r="T215" t="str">
            <v xml:space="preserve">MAX DEVIA ERICA VICTORIA </v>
          </cell>
          <cell r="U215" t="str">
            <v>Calle 3 No. 7-29 Apto 1 Barrio Belen</v>
          </cell>
          <cell r="V215" t="str">
            <v>Belen</v>
          </cell>
          <cell r="W215" t="str">
            <v>CERCANO</v>
          </cell>
          <cell r="X215">
            <v>3223066546</v>
          </cell>
          <cell r="Y215" t="str">
            <v>SUROCCIDENTE</v>
          </cell>
          <cell r="Z215"/>
          <cell r="AA215" t="str">
            <v>Ibague</v>
          </cell>
          <cell r="AB215" t="str">
            <v>Ibague</v>
          </cell>
          <cell r="AC215" t="str">
            <v>Calle 41 # 5 - 40 Barrio Restrepo</v>
          </cell>
          <cell r="AD215" t="str">
            <v>Tercer Turno</v>
          </cell>
          <cell r="AE215">
            <v>13095</v>
          </cell>
          <cell r="AF215">
            <v>9000</v>
          </cell>
          <cell r="AG215" t="str">
            <v>4.3 km</v>
          </cell>
          <cell r="AH215" t="str">
            <v>10 min</v>
          </cell>
          <cell r="AI215">
            <v>15000</v>
          </cell>
          <cell r="AJ215">
            <v>13500</v>
          </cell>
          <cell r="AK215">
            <v>-4500</v>
          </cell>
          <cell r="AL215">
            <v>13095</v>
          </cell>
        </row>
        <row r="216">
          <cell r="T216" t="str">
            <v>DANNY LUCIA SANCHEZ CARO</v>
          </cell>
          <cell r="U216" t="str">
            <v>CR 8 N 40-75 RESTREPO Piso 1</v>
          </cell>
          <cell r="V216" t="str">
            <v>Restrepo</v>
          </cell>
          <cell r="W216" t="str">
            <v>CERCANO</v>
          </cell>
          <cell r="X216">
            <v>3168604910</v>
          </cell>
          <cell r="Y216" t="str">
            <v>SUROCCIDENTE</v>
          </cell>
          <cell r="Z216"/>
          <cell r="AA216" t="str">
            <v>Ibague</v>
          </cell>
          <cell r="AB216" t="str">
            <v>Ibague</v>
          </cell>
          <cell r="AC216" t="str">
            <v>Calle 41 # 5 - 40 Barrio Restrepo</v>
          </cell>
          <cell r="AD216" t="str">
            <v>Tercer Turno</v>
          </cell>
          <cell r="AE216">
            <v>13095</v>
          </cell>
          <cell r="AF216">
            <v>9000</v>
          </cell>
          <cell r="AG216" t="str">
            <v>3.2 km</v>
          </cell>
          <cell r="AH216" t="str">
            <v>6 min</v>
          </cell>
          <cell r="AI216">
            <v>15000</v>
          </cell>
          <cell r="AJ216">
            <v>13500</v>
          </cell>
          <cell r="AK216">
            <v>-4500</v>
          </cell>
          <cell r="AL216">
            <v>13095</v>
          </cell>
        </row>
        <row r="217">
          <cell r="T217" t="str">
            <v>LICETH NATALIA GOMEZ CORTES</v>
          </cell>
          <cell r="U217" t="str">
            <v>MZ 8 CASA 20 ETAPA 1 PRADERAS DE SANTA RITA</v>
          </cell>
          <cell r="V217" t="str">
            <v>Santa Rita</v>
          </cell>
          <cell r="W217" t="str">
            <v>CERCANO</v>
          </cell>
          <cell r="X217">
            <v>3114555159</v>
          </cell>
          <cell r="Y217" t="str">
            <v>SUROCCIDENTE</v>
          </cell>
          <cell r="Z217"/>
          <cell r="AA217" t="str">
            <v>Ibague</v>
          </cell>
          <cell r="AB217" t="str">
            <v>Ibague</v>
          </cell>
          <cell r="AC217" t="str">
            <v>Calle 41 # 5 - 40 Barrio Restrepo</v>
          </cell>
          <cell r="AD217" t="str">
            <v>Tercer Turno</v>
          </cell>
          <cell r="AE217">
            <v>13095</v>
          </cell>
          <cell r="AF217">
            <v>9000</v>
          </cell>
          <cell r="AG217" t="str">
            <v>9.2 km</v>
          </cell>
          <cell r="AH217" t="str">
            <v>15 min</v>
          </cell>
          <cell r="AI217">
            <v>15000</v>
          </cell>
          <cell r="AJ217">
            <v>13500</v>
          </cell>
          <cell r="AK217">
            <v>-4500</v>
          </cell>
          <cell r="AL217">
            <v>13095</v>
          </cell>
        </row>
        <row r="218">
          <cell r="T218" t="str">
            <v>KATERINE CAICEDO ESCOBAR</v>
          </cell>
          <cell r="U218" t="str">
            <v>CONDOMINIO SANTODOMINGO TORRE 4 APTO 208</v>
          </cell>
          <cell r="V218" t="str">
            <v>Santodomingo</v>
          </cell>
          <cell r="W218" t="str">
            <v>LEJANO</v>
          </cell>
          <cell r="X218">
            <v>3222707775</v>
          </cell>
          <cell r="Y218" t="str">
            <v>SUROCCIDENTE</v>
          </cell>
          <cell r="Z218"/>
          <cell r="AA218" t="str">
            <v>Ibague</v>
          </cell>
          <cell r="AB218" t="str">
            <v>Ibague</v>
          </cell>
          <cell r="AC218" t="str">
            <v>Calle 41 # 5 - 40 Barrio Restrepo</v>
          </cell>
          <cell r="AD218" t="str">
            <v>Tercer Turno</v>
          </cell>
          <cell r="AE218">
            <v>24250</v>
          </cell>
          <cell r="AF218">
            <v>15000</v>
          </cell>
          <cell r="AG218" t="str">
            <v>10 km</v>
          </cell>
          <cell r="AH218" t="str">
            <v>22 min</v>
          </cell>
          <cell r="AI218">
            <v>15000</v>
          </cell>
          <cell r="AJ218">
            <v>15000</v>
          </cell>
          <cell r="AK218">
            <v>0</v>
          </cell>
          <cell r="AL218">
            <v>14550</v>
          </cell>
        </row>
        <row r="219">
          <cell r="T219" t="str">
            <v>GRAJALES VELEZ MARTHA LILIANA</v>
          </cell>
          <cell r="U219" t="str">
            <v xml:space="preserve">Carrera 61 # 10 - 98 B/ pampalinda </v>
          </cell>
          <cell r="V219" t="str">
            <v>Pampalinda</v>
          </cell>
          <cell r="W219" t="str">
            <v>CERCANO</v>
          </cell>
          <cell r="X219">
            <v>3183271272</v>
          </cell>
          <cell r="Y219" t="str">
            <v>SUROCCIDENTE</v>
          </cell>
          <cell r="Z219"/>
          <cell r="AA219" t="str">
            <v>Cali</v>
          </cell>
          <cell r="AB219" t="str">
            <v>Imbanaco</v>
          </cell>
          <cell r="AC219" t="str">
            <v>Cll. 5B 4  # 38 -123</v>
          </cell>
          <cell r="AD219" t="str">
            <v>Primer Turno</v>
          </cell>
          <cell r="AE219">
            <v>13095</v>
          </cell>
          <cell r="AF219">
            <v>9000</v>
          </cell>
          <cell r="AG219" t="str">
            <v>3.7 km</v>
          </cell>
          <cell r="AH219" t="str">
            <v>10 min</v>
          </cell>
          <cell r="AI219">
            <v>15000</v>
          </cell>
          <cell r="AJ219">
            <v>13500</v>
          </cell>
          <cell r="AK219">
            <v>-4500</v>
          </cell>
          <cell r="AL219">
            <v>13095</v>
          </cell>
        </row>
        <row r="220">
          <cell r="T220" t="str">
            <v>VIDAL DIEGO FERNANDO</v>
          </cell>
          <cell r="U220" t="str">
            <v xml:space="preserve">Carrera 27 # 5b - 42 apto 203 B/ sanfernando  </v>
          </cell>
          <cell r="V220" t="str">
            <v>Santo Domingo</v>
          </cell>
          <cell r="W220" t="str">
            <v>CERCANO</v>
          </cell>
          <cell r="X220">
            <v>3004420569</v>
          </cell>
          <cell r="Y220" t="str">
            <v>SUROCCIDENTE</v>
          </cell>
          <cell r="Z220"/>
          <cell r="AA220" t="str">
            <v>Cali</v>
          </cell>
          <cell r="AB220" t="str">
            <v>Imbanaco</v>
          </cell>
          <cell r="AC220" t="str">
            <v>Cll. 5B 4  # 38 -123</v>
          </cell>
          <cell r="AD220" t="str">
            <v>Primer Turno</v>
          </cell>
          <cell r="AE220">
            <v>13095</v>
          </cell>
          <cell r="AF220">
            <v>9000</v>
          </cell>
          <cell r="AG220" t="str">
            <v>1.4 km</v>
          </cell>
          <cell r="AH220" t="str">
            <v>4 min</v>
          </cell>
          <cell r="AI220">
            <v>15000</v>
          </cell>
          <cell r="AJ220">
            <v>13500</v>
          </cell>
          <cell r="AK220">
            <v>-4500</v>
          </cell>
          <cell r="AL220">
            <v>13095</v>
          </cell>
        </row>
        <row r="221">
          <cell r="T221" t="str">
            <v>SALAZAR GONZALES GIOVANNA STELLA</v>
          </cell>
          <cell r="U221" t="str">
            <v xml:space="preserve">Carrera 38A # 13- 38 B/ el dorado </v>
          </cell>
          <cell r="V221" t="str">
            <v>El Dorado</v>
          </cell>
          <cell r="W221" t="str">
            <v>CERCANO</v>
          </cell>
          <cell r="X221">
            <v>3104677903</v>
          </cell>
          <cell r="Y221" t="str">
            <v>SUROCCIDENTE</v>
          </cell>
          <cell r="Z221"/>
          <cell r="AA221" t="str">
            <v>Cali</v>
          </cell>
          <cell r="AB221" t="str">
            <v>Imbanaco</v>
          </cell>
          <cell r="AC221" t="str">
            <v>Cll. 5B 4  # 38 -123</v>
          </cell>
          <cell r="AD221" t="str">
            <v>Primer Turno</v>
          </cell>
          <cell r="AE221">
            <v>13095</v>
          </cell>
          <cell r="AF221">
            <v>9000</v>
          </cell>
          <cell r="AG221" t="str">
            <v>4 km</v>
          </cell>
          <cell r="AH221" t="str">
            <v>11 min</v>
          </cell>
          <cell r="AI221">
            <v>15000</v>
          </cell>
          <cell r="AJ221">
            <v>13500</v>
          </cell>
          <cell r="AK221">
            <v>-4500</v>
          </cell>
          <cell r="AL221">
            <v>13095</v>
          </cell>
        </row>
        <row r="222">
          <cell r="T222" t="str">
            <v>OSORIO FRANCO CLEMENCIA</v>
          </cell>
          <cell r="U222" t="str">
            <v>Calle 47 # 96 - 55 B/ Valle de Lili - edificio  Atrium</v>
          </cell>
          <cell r="V222" t="str">
            <v>Valle del Lili</v>
          </cell>
          <cell r="W222" t="str">
            <v>CERCANO</v>
          </cell>
          <cell r="X222">
            <v>3204343385</v>
          </cell>
          <cell r="Y222" t="str">
            <v>SUROCCIDENTE</v>
          </cell>
          <cell r="Z222"/>
          <cell r="AA222" t="str">
            <v>Cali</v>
          </cell>
          <cell r="AB222" t="str">
            <v>Imbanaco</v>
          </cell>
          <cell r="AC222" t="str">
            <v>Cll. 5B 4  # 38 -123</v>
          </cell>
          <cell r="AD222" t="str">
            <v>Primer Turno</v>
          </cell>
          <cell r="AE222">
            <v>13095</v>
          </cell>
          <cell r="AF222">
            <v>9000</v>
          </cell>
          <cell r="AG222" t="str">
            <v>9.8 km</v>
          </cell>
          <cell r="AH222" t="str">
            <v>19 min</v>
          </cell>
          <cell r="AI222">
            <v>15000</v>
          </cell>
          <cell r="AJ222">
            <v>13500</v>
          </cell>
          <cell r="AK222">
            <v>-4500</v>
          </cell>
          <cell r="AL222">
            <v>13095</v>
          </cell>
        </row>
        <row r="223">
          <cell r="T223" t="str">
            <v>MASIAS KURE KAROL JANEN</v>
          </cell>
          <cell r="U223" t="str">
            <v xml:space="preserve">Calle 56 # 2BN - 43 B/ los alamos </v>
          </cell>
          <cell r="V223" t="str">
            <v>Los Alamos</v>
          </cell>
          <cell r="W223" t="str">
            <v>CERCANO</v>
          </cell>
          <cell r="X223">
            <v>3104675126</v>
          </cell>
          <cell r="Y223" t="str">
            <v>SUROCCIDENTE</v>
          </cell>
          <cell r="Z223"/>
          <cell r="AA223" t="str">
            <v>Cali</v>
          </cell>
          <cell r="AB223" t="str">
            <v>Imbanaco</v>
          </cell>
          <cell r="AC223" t="str">
            <v>Cll. 5B 4  # 38 -123</v>
          </cell>
          <cell r="AD223" t="str">
            <v>Tercer Turno</v>
          </cell>
          <cell r="AE223">
            <v>13095</v>
          </cell>
          <cell r="AF223">
            <v>9000</v>
          </cell>
          <cell r="AG223" t="str">
            <v>9.3 km</v>
          </cell>
          <cell r="AH223" t="str">
            <v>18 min</v>
          </cell>
          <cell r="AI223">
            <v>15000</v>
          </cell>
          <cell r="AJ223">
            <v>13500</v>
          </cell>
          <cell r="AK223">
            <v>-4500</v>
          </cell>
          <cell r="AL223">
            <v>13095</v>
          </cell>
        </row>
        <row r="224">
          <cell r="T224" t="str">
            <v>TREJOS TREJOS LUZ ANGELA</v>
          </cell>
          <cell r="U224" t="str">
            <v>Carrera 39 # 7- 10 apto 102 Unidad Nueva Granada</v>
          </cell>
          <cell r="V224" t="str">
            <v>Templeto</v>
          </cell>
          <cell r="W224" t="str">
            <v>CERCANO</v>
          </cell>
          <cell r="X224">
            <v>3136928457</v>
          </cell>
          <cell r="Y224" t="str">
            <v>SUROCCIDENTE</v>
          </cell>
          <cell r="Z224"/>
          <cell r="AA224" t="str">
            <v>Cali</v>
          </cell>
          <cell r="AB224" t="str">
            <v>Imbanaco</v>
          </cell>
          <cell r="AC224" t="str">
            <v>Cll. 5B 4  # 38 -123</v>
          </cell>
          <cell r="AD224" t="str">
            <v>Tercer Turno</v>
          </cell>
          <cell r="AE224">
            <v>13095</v>
          </cell>
          <cell r="AF224">
            <v>9000</v>
          </cell>
          <cell r="AG224" t="str">
            <v>1.3 km</v>
          </cell>
          <cell r="AH224" t="str">
            <v>5 min</v>
          </cell>
          <cell r="AI224">
            <v>15000</v>
          </cell>
          <cell r="AJ224">
            <v>13500</v>
          </cell>
          <cell r="AK224">
            <v>-4500</v>
          </cell>
          <cell r="AL224">
            <v>13095</v>
          </cell>
        </row>
        <row r="225">
          <cell r="T225" t="str">
            <v>SAMUEL RESTREPO AGUJA</v>
          </cell>
          <cell r="U225" t="str">
            <v>Calle 85 # 2802 - 84 B/ Mojica</v>
          </cell>
          <cell r="V225" t="str">
            <v>Mojica</v>
          </cell>
          <cell r="W225" t="str">
            <v>CERCANO</v>
          </cell>
          <cell r="X225">
            <v>3052636472</v>
          </cell>
          <cell r="Y225" t="str">
            <v>SUROCCIDENTE</v>
          </cell>
          <cell r="Z225"/>
          <cell r="AA225" t="str">
            <v>Cali</v>
          </cell>
          <cell r="AB225" t="str">
            <v>Imbanaco</v>
          </cell>
          <cell r="AC225" t="str">
            <v>Cll. 5B 4  # 38 -123</v>
          </cell>
          <cell r="AD225" t="str">
            <v>Tercer Turno</v>
          </cell>
          <cell r="AE225">
            <v>13095</v>
          </cell>
          <cell r="AF225">
            <v>9000</v>
          </cell>
          <cell r="AG225" t="str">
            <v>8.6 km</v>
          </cell>
          <cell r="AH225" t="str">
            <v>21 min</v>
          </cell>
          <cell r="AI225">
            <v>15000</v>
          </cell>
          <cell r="AJ225">
            <v>13500</v>
          </cell>
          <cell r="AK225">
            <v>-4500</v>
          </cell>
          <cell r="AL225">
            <v>13095</v>
          </cell>
        </row>
        <row r="226">
          <cell r="T226" t="str">
            <v xml:space="preserve">MARLEDY RUIZ </v>
          </cell>
          <cell r="U226" t="str">
            <v>CRA 38D # 4C - 63 BARRIO SANTA ISABEL</v>
          </cell>
          <cell r="V226" t="str">
            <v>Santa Isabel</v>
          </cell>
          <cell r="W226" t="str">
            <v>CERCANO</v>
          </cell>
          <cell r="X226">
            <v>3043938620</v>
          </cell>
          <cell r="Y226" t="str">
            <v>SUROCCIDENTE</v>
          </cell>
          <cell r="Z226"/>
          <cell r="AA226" t="str">
            <v>Cali</v>
          </cell>
          <cell r="AB226" t="str">
            <v>Imbanaco</v>
          </cell>
          <cell r="AC226" t="str">
            <v>Cll. 5B 4  # 38 -123</v>
          </cell>
          <cell r="AD226" t="str">
            <v>Tercer Turno</v>
          </cell>
          <cell r="AE226">
            <v>13095</v>
          </cell>
          <cell r="AF226">
            <v>9000</v>
          </cell>
          <cell r="AG226" t="str">
            <v>2.1 km</v>
          </cell>
          <cell r="AH226" t="str">
            <v>6 min</v>
          </cell>
          <cell r="AI226">
            <v>15000</v>
          </cell>
          <cell r="AJ226">
            <v>13500</v>
          </cell>
          <cell r="AK226">
            <v>-4500</v>
          </cell>
          <cell r="AL226">
            <v>13095</v>
          </cell>
        </row>
        <row r="227">
          <cell r="T227" t="str">
            <v>MEJIA ARBOLEDA FRANCISCO JAVIER</v>
          </cell>
          <cell r="U227" t="str">
            <v>Transv 32 Sur # 32B 33 Magnolia-Envigado</v>
          </cell>
          <cell r="V227" t="str">
            <v>Envigado</v>
          </cell>
          <cell r="W227" t="str">
            <v>LEJANO</v>
          </cell>
          <cell r="X227">
            <v>3052570011</v>
          </cell>
          <cell r="Y227" t="str">
            <v>SUROCCIDENTE</v>
          </cell>
          <cell r="Z227"/>
          <cell r="AA227" t="str">
            <v>Medellin</v>
          </cell>
          <cell r="AB227" t="str">
            <v>Las Américas</v>
          </cell>
          <cell r="AC227" t="str">
            <v xml:space="preserve">Dg.75B # 2 A - 80 piso 3 </v>
          </cell>
          <cell r="AD227" t="str">
            <v>Primer Turno</v>
          </cell>
          <cell r="AE227">
            <v>17460</v>
          </cell>
          <cell r="AF227">
            <v>13000</v>
          </cell>
          <cell r="AG227" t="str">
            <v>12 km</v>
          </cell>
          <cell r="AH227" t="str">
            <v>20 min</v>
          </cell>
          <cell r="AI227">
            <v>20000</v>
          </cell>
          <cell r="AJ227">
            <v>18000</v>
          </cell>
          <cell r="AK227">
            <v>-5000</v>
          </cell>
          <cell r="AL227">
            <v>17460</v>
          </cell>
        </row>
        <row r="228">
          <cell r="T228" t="str">
            <v>CONTRERAS SANDOVAL KATIUSCA</v>
          </cell>
          <cell r="U228" t="str">
            <v>Cra 42C # 45C Sur 59 Urb Villas del prado - Envigado</v>
          </cell>
          <cell r="V228" t="str">
            <v>Envigado</v>
          </cell>
          <cell r="W228" t="str">
            <v>LEJANO</v>
          </cell>
          <cell r="X228">
            <v>3043674343</v>
          </cell>
          <cell r="Y228" t="str">
            <v>SUROCCIDENTE</v>
          </cell>
          <cell r="Z228"/>
          <cell r="AA228" t="str">
            <v>Medellin</v>
          </cell>
          <cell r="AB228" t="str">
            <v>Las Américas</v>
          </cell>
          <cell r="AC228" t="str">
            <v xml:space="preserve">Dg.75B # 2 A - 80 piso 3 </v>
          </cell>
          <cell r="AD228" t="str">
            <v>Primer Turno</v>
          </cell>
          <cell r="AE228">
            <v>17460</v>
          </cell>
          <cell r="AF228">
            <v>13000</v>
          </cell>
          <cell r="AG228" t="str">
            <v>12 km</v>
          </cell>
          <cell r="AH228" t="str">
            <v>20 min</v>
          </cell>
          <cell r="AI228">
            <v>20000</v>
          </cell>
          <cell r="AJ228">
            <v>18000</v>
          </cell>
          <cell r="AK228">
            <v>-5000</v>
          </cell>
          <cell r="AL228">
            <v>17460</v>
          </cell>
        </row>
        <row r="229">
          <cell r="T229" t="str">
            <v>GOMEZ CADAVID ALEXANDRA</v>
          </cell>
          <cell r="U229" t="str">
            <v>Calle 32C # 28 A 65 Ciudadela Antares Loreto-la milagrosa</v>
          </cell>
          <cell r="V229" t="str">
            <v>La Milagrosa</v>
          </cell>
          <cell r="W229" t="str">
            <v>ORDEN PUBLICO</v>
          </cell>
          <cell r="X229">
            <v>3205370999</v>
          </cell>
          <cell r="Y229" t="str">
            <v>SUROCCIDENTE</v>
          </cell>
          <cell r="Z229"/>
          <cell r="AA229" t="str">
            <v>Medellin</v>
          </cell>
          <cell r="AB229" t="str">
            <v>Las Américas</v>
          </cell>
          <cell r="AC229" t="str">
            <v xml:space="preserve">Dg.75B # 2 A - 80 piso 3 </v>
          </cell>
          <cell r="AD229" t="str">
            <v>Primer Turno</v>
          </cell>
          <cell r="AE229">
            <v>17460</v>
          </cell>
          <cell r="AF229">
            <v>13000</v>
          </cell>
          <cell r="AG229" t="str">
            <v>6 km</v>
          </cell>
          <cell r="AH229" t="str">
            <v>15 min</v>
          </cell>
          <cell r="AI229">
            <v>20000</v>
          </cell>
          <cell r="AJ229">
            <v>18000</v>
          </cell>
          <cell r="AK229">
            <v>-5000</v>
          </cell>
          <cell r="AL229">
            <v>17460</v>
          </cell>
        </row>
        <row r="230">
          <cell r="T230" t="str">
            <v>FORERO HERNANDEZ KAREN PATRICIA</v>
          </cell>
          <cell r="U230" t="str">
            <v>Tranv 35 Sur # 30-02 Conjunto Terranova Sebastiana -Envigado</v>
          </cell>
          <cell r="V230" t="str">
            <v>Envigado</v>
          </cell>
          <cell r="W230" t="str">
            <v>LEJANO</v>
          </cell>
          <cell r="X230">
            <v>3008736368</v>
          </cell>
          <cell r="Y230" t="str">
            <v>SUROCCIDENTE</v>
          </cell>
          <cell r="Z230"/>
          <cell r="AA230" t="str">
            <v>Medellin</v>
          </cell>
          <cell r="AB230" t="str">
            <v>Las Américas</v>
          </cell>
          <cell r="AC230" t="str">
            <v xml:space="preserve">Dg.75B # 2 A - 80 piso 3 </v>
          </cell>
          <cell r="AD230" t="str">
            <v>Primer Turno</v>
          </cell>
          <cell r="AE230">
            <v>17460</v>
          </cell>
          <cell r="AF230">
            <v>13000</v>
          </cell>
          <cell r="AG230" t="str">
            <v>12 km</v>
          </cell>
          <cell r="AH230" t="str">
            <v>20 min</v>
          </cell>
          <cell r="AI230">
            <v>20000</v>
          </cell>
          <cell r="AJ230">
            <v>18000</v>
          </cell>
          <cell r="AK230">
            <v>-5000</v>
          </cell>
          <cell r="AL230">
            <v>17460</v>
          </cell>
        </row>
        <row r="231">
          <cell r="T231" t="str">
            <v>GARCIA YEPES CILENIA MARIA</v>
          </cell>
          <cell r="U231" t="str">
            <v>Cra 25 A # 40-205 Cataluña ladrillos - la milagrosa</v>
          </cell>
          <cell r="V231" t="str">
            <v>La Milagrosa</v>
          </cell>
          <cell r="W231" t="str">
            <v>ORDEN PUBLICO</v>
          </cell>
          <cell r="X231">
            <v>3017259862</v>
          </cell>
          <cell r="Y231" t="str">
            <v>SUROCCIDENTE</v>
          </cell>
          <cell r="Z231"/>
          <cell r="AA231" t="str">
            <v>Medellin</v>
          </cell>
          <cell r="AB231" t="str">
            <v>Las Américas</v>
          </cell>
          <cell r="AC231" t="str">
            <v xml:space="preserve">Dg.75B # 2 A - 80 piso 3 </v>
          </cell>
          <cell r="AD231" t="str">
            <v>Primer Turno</v>
          </cell>
          <cell r="AE231">
            <v>17460</v>
          </cell>
          <cell r="AF231">
            <v>13000</v>
          </cell>
          <cell r="AG231" t="str">
            <v>6 km</v>
          </cell>
          <cell r="AH231" t="str">
            <v>15 min</v>
          </cell>
          <cell r="AI231">
            <v>20000</v>
          </cell>
          <cell r="AJ231">
            <v>18000</v>
          </cell>
          <cell r="AK231">
            <v>-5000</v>
          </cell>
          <cell r="AL231">
            <v>17460</v>
          </cell>
        </row>
        <row r="232">
          <cell r="T232" t="str">
            <v>RENGIFO ANDRES</v>
          </cell>
          <cell r="U232" t="str">
            <v>Cra 46A # 42 Sur 75 Condominio Milan 3 - Envigado</v>
          </cell>
          <cell r="V232" t="str">
            <v>Envigado</v>
          </cell>
          <cell r="W232" t="str">
            <v>LEJANO</v>
          </cell>
          <cell r="X232">
            <v>3185240486</v>
          </cell>
          <cell r="Y232" t="str">
            <v>SUROCCIDENTE</v>
          </cell>
          <cell r="Z232"/>
          <cell r="AA232" t="str">
            <v>Medellin</v>
          </cell>
          <cell r="AB232" t="str">
            <v>Las Américas</v>
          </cell>
          <cell r="AC232" t="str">
            <v xml:space="preserve">Dg.75B # 2 A - 80 piso 3 </v>
          </cell>
          <cell r="AD232" t="str">
            <v>Primer Turno</v>
          </cell>
          <cell r="AE232">
            <v>17460</v>
          </cell>
          <cell r="AF232">
            <v>13000</v>
          </cell>
          <cell r="AG232" t="str">
            <v>12 km</v>
          </cell>
          <cell r="AH232" t="str">
            <v>20 min</v>
          </cell>
          <cell r="AI232">
            <v>20000</v>
          </cell>
          <cell r="AJ232">
            <v>18000</v>
          </cell>
          <cell r="AK232">
            <v>-5000</v>
          </cell>
          <cell r="AL232">
            <v>17460</v>
          </cell>
        </row>
        <row r="233">
          <cell r="T233" t="str">
            <v>AMANDA CORDOBA</v>
          </cell>
          <cell r="U233" t="str">
            <v>CALLE 39N 26D-18 LA MILAGROSA</v>
          </cell>
          <cell r="V233" t="str">
            <v>La Milagrosa</v>
          </cell>
          <cell r="W233" t="str">
            <v>ORDEN PUBLICO</v>
          </cell>
          <cell r="X233">
            <v>3114184754</v>
          </cell>
          <cell r="Y233" t="str">
            <v>SUROCCIDENTE</v>
          </cell>
          <cell r="Z233"/>
          <cell r="AA233" t="str">
            <v>Medellin</v>
          </cell>
          <cell r="AB233" t="str">
            <v>Las Américas</v>
          </cell>
          <cell r="AC233" t="str">
            <v xml:space="preserve">Dg.75B # 2 A - 80 piso 3 </v>
          </cell>
          <cell r="AD233" t="str">
            <v>Primer Turno</v>
          </cell>
          <cell r="AE233">
            <v>21825</v>
          </cell>
          <cell r="AF233">
            <v>20000</v>
          </cell>
          <cell r="AG233" t="str">
            <v>6 km</v>
          </cell>
          <cell r="AH233" t="str">
            <v>15 min</v>
          </cell>
          <cell r="AI233">
            <v>25000</v>
          </cell>
          <cell r="AJ233">
            <v>22500</v>
          </cell>
          <cell r="AK233">
            <v>-2500</v>
          </cell>
          <cell r="AL233">
            <v>21825</v>
          </cell>
        </row>
        <row r="234">
          <cell r="T234" t="str">
            <v>SIERRA SERNA DIANA MARIA</v>
          </cell>
          <cell r="U234" t="str">
            <v>Cra 77 # 60-45 San German Urb Cuarzo-Robledo</v>
          </cell>
          <cell r="V234" t="str">
            <v>ROBLEDO</v>
          </cell>
          <cell r="W234" t="str">
            <v>ORDEN PUBLICO</v>
          </cell>
          <cell r="X234">
            <v>3052644225</v>
          </cell>
          <cell r="Y234" t="str">
            <v>SUROCCIDENTE</v>
          </cell>
          <cell r="Z234"/>
          <cell r="AA234" t="str">
            <v>Medellin</v>
          </cell>
          <cell r="AB234" t="str">
            <v>Las Américas</v>
          </cell>
          <cell r="AC234" t="str">
            <v xml:space="preserve">Dg.75B # 2 A - 80 piso 3 </v>
          </cell>
          <cell r="AD234" t="str">
            <v>Tercer Turno</v>
          </cell>
          <cell r="AE234">
            <v>17460</v>
          </cell>
          <cell r="AF234">
            <v>20000</v>
          </cell>
          <cell r="AG234" t="str">
            <v>5 km</v>
          </cell>
          <cell r="AH234" t="str">
            <v>12 min</v>
          </cell>
          <cell r="AI234">
            <v>20000</v>
          </cell>
          <cell r="AJ234">
            <v>18000</v>
          </cell>
          <cell r="AK234">
            <v>2000</v>
          </cell>
          <cell r="AL234">
            <v>17460</v>
          </cell>
        </row>
        <row r="235">
          <cell r="T235" t="str">
            <v>GARCIA YEPES CILENIA MARIA</v>
          </cell>
          <cell r="U235" t="str">
            <v>Cra 25 A # 40-205 Cataluña ladrillos - la milagrosa</v>
          </cell>
          <cell r="V235" t="str">
            <v>La Milagrosa</v>
          </cell>
          <cell r="W235" t="str">
            <v>ORDEN PUBLICO</v>
          </cell>
          <cell r="X235">
            <v>3017259862</v>
          </cell>
          <cell r="Y235" t="str">
            <v>SUROCCIDENTE</v>
          </cell>
          <cell r="Z235"/>
          <cell r="AA235" t="str">
            <v>Medellin</v>
          </cell>
          <cell r="AB235" t="str">
            <v>Las Américas</v>
          </cell>
          <cell r="AC235" t="str">
            <v xml:space="preserve">Dg.75B # 2 A - 80 piso 3 </v>
          </cell>
          <cell r="AD235" t="str">
            <v>Tercer Turno</v>
          </cell>
          <cell r="AE235">
            <v>17460</v>
          </cell>
          <cell r="AF235">
            <v>18000</v>
          </cell>
          <cell r="AG235" t="str">
            <v>6 km</v>
          </cell>
          <cell r="AH235" t="str">
            <v>15 min</v>
          </cell>
          <cell r="AI235">
            <v>20000</v>
          </cell>
          <cell r="AJ235">
            <v>18000</v>
          </cell>
          <cell r="AK235">
            <v>0</v>
          </cell>
          <cell r="AL235">
            <v>17460</v>
          </cell>
        </row>
        <row r="236">
          <cell r="T236" t="str">
            <v>GIRALDO JARAMILLO YULIANA</v>
          </cell>
          <cell r="U236" t="str">
            <v>Cra 26 #24_08</v>
          </cell>
          <cell r="V236" t="str">
            <v>Centro</v>
          </cell>
          <cell r="W236" t="str">
            <v>CERCANO</v>
          </cell>
          <cell r="X236">
            <v>3148542051</v>
          </cell>
          <cell r="Y236" t="str">
            <v>SUROCCIDENTE</v>
          </cell>
          <cell r="Z236"/>
          <cell r="AA236" t="str">
            <v>Manizales</v>
          </cell>
          <cell r="AB236" t="str">
            <v>Manizales</v>
          </cell>
          <cell r="AC236" t="str">
            <v>Cra. 23 # 39 - 25 Piso 2
Antiguo Edificio Clínica Manizales
(IPS Caprecom Clínica Manizales)</v>
          </cell>
          <cell r="AD236" t="str">
            <v>Primer Turno</v>
          </cell>
          <cell r="AE236">
            <v>13095</v>
          </cell>
          <cell r="AF236">
            <v>9000</v>
          </cell>
          <cell r="AG236" t="str">
            <v>1.4 km</v>
          </cell>
          <cell r="AH236" t="str">
            <v>5 min</v>
          </cell>
          <cell r="AI236">
            <v>15000</v>
          </cell>
          <cell r="AJ236">
            <v>13500</v>
          </cell>
          <cell r="AK236">
            <v>-4500</v>
          </cell>
          <cell r="AL236">
            <v>13095</v>
          </cell>
        </row>
        <row r="237">
          <cell r="T237" t="str">
            <v>GUTIERREZ CASTRO MARTHA ELENA</v>
          </cell>
          <cell r="U237" t="str">
            <v>CLL 10 A NO. 2 - 14 VILLAMARIA</v>
          </cell>
          <cell r="V237" t="str">
            <v>Urapanes</v>
          </cell>
          <cell r="W237" t="str">
            <v>INTERMUNICIPAL</v>
          </cell>
          <cell r="X237">
            <v>3012099667</v>
          </cell>
          <cell r="Y237" t="str">
            <v>SUROCCIDENTE</v>
          </cell>
          <cell r="Z237"/>
          <cell r="AA237" t="str">
            <v>Manizales</v>
          </cell>
          <cell r="AB237" t="str">
            <v>Manizales</v>
          </cell>
          <cell r="AC237" t="str">
            <v>Cra. 23 # 39 - 25 Piso 2
Antiguo Edificio Clínica Manizales
(IPS Caprecom Clínica Manizales)</v>
          </cell>
          <cell r="AD237" t="str">
            <v>Primer Turno</v>
          </cell>
          <cell r="AE237">
            <v>30555</v>
          </cell>
          <cell r="AF237">
            <v>30000</v>
          </cell>
          <cell r="AG237" t="str">
            <v>13 km</v>
          </cell>
          <cell r="AH237" t="str">
            <v>20 min</v>
          </cell>
          <cell r="AI237">
            <v>20000</v>
          </cell>
          <cell r="AJ237">
            <v>18000</v>
          </cell>
          <cell r="AK237">
            <v>12000</v>
          </cell>
          <cell r="AL237">
            <v>17460</v>
          </cell>
        </row>
        <row r="238">
          <cell r="T238" t="str">
            <v>HERNANDEZ CARMONA ERIKA NATALIA</v>
          </cell>
          <cell r="U238" t="str">
            <v>CRA 43B N. 11-16</v>
          </cell>
          <cell r="V238" t="str">
            <v>Estambul</v>
          </cell>
          <cell r="W238" t="str">
            <v>CERCANO</v>
          </cell>
          <cell r="X238">
            <v>3234573968</v>
          </cell>
          <cell r="Y238" t="str">
            <v>SUROCCIDENTE</v>
          </cell>
          <cell r="Z238"/>
          <cell r="AA238" t="str">
            <v>Manizales</v>
          </cell>
          <cell r="AB238" t="str">
            <v>Manizales</v>
          </cell>
          <cell r="AC238" t="str">
            <v>Cra. 23 # 39 - 25 Piso 2
Antiguo Edificio Clínica Manizales
(IPS Caprecom Clínica Manizales)</v>
          </cell>
          <cell r="AD238" t="str">
            <v>Primer Turno</v>
          </cell>
          <cell r="AE238">
            <v>13095</v>
          </cell>
          <cell r="AF238">
            <v>9000</v>
          </cell>
          <cell r="AG238" t="str">
            <v>6.4 km</v>
          </cell>
          <cell r="AH238" t="str">
            <v>13 min</v>
          </cell>
          <cell r="AI238">
            <v>15000</v>
          </cell>
          <cell r="AJ238">
            <v>13500</v>
          </cell>
          <cell r="AK238">
            <v>-4500</v>
          </cell>
          <cell r="AL238">
            <v>13095</v>
          </cell>
        </row>
        <row r="239">
          <cell r="T239" t="str">
            <v>MONTOYA OCAMPO DIANA YANETH</v>
          </cell>
          <cell r="U239" t="str">
            <v>Calle 105f # 27 - 08 conjunto residencial bosques de la enea</v>
          </cell>
          <cell r="V239" t="str">
            <v>La Enea</v>
          </cell>
          <cell r="W239" t="str">
            <v>INTERMUNICIPAL</v>
          </cell>
          <cell r="X239">
            <v>3164468195</v>
          </cell>
          <cell r="Y239" t="str">
            <v>SUROCCIDENTE</v>
          </cell>
          <cell r="Z239"/>
          <cell r="AA239" t="str">
            <v>Manizales</v>
          </cell>
          <cell r="AB239" t="str">
            <v>Manizales</v>
          </cell>
          <cell r="AC239" t="str">
            <v>Cra. 23 # 39 - 25 Piso 2
Antiguo Edificio Clínica Manizales
(IPS Caprecom Clínica Manizales)</v>
          </cell>
          <cell r="AD239" t="str">
            <v>Primer Turno</v>
          </cell>
          <cell r="AE239">
            <v>30555</v>
          </cell>
          <cell r="AF239">
            <v>30000</v>
          </cell>
          <cell r="AG239" t="str">
            <v>15 km</v>
          </cell>
          <cell r="AH239" t="str">
            <v>25 min</v>
          </cell>
          <cell r="AI239">
            <v>20000</v>
          </cell>
          <cell r="AJ239">
            <v>18000</v>
          </cell>
          <cell r="AK239">
            <v>12000</v>
          </cell>
          <cell r="AL239">
            <v>17460</v>
          </cell>
        </row>
        <row r="240">
          <cell r="T240" t="str">
            <v>OROZCO LOPEZ PAULA ALEJANDRA</v>
          </cell>
          <cell r="U240" t="str">
            <v>CR 11 No 13-05 TORRES DE COMPOHERMOS Apt 404 torre A</v>
          </cell>
          <cell r="V240" t="str">
            <v>Chipre</v>
          </cell>
          <cell r="W240" t="str">
            <v>CERCANO</v>
          </cell>
          <cell r="X240">
            <v>3013891655</v>
          </cell>
          <cell r="Y240" t="str">
            <v>SUROCCIDENTE</v>
          </cell>
          <cell r="Z240"/>
          <cell r="AA240" t="str">
            <v>Manizales</v>
          </cell>
          <cell r="AB240" t="str">
            <v>Manizales</v>
          </cell>
          <cell r="AC240" t="str">
            <v>Cra. 23 # 39 - 25 Piso 2
Antiguo Edificio Clínica Manizales
(IPS Caprecom Clínica Manizales)</v>
          </cell>
          <cell r="AD240" t="str">
            <v>Primer Turno</v>
          </cell>
          <cell r="AE240">
            <v>13095</v>
          </cell>
          <cell r="AF240">
            <v>9000</v>
          </cell>
          <cell r="AG240" t="str">
            <v xml:space="preserve">3.1 km </v>
          </cell>
          <cell r="AH240" t="str">
            <v>8 min</v>
          </cell>
          <cell r="AI240">
            <v>15000</v>
          </cell>
          <cell r="AJ240">
            <v>13500</v>
          </cell>
          <cell r="AK240">
            <v>-4500</v>
          </cell>
          <cell r="AL240">
            <v>13095</v>
          </cell>
        </row>
        <row r="241">
          <cell r="T241" t="str">
            <v>RESTREPO GONZALEZ GERARDO ANDRES</v>
          </cell>
          <cell r="U241" t="str">
            <v xml:space="preserve">Calle 103A # 32a-65 </v>
          </cell>
          <cell r="V241" t="str">
            <v>La Enea</v>
          </cell>
          <cell r="W241" t="str">
            <v xml:space="preserve">INTERMUNICIPAL </v>
          </cell>
          <cell r="X241">
            <v>3122157912</v>
          </cell>
          <cell r="Y241" t="str">
            <v>SUROCCIDENTE</v>
          </cell>
          <cell r="Z241"/>
          <cell r="AA241" t="str">
            <v>Manizales</v>
          </cell>
          <cell r="AB241" t="str">
            <v>Manizales</v>
          </cell>
          <cell r="AC241" t="str">
            <v>Cra. 23 # 39 - 25 Piso 2
Antiguo Edificio Clínica Manizales
(IPS Caprecom Clínica Manizales)</v>
          </cell>
          <cell r="AD241" t="str">
            <v>Primer Turno</v>
          </cell>
          <cell r="AE241">
            <v>30555</v>
          </cell>
          <cell r="AF241">
            <v>30000</v>
          </cell>
          <cell r="AG241" t="str">
            <v>15 km</v>
          </cell>
          <cell r="AH241" t="str">
            <v>25 min</v>
          </cell>
          <cell r="AI241">
            <v>20000</v>
          </cell>
          <cell r="AJ241">
            <v>18000</v>
          </cell>
          <cell r="AK241">
            <v>12000</v>
          </cell>
          <cell r="AL241">
            <v>17460</v>
          </cell>
        </row>
        <row r="242">
          <cell r="T242" t="str">
            <v>SALAZAR CORREA LUISA FERNANDA</v>
          </cell>
          <cell r="U242" t="str">
            <v>CLL 49G N. 34C-27</v>
          </cell>
          <cell r="V242" t="str">
            <v>El Guamal</v>
          </cell>
          <cell r="W242" t="str">
            <v>CERCANO</v>
          </cell>
          <cell r="X242">
            <v>3207202410</v>
          </cell>
          <cell r="Y242" t="str">
            <v>SUROCCIDENTE</v>
          </cell>
          <cell r="Z242"/>
          <cell r="AA242" t="str">
            <v>Manizales</v>
          </cell>
          <cell r="AB242" t="str">
            <v>Manizales</v>
          </cell>
          <cell r="AC242" t="str">
            <v>Cra. 23 # 39 - 25 Piso 2
Antiguo Edificio Clínica Manizales
(IPS Caprecom Clínica Manizales)</v>
          </cell>
          <cell r="AD242" t="str">
            <v>Primer Turno</v>
          </cell>
          <cell r="AE242">
            <v>13095</v>
          </cell>
          <cell r="AF242">
            <v>9000</v>
          </cell>
          <cell r="AG242" t="str">
            <v>2.8 km</v>
          </cell>
          <cell r="AH242" t="str">
            <v>7 min</v>
          </cell>
          <cell r="AI242">
            <v>15000</v>
          </cell>
          <cell r="AJ242">
            <v>13500</v>
          </cell>
          <cell r="AK242">
            <v>-4500</v>
          </cell>
          <cell r="AL242">
            <v>13095</v>
          </cell>
        </row>
        <row r="243">
          <cell r="T243" t="str">
            <v>LEYTON MENESES JUAN JOSE</v>
          </cell>
          <cell r="U243" t="str">
            <v>CALLE 69B No 27-95 apt 4a Edificio Apeninos</v>
          </cell>
          <cell r="V243" t="str">
            <v>Palermo</v>
          </cell>
          <cell r="W243" t="str">
            <v>CERCANO</v>
          </cell>
          <cell r="X243">
            <v>3156615051</v>
          </cell>
          <cell r="Y243" t="str">
            <v>SUROCCIDENTE</v>
          </cell>
          <cell r="Z243"/>
          <cell r="AA243" t="str">
            <v>Manizales</v>
          </cell>
          <cell r="AB243" t="str">
            <v>Manizales</v>
          </cell>
          <cell r="AC243" t="str">
            <v>Cra. 23 # 39 - 25 Piso 2
Antiguo Edificio Clínica Manizales
(IPS Caprecom Clínica Manizales)</v>
          </cell>
          <cell r="AD243" t="str">
            <v>Primer Turno</v>
          </cell>
          <cell r="AE243">
            <v>13095</v>
          </cell>
          <cell r="AF243">
            <v>9000</v>
          </cell>
          <cell r="AG243" t="str">
            <v>4.2 km</v>
          </cell>
          <cell r="AH243" t="str">
            <v>11 min</v>
          </cell>
          <cell r="AI243">
            <v>15000</v>
          </cell>
          <cell r="AJ243">
            <v>13500</v>
          </cell>
          <cell r="AK243">
            <v>-4500</v>
          </cell>
          <cell r="AL243">
            <v>13095</v>
          </cell>
        </row>
        <row r="244">
          <cell r="T244" t="str">
            <v>AGUIRRE GONZALEZ ALEXANDRA PATRICIA</v>
          </cell>
          <cell r="U244" t="str">
            <v>CALLE 18 B # 6A-03</v>
          </cell>
          <cell r="V244" t="str">
            <v>Turin</v>
          </cell>
          <cell r="W244" t="str">
            <v>INTERMUNICIPAL</v>
          </cell>
          <cell r="X244">
            <v>3137909782</v>
          </cell>
          <cell r="Y244" t="str">
            <v>SUROCCIDENTE</v>
          </cell>
          <cell r="Z244"/>
          <cell r="AA244" t="str">
            <v>Manizales</v>
          </cell>
          <cell r="AB244" t="str">
            <v>Manizales</v>
          </cell>
          <cell r="AC244" t="str">
            <v>Cra. 23 # 39 - 25 Piso 2
Antiguo Edificio Clínica Manizales
(IPS Caprecom Clínica Manizales)</v>
          </cell>
          <cell r="AD244" t="str">
            <v>Tercer Turno</v>
          </cell>
          <cell r="AE244">
            <v>30555</v>
          </cell>
          <cell r="AF244">
            <v>30000</v>
          </cell>
          <cell r="AG244" t="str">
            <v>13 km</v>
          </cell>
          <cell r="AH244" t="str">
            <v>20 min</v>
          </cell>
          <cell r="AI244">
            <v>20000</v>
          </cell>
          <cell r="AJ244">
            <v>18000</v>
          </cell>
          <cell r="AK244">
            <v>12000</v>
          </cell>
          <cell r="AL244">
            <v>17460</v>
          </cell>
        </row>
        <row r="245">
          <cell r="T245" t="str">
            <v>BETANCUR HERRERA DANIELA ISABEL</v>
          </cell>
          <cell r="U245" t="str">
            <v>CR 23 No 49-71 apt 506</v>
          </cell>
          <cell r="V245" t="str">
            <v>Versalles</v>
          </cell>
          <cell r="W245" t="str">
            <v>CERCANO</v>
          </cell>
          <cell r="X245">
            <v>3116023688</v>
          </cell>
          <cell r="Y245" t="str">
            <v>SUROCCIDENTE</v>
          </cell>
          <cell r="Z245"/>
          <cell r="AA245" t="str">
            <v>Manizales</v>
          </cell>
          <cell r="AB245" t="str">
            <v>Manizales</v>
          </cell>
          <cell r="AC245" t="str">
            <v>Cra. 23 # 39 - 25 Piso 2
Antiguo Edificio Clínica Manizales
(IPS Caprecom Clínica Manizales)</v>
          </cell>
          <cell r="AD245" t="str">
            <v>Tercer Turno</v>
          </cell>
          <cell r="AE245">
            <v>13095</v>
          </cell>
          <cell r="AF245">
            <v>9000</v>
          </cell>
          <cell r="AG245" t="str">
            <v>1.5 km</v>
          </cell>
          <cell r="AH245" t="str">
            <v>5 min</v>
          </cell>
          <cell r="AI245">
            <v>15000</v>
          </cell>
          <cell r="AJ245">
            <v>13500</v>
          </cell>
          <cell r="AK245">
            <v>-4500</v>
          </cell>
          <cell r="AL245">
            <v>13095</v>
          </cell>
        </row>
        <row r="246">
          <cell r="T246" t="str">
            <v>CANDAMIL ARIAS ILDA MARCELA</v>
          </cell>
          <cell r="U246" t="str">
            <v>Calle 10 No 24-47 EDIFICIO CENTENARIO APT 804</v>
          </cell>
          <cell r="V246" t="str">
            <v>Centenario</v>
          </cell>
          <cell r="W246" t="str">
            <v>CERCANO</v>
          </cell>
          <cell r="X246">
            <v>3116333614</v>
          </cell>
          <cell r="Y246" t="str">
            <v>SUROCCIDENTE</v>
          </cell>
          <cell r="Z246"/>
          <cell r="AA246" t="str">
            <v>Manizales</v>
          </cell>
          <cell r="AB246" t="str">
            <v>Manizales</v>
          </cell>
          <cell r="AC246" t="str">
            <v>Cra. 23 # 39 - 25 Piso 2
Antiguo Edificio Clínica Manizales
(IPS Caprecom Clínica Manizales)</v>
          </cell>
          <cell r="AD246" t="str">
            <v>Tercer Turno</v>
          </cell>
          <cell r="AE246">
            <v>13095</v>
          </cell>
          <cell r="AF246">
            <v>9000</v>
          </cell>
          <cell r="AG246" t="str">
            <v>3 km</v>
          </cell>
          <cell r="AH246" t="str">
            <v>10 min</v>
          </cell>
          <cell r="AI246">
            <v>15000</v>
          </cell>
          <cell r="AJ246">
            <v>13500</v>
          </cell>
          <cell r="AK246">
            <v>-4500</v>
          </cell>
          <cell r="AL246">
            <v>13095</v>
          </cell>
        </row>
        <row r="247">
          <cell r="T247" t="str">
            <v>CORAL IBARRA ROSA DANIELA</v>
          </cell>
          <cell r="U247" t="str">
            <v>CLL 52 NO. 25 B 21  APT 2</v>
          </cell>
          <cell r="V247" t="str">
            <v>Arboleda</v>
          </cell>
          <cell r="W247" t="str">
            <v>CERCANO</v>
          </cell>
          <cell r="X247">
            <v>3207395488</v>
          </cell>
          <cell r="Y247" t="str">
            <v>SUROCCIDENTE</v>
          </cell>
          <cell r="Z247"/>
          <cell r="AA247" t="str">
            <v>Manizales</v>
          </cell>
          <cell r="AB247" t="str">
            <v>Manizales</v>
          </cell>
          <cell r="AC247" t="str">
            <v>Cra. 23 # 39 - 25 Piso 2
Antiguo Edificio Clínica Manizales
(IPS Caprecom Clínica Manizales)</v>
          </cell>
          <cell r="AD247" t="str">
            <v>Tercer Turno</v>
          </cell>
          <cell r="AE247">
            <v>13095</v>
          </cell>
          <cell r="AF247">
            <v>9000</v>
          </cell>
          <cell r="AG247" t="str">
            <v>3 km</v>
          </cell>
          <cell r="AH247" t="str">
            <v>8 min</v>
          </cell>
          <cell r="AI247">
            <v>15000</v>
          </cell>
          <cell r="AJ247">
            <v>13500</v>
          </cell>
          <cell r="AK247">
            <v>-4500</v>
          </cell>
          <cell r="AL247">
            <v>13095</v>
          </cell>
        </row>
        <row r="248">
          <cell r="T248" t="str">
            <v>DUQUE CASTAÑO GERMAN ALBERTO</v>
          </cell>
          <cell r="U248" t="str">
            <v>CALLE 51E 34-83 SANTOS</v>
          </cell>
          <cell r="V248" t="str">
            <v>Santos</v>
          </cell>
          <cell r="W248" t="str">
            <v>CERCANO</v>
          </cell>
          <cell r="X248">
            <v>3122148133</v>
          </cell>
          <cell r="Y248" t="str">
            <v>SUROCCIDENTE</v>
          </cell>
          <cell r="Z248"/>
          <cell r="AA248" t="str">
            <v>Manizales</v>
          </cell>
          <cell r="AB248" t="str">
            <v>Manizales</v>
          </cell>
          <cell r="AC248" t="str">
            <v>Cra. 23 # 39 - 25 Piso 2
Antiguo Edificio Clínica Manizales
(IPS Caprecom Clínica Manizales)</v>
          </cell>
          <cell r="AD248" t="str">
            <v>Tercer Turno</v>
          </cell>
          <cell r="AE248">
            <v>13095</v>
          </cell>
          <cell r="AF248">
            <v>9000</v>
          </cell>
          <cell r="AG248" t="str">
            <v>1.6 km</v>
          </cell>
          <cell r="AH248" t="str">
            <v>5 min</v>
          </cell>
          <cell r="AI248">
            <v>15000</v>
          </cell>
          <cell r="AJ248">
            <v>13500</v>
          </cell>
          <cell r="AK248">
            <v>-4500</v>
          </cell>
          <cell r="AL248">
            <v>13095</v>
          </cell>
        </row>
        <row r="249">
          <cell r="T249" t="str">
            <v>TABARES OSPINA LEYDY YULIANA</v>
          </cell>
          <cell r="U249" t="str">
            <v>APT DE COLORES 803  PUERTAS DEL SOL</v>
          </cell>
          <cell r="V249" t="str">
            <v>Puerta del Sol</v>
          </cell>
          <cell r="W249" t="str">
            <v>CERCANO</v>
          </cell>
          <cell r="X249">
            <v>3148855901</v>
          </cell>
          <cell r="Y249" t="str">
            <v>SUROCCIDENTE</v>
          </cell>
          <cell r="Z249"/>
          <cell r="AA249" t="str">
            <v>Manizales</v>
          </cell>
          <cell r="AB249" t="str">
            <v>Manizales</v>
          </cell>
          <cell r="AC249" t="str">
            <v>Cra. 23 # 39 - 25 Piso 2
Antiguo Edificio Clínica Manizales
(IPS Caprecom Clínica Manizales)</v>
          </cell>
          <cell r="AD249" t="str">
            <v>Tercer Turno</v>
          </cell>
          <cell r="AE249">
            <v>13095</v>
          </cell>
          <cell r="AF249">
            <v>9000</v>
          </cell>
          <cell r="AG249" t="str">
            <v>4.2 km</v>
          </cell>
          <cell r="AH249" t="str">
            <v>9 min</v>
          </cell>
          <cell r="AI249">
            <v>15000</v>
          </cell>
          <cell r="AJ249">
            <v>13500</v>
          </cell>
          <cell r="AK249">
            <v>-4500</v>
          </cell>
          <cell r="AL249">
            <v>13095</v>
          </cell>
        </row>
        <row r="250">
          <cell r="T250" t="str">
            <v>Lina</v>
          </cell>
          <cell r="U250" t="str">
            <v>CALLE 9 # 8 - 63 PISO VILLAMARIA</v>
          </cell>
          <cell r="V250" t="str">
            <v>Alto el porton</v>
          </cell>
          <cell r="W250" t="str">
            <v>INTERMUNICIPAL</v>
          </cell>
          <cell r="X250">
            <v>3122762030</v>
          </cell>
          <cell r="Y250" t="str">
            <v>SUROCCIDENTE</v>
          </cell>
          <cell r="Z250"/>
          <cell r="AA250" t="str">
            <v>Manizales</v>
          </cell>
          <cell r="AB250" t="str">
            <v>Manizales</v>
          </cell>
          <cell r="AC250" t="str">
            <v>Cra. 23 # 39 - 25 Piso 2
Antiguo Edificio Clínica Manizales
(IPS Caprecom Clínica Manizales)</v>
          </cell>
          <cell r="AD250" t="str">
            <v>Tercer Turno</v>
          </cell>
          <cell r="AE250">
            <v>30555</v>
          </cell>
          <cell r="AF250">
            <v>30000</v>
          </cell>
          <cell r="AG250" t="str">
            <v>13 km</v>
          </cell>
          <cell r="AH250" t="str">
            <v>20 min</v>
          </cell>
          <cell r="AI250">
            <v>20000</v>
          </cell>
          <cell r="AJ250">
            <v>18000</v>
          </cell>
          <cell r="AK250">
            <v>12000</v>
          </cell>
          <cell r="AL250">
            <v>17460</v>
          </cell>
        </row>
        <row r="251">
          <cell r="T251" t="str">
            <v>LUZ ESTELA PATRIYU HERNANDEZ</v>
          </cell>
          <cell r="U251" t="str">
            <v xml:space="preserve">DG 15 #2-33 </v>
          </cell>
          <cell r="V251">
            <v>0</v>
          </cell>
          <cell r="W251" t="str">
            <v>CERCANO</v>
          </cell>
          <cell r="X251">
            <v>3135994891</v>
          </cell>
          <cell r="Y251" t="str">
            <v>NORTE</v>
          </cell>
          <cell r="Z251"/>
          <cell r="AA251" t="str">
            <v>Monteria</v>
          </cell>
          <cell r="AB251" t="str">
            <v>Monteria</v>
          </cell>
          <cell r="AC251" t="str">
            <v>Cra. 9 # 27-27 Edificio Cenecor</v>
          </cell>
          <cell r="AD251" t="str">
            <v>Primer Turno</v>
          </cell>
          <cell r="AE251">
            <v>10670</v>
          </cell>
          <cell r="AF251">
            <v>9000</v>
          </cell>
          <cell r="AG251">
            <v>0</v>
          </cell>
          <cell r="AH251">
            <v>0</v>
          </cell>
          <cell r="AI251">
            <v>11000</v>
          </cell>
          <cell r="AJ251">
            <v>11000</v>
          </cell>
          <cell r="AK251">
            <v>-2000</v>
          </cell>
          <cell r="AL251">
            <v>10670</v>
          </cell>
        </row>
        <row r="252">
          <cell r="T252" t="str">
            <v>DINA MARRIAGA PADILLA</v>
          </cell>
          <cell r="U252" t="str">
            <v xml:space="preserve"> CALLE 19 #40 MZ G LOTE 7</v>
          </cell>
          <cell r="V252">
            <v>0</v>
          </cell>
          <cell r="W252" t="str">
            <v>CERCANO</v>
          </cell>
          <cell r="X252" t="e">
            <v>#REF!</v>
          </cell>
          <cell r="Y252" t="str">
            <v>NORTE</v>
          </cell>
          <cell r="Z252"/>
          <cell r="AA252" t="str">
            <v>Monteria</v>
          </cell>
          <cell r="AB252" t="str">
            <v>Monteria</v>
          </cell>
          <cell r="AC252" t="str">
            <v>Cra. 9 # 27-27 Edificio Cenecor</v>
          </cell>
          <cell r="AD252" t="str">
            <v>Primer Turno</v>
          </cell>
          <cell r="AE252">
            <v>10670</v>
          </cell>
          <cell r="AF252">
            <v>9000</v>
          </cell>
          <cell r="AG252">
            <v>0</v>
          </cell>
          <cell r="AH252">
            <v>0</v>
          </cell>
          <cell r="AI252">
            <v>11000</v>
          </cell>
          <cell r="AJ252">
            <v>11000</v>
          </cell>
          <cell r="AK252">
            <v>-2000</v>
          </cell>
          <cell r="AL252">
            <v>10670</v>
          </cell>
        </row>
        <row r="253">
          <cell r="T253" t="str">
            <v>EDER MENDOZA BERROCAL</v>
          </cell>
          <cell r="U253" t="str">
            <v>DG 9 TRV 11#9-12</v>
          </cell>
          <cell r="V253">
            <v>0</v>
          </cell>
          <cell r="W253" t="str">
            <v>CERCANO</v>
          </cell>
          <cell r="X253" t="e">
            <v>#REF!</v>
          </cell>
          <cell r="Y253" t="str">
            <v>NORTE</v>
          </cell>
          <cell r="Z253"/>
          <cell r="AA253" t="str">
            <v>Monteria</v>
          </cell>
          <cell r="AB253" t="str">
            <v>Monteria</v>
          </cell>
          <cell r="AC253" t="str">
            <v>Cra. 9 # 27-27 Edificio Cenecor</v>
          </cell>
          <cell r="AD253" t="str">
            <v>Primer Turno</v>
          </cell>
          <cell r="AE253">
            <v>10670</v>
          </cell>
          <cell r="AF253">
            <v>9000</v>
          </cell>
          <cell r="AG253">
            <v>0</v>
          </cell>
          <cell r="AH253">
            <v>0</v>
          </cell>
          <cell r="AI253">
            <v>11000</v>
          </cell>
          <cell r="AJ253">
            <v>11000</v>
          </cell>
          <cell r="AK253">
            <v>-2000</v>
          </cell>
          <cell r="AL253">
            <v>10670</v>
          </cell>
        </row>
        <row r="254">
          <cell r="T254" t="str">
            <v>MONICA ELENA BRUNAL HERNANDEZ</v>
          </cell>
          <cell r="U254" t="str">
            <v xml:space="preserve">CALLE 43 #10-09 </v>
          </cell>
          <cell r="V254">
            <v>0</v>
          </cell>
          <cell r="W254" t="str">
            <v>CERCANO</v>
          </cell>
          <cell r="X254" t="e">
            <v>#REF!</v>
          </cell>
          <cell r="Y254" t="str">
            <v>NORTE</v>
          </cell>
          <cell r="Z254"/>
          <cell r="AA254" t="str">
            <v>Monteria</v>
          </cell>
          <cell r="AB254" t="str">
            <v>Monteria</v>
          </cell>
          <cell r="AC254" t="str">
            <v>Cra. 9 # 27-27 Edificio Cenecor</v>
          </cell>
          <cell r="AD254" t="str">
            <v>Tercer Turno</v>
          </cell>
          <cell r="AE254">
            <v>10670</v>
          </cell>
          <cell r="AF254">
            <v>9000</v>
          </cell>
          <cell r="AG254">
            <v>0</v>
          </cell>
          <cell r="AH254">
            <v>0</v>
          </cell>
          <cell r="AI254">
            <v>11000</v>
          </cell>
          <cell r="AJ254">
            <v>11000</v>
          </cell>
          <cell r="AK254">
            <v>-2000</v>
          </cell>
          <cell r="AL254">
            <v>10670</v>
          </cell>
        </row>
        <row r="255">
          <cell r="T255" t="str">
            <v>MARGARITA ARGUMEDO CARVAJAL</v>
          </cell>
          <cell r="U255" t="str">
            <v xml:space="preserve">CALLE 19 # 2-05 </v>
          </cell>
          <cell r="V255">
            <v>0</v>
          </cell>
          <cell r="W255" t="str">
            <v>CERCANO</v>
          </cell>
          <cell r="X255" t="e">
            <v>#REF!</v>
          </cell>
          <cell r="Y255" t="str">
            <v>NORTE</v>
          </cell>
          <cell r="Z255"/>
          <cell r="AA255" t="str">
            <v>Monteria</v>
          </cell>
          <cell r="AB255" t="str">
            <v>Monteria</v>
          </cell>
          <cell r="AC255" t="str">
            <v>Cra. 9 # 27-27 Edificio Cenecor</v>
          </cell>
          <cell r="AD255" t="str">
            <v>Tercer Turno</v>
          </cell>
          <cell r="AE255">
            <v>10670</v>
          </cell>
          <cell r="AF255">
            <v>9000</v>
          </cell>
          <cell r="AG255">
            <v>0</v>
          </cell>
          <cell r="AH255">
            <v>0</v>
          </cell>
          <cell r="AI255">
            <v>11000</v>
          </cell>
          <cell r="AJ255">
            <v>11000</v>
          </cell>
          <cell r="AK255">
            <v>-2000</v>
          </cell>
          <cell r="AL255">
            <v>10670</v>
          </cell>
        </row>
        <row r="256">
          <cell r="T256" t="str">
            <v>QUEYTIS</v>
          </cell>
          <cell r="U256" t="str">
            <v xml:space="preserve">CALLE 13 # 6A-20 ALFONSO LOPEZ </v>
          </cell>
          <cell r="V256" t="str">
            <v>palmar de varela</v>
          </cell>
          <cell r="W256" t="str">
            <v>INTERMUNICIPAL</v>
          </cell>
          <cell r="X256">
            <v>3012765874</v>
          </cell>
          <cell r="Y256" t="str">
            <v>NORTE</v>
          </cell>
          <cell r="Z256"/>
          <cell r="AA256" t="str">
            <v>Barranquilla</v>
          </cell>
          <cell r="AB256" t="str">
            <v>Murillo</v>
          </cell>
          <cell r="AC256" t="str">
            <v>Calle 45 # 9B - 08
Barrio La Victoria</v>
          </cell>
          <cell r="AD256" t="str">
            <v>Primer Turno</v>
          </cell>
          <cell r="AE256">
            <v>69840</v>
          </cell>
          <cell r="AF256">
            <v>20000</v>
          </cell>
          <cell r="AG256" t="str">
            <v>27.9 km</v>
          </cell>
          <cell r="AH256" t="str">
            <v>41 min</v>
          </cell>
          <cell r="AI256">
            <v>80000</v>
          </cell>
          <cell r="AJ256">
            <v>72000</v>
          </cell>
          <cell r="AK256">
            <v>-52000</v>
          </cell>
          <cell r="AL256">
            <v>69840</v>
          </cell>
        </row>
        <row r="257">
          <cell r="T257" t="str">
            <v xml:space="preserve">LOURDES </v>
          </cell>
          <cell r="U257" t="str">
            <v>CALLE 69C # 32-60 OLAYA (40 km - 1h) (palmar de varela)</v>
          </cell>
          <cell r="V257" t="str">
            <v>Alfonso Lopez</v>
          </cell>
          <cell r="W257" t="str">
            <v>CERCANO</v>
          </cell>
          <cell r="X257">
            <v>3145919152</v>
          </cell>
          <cell r="Y257" t="str">
            <v>NORTE</v>
          </cell>
          <cell r="Z257"/>
          <cell r="AA257" t="str">
            <v>Barranquilla</v>
          </cell>
          <cell r="AB257" t="str">
            <v>Murillo</v>
          </cell>
          <cell r="AC257" t="str">
            <v>Calle 45 # 9B - 08
Barrio La Victoria</v>
          </cell>
          <cell r="AD257" t="str">
            <v>Primer Turno</v>
          </cell>
          <cell r="AE257">
            <v>69840</v>
          </cell>
          <cell r="AF257">
            <v>11000</v>
          </cell>
          <cell r="AG257" t="str">
            <v>5 km</v>
          </cell>
          <cell r="AH257" t="str">
            <v>16 min</v>
          </cell>
          <cell r="AI257">
            <v>18000</v>
          </cell>
          <cell r="AJ257">
            <v>16200</v>
          </cell>
          <cell r="AK257">
            <v>-5200</v>
          </cell>
          <cell r="AL257">
            <v>15714</v>
          </cell>
        </row>
        <row r="258">
          <cell r="T258" t="str">
            <v xml:space="preserve">GREYSSI </v>
          </cell>
          <cell r="U258" t="str">
            <v xml:space="preserve">CARRERA 25B # 63-61 LOS ANDES </v>
          </cell>
          <cell r="V258" t="str">
            <v>Los Andes</v>
          </cell>
          <cell r="W258" t="str">
            <v>CERCANO</v>
          </cell>
          <cell r="X258">
            <v>3205617937</v>
          </cell>
          <cell r="Y258" t="str">
            <v>NORTE</v>
          </cell>
          <cell r="Z258"/>
          <cell r="AA258" t="str">
            <v>Barranquilla</v>
          </cell>
          <cell r="AB258" t="str">
            <v>Murillo</v>
          </cell>
          <cell r="AC258" t="str">
            <v>Calle 45 # 9B - 08
Barrio La Victoria</v>
          </cell>
          <cell r="AD258" t="str">
            <v>Primer Turno</v>
          </cell>
          <cell r="AE258">
            <v>15714</v>
          </cell>
          <cell r="AF258">
            <v>11000</v>
          </cell>
          <cell r="AG258" t="str">
            <v>3.3 km</v>
          </cell>
          <cell r="AH258" t="str">
            <v>12 min</v>
          </cell>
          <cell r="AI258">
            <v>18000</v>
          </cell>
          <cell r="AJ258">
            <v>16200</v>
          </cell>
          <cell r="AK258">
            <v>-5200</v>
          </cell>
          <cell r="AL258">
            <v>15714</v>
          </cell>
        </row>
        <row r="259">
          <cell r="T259" t="str">
            <v>GISELLA</v>
          </cell>
          <cell r="U259" t="str">
            <v xml:space="preserve">CALLE 115 # 31-61 LA PRADERA </v>
          </cell>
          <cell r="V259" t="str">
            <v>La Pradera</v>
          </cell>
          <cell r="W259" t="str">
            <v>CERCANO</v>
          </cell>
          <cell r="X259">
            <v>3054486194</v>
          </cell>
          <cell r="Y259" t="str">
            <v>NORTE</v>
          </cell>
          <cell r="Z259"/>
          <cell r="AA259" t="str">
            <v>Barranquilla</v>
          </cell>
          <cell r="AB259" t="str">
            <v>Murillo</v>
          </cell>
          <cell r="AC259" t="str">
            <v>Calle 45 # 9B - 08
Barrio La Victoria</v>
          </cell>
          <cell r="AD259" t="str">
            <v>Primer Turno</v>
          </cell>
          <cell r="AE259">
            <v>15714</v>
          </cell>
          <cell r="AF259">
            <v>11000</v>
          </cell>
          <cell r="AG259" t="str">
            <v>9.9 km</v>
          </cell>
          <cell r="AH259" t="str">
            <v>18 min</v>
          </cell>
          <cell r="AI259">
            <v>18000</v>
          </cell>
          <cell r="AJ259">
            <v>16200</v>
          </cell>
          <cell r="AK259">
            <v>-5200</v>
          </cell>
          <cell r="AL259">
            <v>15714</v>
          </cell>
        </row>
        <row r="260">
          <cell r="T260" t="str">
            <v>BIBIANA</v>
          </cell>
          <cell r="U260" t="str">
            <v xml:space="preserve">CALLE 47 # 21B-69 SAN JOSE </v>
          </cell>
          <cell r="V260" t="str">
            <v>San Jose</v>
          </cell>
          <cell r="W260" t="str">
            <v>CERCANO</v>
          </cell>
          <cell r="X260">
            <v>3017174997</v>
          </cell>
          <cell r="Y260" t="str">
            <v>NORTE</v>
          </cell>
          <cell r="Z260"/>
          <cell r="AA260" t="str">
            <v>Barranquilla</v>
          </cell>
          <cell r="AB260" t="str">
            <v>Murillo</v>
          </cell>
          <cell r="AC260" t="str">
            <v>Calle 45 # 9B - 08
Barrio La Victoria</v>
          </cell>
          <cell r="AD260" t="str">
            <v>Primer Turno</v>
          </cell>
          <cell r="AE260">
            <v>13095</v>
          </cell>
          <cell r="AF260">
            <v>9000</v>
          </cell>
          <cell r="AG260" t="str">
            <v>2.6 km</v>
          </cell>
          <cell r="AH260" t="str">
            <v>9 min</v>
          </cell>
          <cell r="AI260">
            <v>15000</v>
          </cell>
          <cell r="AJ260">
            <v>13500</v>
          </cell>
          <cell r="AK260">
            <v>-4500</v>
          </cell>
          <cell r="AL260">
            <v>13095</v>
          </cell>
        </row>
        <row r="261">
          <cell r="T261" t="str">
            <v xml:space="preserve">DENIS VEGA </v>
          </cell>
          <cell r="U261" t="str">
            <v>CRA 23B # 65B - 53 SAN FELIPE</v>
          </cell>
          <cell r="V261" t="str">
            <v>San Felipe</v>
          </cell>
          <cell r="W261" t="str">
            <v>CERCANO</v>
          </cell>
          <cell r="X261">
            <v>3007752456</v>
          </cell>
          <cell r="Y261" t="str">
            <v>NORTE</v>
          </cell>
          <cell r="Z261"/>
          <cell r="AA261" t="str">
            <v>Barranquilla</v>
          </cell>
          <cell r="AB261" t="str">
            <v>Murillo</v>
          </cell>
          <cell r="AC261" t="str">
            <v>Calle 45 # 9B - 08
Barrio La Victoria</v>
          </cell>
          <cell r="AD261" t="str">
            <v>Primer Turno</v>
          </cell>
          <cell r="AE261">
            <v>15714</v>
          </cell>
          <cell r="AF261">
            <v>11000</v>
          </cell>
          <cell r="AG261" t="str">
            <v>3.4 km</v>
          </cell>
          <cell r="AH261" t="str">
            <v>13 min</v>
          </cell>
          <cell r="AI261">
            <v>18000</v>
          </cell>
          <cell r="AJ261">
            <v>16200</v>
          </cell>
          <cell r="AK261">
            <v>-5200</v>
          </cell>
          <cell r="AL261">
            <v>15714</v>
          </cell>
        </row>
        <row r="262">
          <cell r="T262" t="str">
            <v>MARIBEL</v>
          </cell>
          <cell r="U262" t="str">
            <v xml:space="preserve">CARRERA 7F # 44-33 ALBORAYA </v>
          </cell>
          <cell r="V262" t="str">
            <v>Alboraya</v>
          </cell>
          <cell r="W262" t="str">
            <v>CERCANO</v>
          </cell>
          <cell r="X262">
            <v>3004080106</v>
          </cell>
          <cell r="Y262" t="str">
            <v>NORTE</v>
          </cell>
          <cell r="Z262"/>
          <cell r="AA262" t="str">
            <v>Barranquilla</v>
          </cell>
          <cell r="AB262" t="str">
            <v>Murillo</v>
          </cell>
          <cell r="AC262" t="str">
            <v>Calle 45 # 9B - 08
Barrio La Victoria</v>
          </cell>
          <cell r="AD262" t="str">
            <v>Tercer Turno</v>
          </cell>
          <cell r="AE262">
            <v>10670</v>
          </cell>
          <cell r="AF262">
            <v>9000</v>
          </cell>
          <cell r="AG262" t="str">
            <v>800 metros</v>
          </cell>
          <cell r="AH262" t="str">
            <v>4 min</v>
          </cell>
          <cell r="AI262">
            <v>11000</v>
          </cell>
          <cell r="AJ262">
            <v>11000</v>
          </cell>
          <cell r="AK262">
            <v>-2000</v>
          </cell>
          <cell r="AL262">
            <v>10670</v>
          </cell>
        </row>
        <row r="263">
          <cell r="T263" t="str">
            <v>YESID</v>
          </cell>
          <cell r="U263" t="str">
            <v xml:space="preserve">CARRERA 3A # 52B-62 7 DE ABRIL </v>
          </cell>
          <cell r="V263" t="str">
            <v>7 de Abril</v>
          </cell>
          <cell r="W263" t="str">
            <v>CERCANO</v>
          </cell>
          <cell r="X263">
            <v>3002022182</v>
          </cell>
          <cell r="Y263" t="str">
            <v>NORTE</v>
          </cell>
          <cell r="Z263"/>
          <cell r="AA263" t="str">
            <v>Barranquilla</v>
          </cell>
          <cell r="AB263" t="str">
            <v>Murillo</v>
          </cell>
          <cell r="AC263" t="str">
            <v>Calle 45 # 9B - 08
Barrio La Victoria</v>
          </cell>
          <cell r="AD263" t="str">
            <v>Tercer Turno</v>
          </cell>
          <cell r="AE263">
            <v>10670</v>
          </cell>
          <cell r="AF263">
            <v>9000</v>
          </cell>
          <cell r="AG263" t="str">
            <v>2.3 km</v>
          </cell>
          <cell r="AH263" t="str">
            <v>6 min</v>
          </cell>
          <cell r="AI263">
            <v>11000</v>
          </cell>
          <cell r="AJ263">
            <v>11000</v>
          </cell>
          <cell r="AK263">
            <v>-2000</v>
          </cell>
          <cell r="AL263">
            <v>10670</v>
          </cell>
        </row>
        <row r="264">
          <cell r="T264" t="str">
            <v xml:space="preserve">NARLIN </v>
          </cell>
          <cell r="U264" t="str">
            <v xml:space="preserve">CARRERA 8A # 44-29 ALBORAYA </v>
          </cell>
          <cell r="V264" t="str">
            <v>Alboraya</v>
          </cell>
          <cell r="W264" t="str">
            <v>CERCANO</v>
          </cell>
          <cell r="X264">
            <v>3003365760</v>
          </cell>
          <cell r="Y264" t="str">
            <v>NORTE</v>
          </cell>
          <cell r="Z264"/>
          <cell r="AA264" t="str">
            <v>Barranquilla</v>
          </cell>
          <cell r="AB264" t="str">
            <v>Murillo</v>
          </cell>
          <cell r="AC264" t="str">
            <v>Calle 45 # 9B - 08
Barrio La Victoria</v>
          </cell>
          <cell r="AD264" t="str">
            <v>Tercer Turno</v>
          </cell>
          <cell r="AE264">
            <v>10670</v>
          </cell>
          <cell r="AF264">
            <v>9000</v>
          </cell>
          <cell r="AG264" t="str">
            <v>700 metro</v>
          </cell>
          <cell r="AH264" t="str">
            <v>3 min</v>
          </cell>
          <cell r="AI264">
            <v>11000</v>
          </cell>
          <cell r="AJ264">
            <v>11000</v>
          </cell>
          <cell r="AK264">
            <v>-2000</v>
          </cell>
          <cell r="AL264">
            <v>10670</v>
          </cell>
        </row>
        <row r="265">
          <cell r="T265" t="str">
            <v>CARLOS ROJAS</v>
          </cell>
          <cell r="U265" t="str">
            <v xml:space="preserve">CALLE 68B # 24B-53 SAN FELIPE </v>
          </cell>
          <cell r="V265">
            <v>0</v>
          </cell>
          <cell r="W265" t="str">
            <v>CERCANO</v>
          </cell>
          <cell r="X265">
            <v>3015033461</v>
          </cell>
          <cell r="Y265" t="str">
            <v>NORTE</v>
          </cell>
          <cell r="Z265"/>
          <cell r="AA265" t="str">
            <v>Barranquilla</v>
          </cell>
          <cell r="AB265" t="str">
            <v>Murillo</v>
          </cell>
          <cell r="AC265" t="str">
            <v>Calle 45 # 9B - 08
Barrio La Victoria</v>
          </cell>
          <cell r="AD265" t="str">
            <v>Tercer Turno</v>
          </cell>
          <cell r="AE265">
            <v>10670</v>
          </cell>
          <cell r="AF265">
            <v>9000</v>
          </cell>
          <cell r="AG265">
            <v>0</v>
          </cell>
          <cell r="AH265">
            <v>0</v>
          </cell>
          <cell r="AI265">
            <v>11000</v>
          </cell>
          <cell r="AJ265">
            <v>11000</v>
          </cell>
          <cell r="AK265">
            <v>-2000</v>
          </cell>
          <cell r="AL265">
            <v>10670</v>
          </cell>
        </row>
        <row r="266">
          <cell r="T266" t="str">
            <v xml:space="preserve">YERLIS </v>
          </cell>
          <cell r="U266" t="str">
            <v xml:space="preserve">CARRERA 4 # 35B-60 LAS PALMAS </v>
          </cell>
          <cell r="V266" t="str">
            <v>Las Palmas</v>
          </cell>
          <cell r="W266" t="str">
            <v>CERCANO</v>
          </cell>
          <cell r="X266">
            <v>3006659227</v>
          </cell>
          <cell r="Y266" t="str">
            <v>NORTE</v>
          </cell>
          <cell r="Z266"/>
          <cell r="AA266" t="str">
            <v>Barranquilla</v>
          </cell>
          <cell r="AB266" t="str">
            <v>Murillo</v>
          </cell>
          <cell r="AC266" t="str">
            <v>Calle 45 # 9B - 08
Barrio La Victoria</v>
          </cell>
          <cell r="AD266" t="str">
            <v>Tercer Turno</v>
          </cell>
          <cell r="AE266">
            <v>10670</v>
          </cell>
          <cell r="AF266">
            <v>9000</v>
          </cell>
          <cell r="AG266" t="str">
            <v>2.5 km</v>
          </cell>
          <cell r="AH266" t="str">
            <v>7 min</v>
          </cell>
          <cell r="AI266">
            <v>11000</v>
          </cell>
          <cell r="AJ266">
            <v>11000</v>
          </cell>
          <cell r="AK266">
            <v>-2000</v>
          </cell>
          <cell r="AL266">
            <v>10670</v>
          </cell>
        </row>
        <row r="267">
          <cell r="T267" t="str">
            <v>MEDINA TOVAR ORFANDA</v>
          </cell>
          <cell r="U267" t="str">
            <v>Calle 11 A #14 A- 39 Barrio Piramides - Recoger en LA ELECTRIFICADORA- EL BOTE KM 1 VIA PALERMO entrada NEIVA, el esposo tiene permiso de la  Alcaldiad de Palermo llevarla en moto hasta ese punto</v>
          </cell>
          <cell r="V267" t="str">
            <v>Piramides</v>
          </cell>
          <cell r="W267" t="str">
            <v>CERCANO</v>
          </cell>
          <cell r="X267" t="str">
            <v>Tel. 3164941229</v>
          </cell>
          <cell r="Y267" t="str">
            <v>CENTRO</v>
          </cell>
          <cell r="Z267"/>
          <cell r="AA267" t="str">
            <v xml:space="preserve">Neiva </v>
          </cell>
          <cell r="AB267" t="str">
            <v>Neiva</v>
          </cell>
          <cell r="AC267" t="str">
            <v>Calle 10 No. 5-45 locales 301 y 401 Edificio Salto de Bordones barrio centro</v>
          </cell>
          <cell r="AD267" t="str">
            <v>Primer Turno</v>
          </cell>
          <cell r="AE267">
            <v>15714</v>
          </cell>
          <cell r="AF267">
            <v>11000</v>
          </cell>
          <cell r="AG267">
            <v>4</v>
          </cell>
          <cell r="AH267">
            <v>9</v>
          </cell>
          <cell r="AI267">
            <v>18000</v>
          </cell>
          <cell r="AJ267">
            <v>16200</v>
          </cell>
          <cell r="AK267">
            <v>-5200</v>
          </cell>
          <cell r="AL267">
            <v>15714</v>
          </cell>
        </row>
        <row r="268">
          <cell r="T268" t="str">
            <v>GARZON LASSO PATRICIA</v>
          </cell>
          <cell r="U268" t="str">
            <v>Carrera 7 #74 A-09 Barrio Virgilio Barco (galindo lejano)</v>
          </cell>
          <cell r="V268">
            <v>0</v>
          </cell>
          <cell r="W268" t="str">
            <v>CERCANO</v>
          </cell>
          <cell r="X268" t="str">
            <v>Tel. 3162741632</v>
          </cell>
          <cell r="Y268" t="str">
            <v>CENTRO</v>
          </cell>
          <cell r="Z268"/>
          <cell r="AA268" t="str">
            <v xml:space="preserve">Neiva </v>
          </cell>
          <cell r="AB268" t="str">
            <v>Neiva</v>
          </cell>
          <cell r="AC268" t="str">
            <v>Calle 10 No. 5-45 locales 301 y 401 Edificio Salto de Bordones barrio centro</v>
          </cell>
          <cell r="AD268" t="str">
            <v>Tercer Turno</v>
          </cell>
          <cell r="AE268">
            <v>15714</v>
          </cell>
          <cell r="AF268">
            <v>11000</v>
          </cell>
          <cell r="AG268">
            <v>7</v>
          </cell>
          <cell r="AH268">
            <v>15</v>
          </cell>
          <cell r="AI268">
            <v>18000</v>
          </cell>
          <cell r="AJ268">
            <v>16200</v>
          </cell>
          <cell r="AK268">
            <v>-5200</v>
          </cell>
          <cell r="AL268">
            <v>15714</v>
          </cell>
        </row>
        <row r="269">
          <cell r="T269" t="str">
            <v>LEON MEDINA IRMA</v>
          </cell>
          <cell r="U269" t="str">
            <v>Carrera 50 #27 C- 01  Apto 304 Bloque C- Barrio Torres de Alejandria(rioja)</v>
          </cell>
          <cell r="V269">
            <v>0</v>
          </cell>
          <cell r="W269" t="str">
            <v>CERCANO</v>
          </cell>
          <cell r="X269" t="str">
            <v>Tel. 3105855317</v>
          </cell>
          <cell r="Y269" t="str">
            <v>CENTRO</v>
          </cell>
          <cell r="Z269"/>
          <cell r="AA269" t="str">
            <v xml:space="preserve">Neiva </v>
          </cell>
          <cell r="AB269" t="str">
            <v>Neiva</v>
          </cell>
          <cell r="AC269" t="str">
            <v>Calle 10 No. 5-45 locales 301 y 401 Edificio Salto de Bordones barrio centro</v>
          </cell>
          <cell r="AD269" t="str">
            <v>Tercer Turno</v>
          </cell>
          <cell r="AE269">
            <v>15714</v>
          </cell>
          <cell r="AF269">
            <v>11000</v>
          </cell>
          <cell r="AG269">
            <v>7</v>
          </cell>
          <cell r="AH269">
            <v>16</v>
          </cell>
          <cell r="AI269">
            <v>18000</v>
          </cell>
          <cell r="AJ269">
            <v>16200</v>
          </cell>
          <cell r="AK269">
            <v>-5200</v>
          </cell>
          <cell r="AL269">
            <v>15714</v>
          </cell>
        </row>
        <row r="270">
          <cell r="T270" t="str">
            <v>Astrid Mendez Barrera</v>
          </cell>
          <cell r="U270" t="str">
            <v>Cra 12 BIS # 34C-17SUR INT 12 APT203</v>
          </cell>
          <cell r="V270" t="str">
            <v>pijao</v>
          </cell>
          <cell r="W270" t="str">
            <v>LEJANO</v>
          </cell>
          <cell r="X270" t="str">
            <v>322-3464115</v>
          </cell>
          <cell r="Y270" t="str">
            <v>CENTRO</v>
          </cell>
          <cell r="Z270" t="str">
            <v>pijao</v>
          </cell>
          <cell r="AA270" t="str">
            <v>BOGOTÁ</v>
          </cell>
          <cell r="AB270" t="str">
            <v>Occidente</v>
          </cell>
          <cell r="AC270" t="str">
            <v>Calle 5C No. 71C - 29 Torre B Piso 2 
Edificio Servicios Ambulatorios</v>
          </cell>
          <cell r="AD270" t="str">
            <v>Primer Turno</v>
          </cell>
          <cell r="AE270">
            <v>17460</v>
          </cell>
          <cell r="AF270">
            <v>11000</v>
          </cell>
          <cell r="AG270">
            <v>12</v>
          </cell>
          <cell r="AH270">
            <v>25</v>
          </cell>
          <cell r="AI270">
            <v>20000</v>
          </cell>
          <cell r="AJ270">
            <v>18000</v>
          </cell>
          <cell r="AK270">
            <v>-7000</v>
          </cell>
          <cell r="AL270">
            <v>17460</v>
          </cell>
        </row>
        <row r="271">
          <cell r="T271" t="str">
            <v>Blanca Nieves Avila Santana</v>
          </cell>
          <cell r="U271" t="str">
            <v>Calle 1 # 70 a 65  INT 191</v>
          </cell>
          <cell r="V271" t="str">
            <v>hipo techo occidental</v>
          </cell>
          <cell r="W271" t="str">
            <v>LEJANO</v>
          </cell>
          <cell r="X271" t="str">
            <v>311-8364620</v>
          </cell>
          <cell r="Y271" t="str">
            <v>CENTRO</v>
          </cell>
          <cell r="Z271" t="str">
            <v>hipo techo occidental</v>
          </cell>
          <cell r="AA271" t="str">
            <v>BOGOTÁ</v>
          </cell>
          <cell r="AB271" t="str">
            <v>Occidente</v>
          </cell>
          <cell r="AC271" t="str">
            <v>Calle 5C No. 71C - 29 Torre B Piso 2 
Edificio Servicios Ambulatorios</v>
          </cell>
          <cell r="AD271" t="str">
            <v>Primer Turno</v>
          </cell>
          <cell r="AE271">
            <v>17460</v>
          </cell>
          <cell r="AF271">
            <v>11000</v>
          </cell>
          <cell r="AG271">
            <v>17</v>
          </cell>
          <cell r="AH271">
            <v>32</v>
          </cell>
          <cell r="AI271">
            <v>20000</v>
          </cell>
          <cell r="AJ271">
            <v>18000</v>
          </cell>
          <cell r="AK271">
            <v>-7000</v>
          </cell>
          <cell r="AL271">
            <v>17460</v>
          </cell>
        </row>
        <row r="272">
          <cell r="T272" t="str">
            <v>Diana Marcela Melon Fonseca</v>
          </cell>
          <cell r="U272" t="str">
            <v>cra 85 L No. 63 B 42</v>
          </cell>
          <cell r="V272" t="str">
            <v>villaluz</v>
          </cell>
          <cell r="W272" t="str">
            <v>LEJANO</v>
          </cell>
          <cell r="X272">
            <v>3123683699</v>
          </cell>
          <cell r="Y272" t="str">
            <v>CENTRO</v>
          </cell>
          <cell r="Z272" t="str">
            <v>villaluz</v>
          </cell>
          <cell r="AA272" t="str">
            <v>BOGOTÁ</v>
          </cell>
          <cell r="AB272" t="str">
            <v>Occidente</v>
          </cell>
          <cell r="AC272" t="str">
            <v>Calle 5C No. 71C - 29 Torre B Piso 2 
Edificio Servicios Ambulatorios</v>
          </cell>
          <cell r="AD272" t="str">
            <v>Primer Turno</v>
          </cell>
          <cell r="AE272">
            <v>17460</v>
          </cell>
          <cell r="AF272">
            <v>11000</v>
          </cell>
          <cell r="AG272">
            <v>12</v>
          </cell>
          <cell r="AH272">
            <v>20</v>
          </cell>
          <cell r="AI272">
            <v>20000</v>
          </cell>
          <cell r="AJ272">
            <v>18000</v>
          </cell>
          <cell r="AK272">
            <v>-7000</v>
          </cell>
          <cell r="AL272">
            <v>17460</v>
          </cell>
        </row>
        <row r="273">
          <cell r="T273" t="str">
            <v>laura Galvis Barreto</v>
          </cell>
          <cell r="U273" t="str">
            <v>ca 69b # 23c - 36 apt 504 torre 2</v>
          </cell>
          <cell r="V273" t="str">
            <v>ciudad salitre</v>
          </cell>
          <cell r="W273" t="str">
            <v>CERCANO</v>
          </cell>
          <cell r="X273">
            <v>3005583222</v>
          </cell>
          <cell r="Y273" t="str">
            <v>CENTRO</v>
          </cell>
          <cell r="Z273" t="str">
            <v>ciudad salitre</v>
          </cell>
          <cell r="AA273" t="str">
            <v>BOGOTÁ</v>
          </cell>
          <cell r="AB273" t="str">
            <v>Occidente</v>
          </cell>
          <cell r="AC273" t="str">
            <v>Calle 5C No. 71C - 29 Torre B Piso 2 
Edificio Servicios Ambulatorios</v>
          </cell>
          <cell r="AD273" t="str">
            <v>Primer Turno</v>
          </cell>
          <cell r="AE273">
            <v>13095</v>
          </cell>
          <cell r="AF273">
            <v>9000</v>
          </cell>
          <cell r="AG273">
            <v>7</v>
          </cell>
          <cell r="AH273">
            <v>17</v>
          </cell>
          <cell r="AI273">
            <v>15000</v>
          </cell>
          <cell r="AJ273">
            <v>13500</v>
          </cell>
          <cell r="AK273">
            <v>-4500</v>
          </cell>
          <cell r="AL273">
            <v>13095</v>
          </cell>
        </row>
        <row r="274">
          <cell r="T274" t="str">
            <v>Leidy Janeht Rey Bello</v>
          </cell>
          <cell r="U274" t="str">
            <v>Cra 1 # 7A 49 Soacha - Cundinamarca (San Humberto)</v>
          </cell>
          <cell r="V274" t="str">
            <v>Soacha cien familias</v>
          </cell>
          <cell r="W274" t="str">
            <v>INTERMUNICIAPAL</v>
          </cell>
          <cell r="X274">
            <v>3016173462</v>
          </cell>
          <cell r="Y274" t="str">
            <v>CENTRO</v>
          </cell>
          <cell r="Z274" t="str">
            <v>Soacha cien familias</v>
          </cell>
          <cell r="AA274" t="str">
            <v>BOGOTÁ</v>
          </cell>
          <cell r="AB274" t="str">
            <v>Occidente</v>
          </cell>
          <cell r="AC274" t="str">
            <v>Calle 5C No. 71C - 29 Torre B Piso 2 
Edificio Servicios Ambulatorios</v>
          </cell>
          <cell r="AD274" t="str">
            <v>Primer Turno</v>
          </cell>
          <cell r="AE274">
            <v>61110</v>
          </cell>
          <cell r="AF274">
            <v>15000</v>
          </cell>
          <cell r="AG274">
            <v>14</v>
          </cell>
          <cell r="AH274">
            <v>27</v>
          </cell>
          <cell r="AI274">
            <v>70000</v>
          </cell>
          <cell r="AJ274">
            <v>63000</v>
          </cell>
          <cell r="AK274">
            <v>-48000</v>
          </cell>
          <cell r="AL274">
            <v>61110</v>
          </cell>
        </row>
        <row r="275">
          <cell r="T275" t="str">
            <v>Luz Marina Guerrero Rojas</v>
          </cell>
          <cell r="U275" t="str">
            <v>Cra 73 # 1 - 38 Bogotá Américas Occidental</v>
          </cell>
          <cell r="V275" t="str">
            <v xml:space="preserve">americas occidental </v>
          </cell>
          <cell r="W275" t="str">
            <v>CERCANO</v>
          </cell>
          <cell r="X275" t="str">
            <v>317-6581455</v>
          </cell>
          <cell r="Y275" t="str">
            <v>CENTRO</v>
          </cell>
          <cell r="Z275" t="str">
            <v xml:space="preserve">americas occidental </v>
          </cell>
          <cell r="AA275" t="str">
            <v>BOGOTÁ</v>
          </cell>
          <cell r="AB275" t="str">
            <v>Occidente</v>
          </cell>
          <cell r="AC275" t="str">
            <v>Calle 5C No. 71C - 29 Torre B Piso 2 
Edificio Servicios Ambulatorios</v>
          </cell>
          <cell r="AD275" t="str">
            <v>Primer Turno</v>
          </cell>
          <cell r="AE275">
            <v>10670</v>
          </cell>
          <cell r="AF275">
            <v>9000</v>
          </cell>
          <cell r="AG275">
            <v>3</v>
          </cell>
          <cell r="AH275">
            <v>9</v>
          </cell>
          <cell r="AI275">
            <v>11000</v>
          </cell>
          <cell r="AJ275">
            <v>11000</v>
          </cell>
          <cell r="AK275">
            <v>-2000</v>
          </cell>
          <cell r="AL275">
            <v>10670</v>
          </cell>
        </row>
        <row r="276">
          <cell r="T276" t="str">
            <v>DR. Pedro villan</v>
          </cell>
          <cell r="U276" t="str">
            <v>CLL 64 A # 52-53</v>
          </cell>
          <cell r="V276" t="str">
            <v>Modelo Norte</v>
          </cell>
          <cell r="W276" t="str">
            <v>LEJANO</v>
          </cell>
          <cell r="X276">
            <v>3184017713</v>
          </cell>
          <cell r="Y276" t="str">
            <v>CENTRO</v>
          </cell>
          <cell r="Z276" t="str">
            <v>Modelo Norte</v>
          </cell>
          <cell r="AA276" t="str">
            <v>BOGOTÁ</v>
          </cell>
          <cell r="AB276" t="str">
            <v>Occidente</v>
          </cell>
          <cell r="AC276" t="str">
            <v>Calle 5C No. 71C - 29 Torre B Piso 2 
Edificio Servicios Ambulatorios</v>
          </cell>
          <cell r="AD276" t="str">
            <v>Primer Turno</v>
          </cell>
          <cell r="AE276">
            <v>17460</v>
          </cell>
          <cell r="AF276">
            <v>20000</v>
          </cell>
          <cell r="AG276">
            <v>11</v>
          </cell>
          <cell r="AH276">
            <v>22</v>
          </cell>
          <cell r="AI276">
            <v>20000</v>
          </cell>
          <cell r="AJ276">
            <v>18000</v>
          </cell>
          <cell r="AK276">
            <v>2000</v>
          </cell>
          <cell r="AL276">
            <v>17460</v>
          </cell>
        </row>
        <row r="277">
          <cell r="T277" t="str">
            <v>Maria Angelica Losada</v>
          </cell>
          <cell r="U277" t="str">
            <v xml:space="preserve">cll 22 # 29 a-44 usatama </v>
          </cell>
          <cell r="V277" t="str">
            <v>usatama</v>
          </cell>
          <cell r="W277" t="str">
            <v>LEJANO</v>
          </cell>
          <cell r="X277">
            <v>3184936544</v>
          </cell>
          <cell r="Y277" t="str">
            <v>CENTRO</v>
          </cell>
          <cell r="Z277" t="str">
            <v>usatama</v>
          </cell>
          <cell r="AA277" t="str">
            <v>BOGOTÁ</v>
          </cell>
          <cell r="AB277" t="str">
            <v>Occidente</v>
          </cell>
          <cell r="AC277" t="str">
            <v>Calle 5C No. 71C - 29 Torre B Piso 2 
Edificio Servicios Ambulatorios</v>
          </cell>
          <cell r="AD277" t="str">
            <v>Tercer Turno</v>
          </cell>
          <cell r="AE277">
            <v>17460</v>
          </cell>
          <cell r="AF277">
            <v>20000</v>
          </cell>
          <cell r="AG277">
            <v>7</v>
          </cell>
          <cell r="AH277">
            <v>18</v>
          </cell>
          <cell r="AI277">
            <v>20000</v>
          </cell>
          <cell r="AJ277">
            <v>18000</v>
          </cell>
          <cell r="AK277">
            <v>2000</v>
          </cell>
          <cell r="AL277">
            <v>17460</v>
          </cell>
        </row>
        <row r="278">
          <cell r="T278" t="str">
            <v>Maria Isabel Lara Bedoya</v>
          </cell>
          <cell r="U278" t="str">
            <v>Cra 82A # 6-16 APTO 504 INT 1</v>
          </cell>
          <cell r="V278" t="str">
            <v xml:space="preserve">americas occidental </v>
          </cell>
          <cell r="W278" t="str">
            <v>CERCANO</v>
          </cell>
          <cell r="X278" t="str">
            <v>320-3305284</v>
          </cell>
          <cell r="Y278" t="str">
            <v>CENTRO</v>
          </cell>
          <cell r="Z278" t="str">
            <v xml:space="preserve">americas occidental </v>
          </cell>
          <cell r="AA278" t="str">
            <v>BOGOTÁ</v>
          </cell>
          <cell r="AB278" t="str">
            <v>Occidente</v>
          </cell>
          <cell r="AC278" t="str">
            <v>Calle 5C No. 71C - 29 Torre B Piso 2 
Edificio Servicios Ambulatorios</v>
          </cell>
          <cell r="AD278" t="str">
            <v>Tercer Turno</v>
          </cell>
          <cell r="AE278">
            <v>10670</v>
          </cell>
          <cell r="AF278">
            <v>20000</v>
          </cell>
          <cell r="AG278">
            <v>4</v>
          </cell>
          <cell r="AH278">
            <v>10</v>
          </cell>
          <cell r="AI278">
            <v>11000</v>
          </cell>
          <cell r="AJ278">
            <v>11000</v>
          </cell>
          <cell r="AK278">
            <v>9000</v>
          </cell>
          <cell r="AL278">
            <v>10670</v>
          </cell>
        </row>
        <row r="279">
          <cell r="T279" t="str">
            <v>Astrid Mendez Barrera</v>
          </cell>
          <cell r="U279" t="str">
            <v>Cra 12 BIS # 34C-17SUR INT 12 APT203</v>
          </cell>
          <cell r="V279" t="str">
            <v>pijao</v>
          </cell>
          <cell r="W279" t="str">
            <v>LEJANO</v>
          </cell>
          <cell r="X279" t="str">
            <v>322-3464115</v>
          </cell>
          <cell r="Y279" t="str">
            <v>CENTRO</v>
          </cell>
          <cell r="Z279" t="str">
            <v>pijao</v>
          </cell>
          <cell r="AA279" t="str">
            <v>BOGOTÁ</v>
          </cell>
          <cell r="AB279" t="str">
            <v>Occidente</v>
          </cell>
          <cell r="AC279" t="str">
            <v>Calle 5C No. 71C - 29 Torre B Piso 2 
Edificio Servicios Ambulatorios</v>
          </cell>
          <cell r="AD279" t="str">
            <v>Tercer Turno</v>
          </cell>
          <cell r="AE279">
            <v>17460</v>
          </cell>
          <cell r="AF279">
            <v>8000</v>
          </cell>
          <cell r="AG279">
            <v>12</v>
          </cell>
          <cell r="AH279">
            <v>25</v>
          </cell>
          <cell r="AI279">
            <v>20000</v>
          </cell>
          <cell r="AJ279">
            <v>18000</v>
          </cell>
          <cell r="AK279">
            <v>-10000</v>
          </cell>
          <cell r="AL279">
            <v>17460</v>
          </cell>
        </row>
        <row r="280">
          <cell r="T280" t="str">
            <v>DR. Pedro villan</v>
          </cell>
          <cell r="U280" t="str">
            <v>CLL 64 A # 52-53</v>
          </cell>
          <cell r="V280" t="str">
            <v>Modelo Norte</v>
          </cell>
          <cell r="W280" t="str">
            <v>LEJANO</v>
          </cell>
          <cell r="X280">
            <v>3184017713</v>
          </cell>
          <cell r="Y280" t="str">
            <v>CENTRO</v>
          </cell>
          <cell r="Z280" t="str">
            <v>Modelo Norte</v>
          </cell>
          <cell r="AA280" t="str">
            <v>BOGOTÁ</v>
          </cell>
          <cell r="AB280" t="str">
            <v>Occidente</v>
          </cell>
          <cell r="AC280" t="str">
            <v>Calle 5C No. 71C - 29 Torre B Piso 2 
Edificio Servicios Ambulatorios</v>
          </cell>
          <cell r="AD280" t="str">
            <v>Tercer Turno</v>
          </cell>
          <cell r="AE280">
            <v>17460</v>
          </cell>
          <cell r="AF280">
            <v>20000</v>
          </cell>
          <cell r="AG280">
            <v>11</v>
          </cell>
          <cell r="AH280">
            <v>22</v>
          </cell>
          <cell r="AI280">
            <v>20000</v>
          </cell>
          <cell r="AJ280">
            <v>18000</v>
          </cell>
          <cell r="AK280">
            <v>2000</v>
          </cell>
          <cell r="AL280">
            <v>17460</v>
          </cell>
        </row>
        <row r="281">
          <cell r="T281" t="str">
            <v>Sarahay Galarraga</v>
          </cell>
          <cell r="U281" t="str">
            <v>Carrera 24 # 11 – 36 Barrio Ricaurte</v>
          </cell>
          <cell r="V281" t="str">
            <v>ricaurte</v>
          </cell>
          <cell r="W281" t="str">
            <v>CERCANO</v>
          </cell>
          <cell r="X281">
            <v>3005419378</v>
          </cell>
          <cell r="Y281" t="str">
            <v>CENTRO</v>
          </cell>
          <cell r="Z281" t="str">
            <v>ricaurte</v>
          </cell>
          <cell r="AA281" t="str">
            <v>BOGOTÁ</v>
          </cell>
          <cell r="AB281" t="str">
            <v>Occidente</v>
          </cell>
          <cell r="AC281" t="str">
            <v>Calle 5C No. 71C - 29 Torre B Piso 2 
Edificio Servicios Ambulatorios</v>
          </cell>
          <cell r="AD281" t="str">
            <v>Tercer Turno</v>
          </cell>
          <cell r="AE281">
            <v>17460</v>
          </cell>
          <cell r="AF281">
            <v>8000</v>
          </cell>
          <cell r="AG281">
            <v>8</v>
          </cell>
          <cell r="AH281">
            <v>19</v>
          </cell>
          <cell r="AI281">
            <v>20000</v>
          </cell>
          <cell r="AJ281">
            <v>18000</v>
          </cell>
          <cell r="AK281">
            <v>-10000</v>
          </cell>
          <cell r="AL281">
            <v>17460</v>
          </cell>
        </row>
        <row r="282">
          <cell r="T282" t="str">
            <v>Madeleine Cardona Rincon</v>
          </cell>
          <cell r="U282" t="str">
            <v>CRA 54 NUM 46-41 SUR BARRIO VENECIA-BOGOTA</v>
          </cell>
          <cell r="V282" t="str">
            <v>venecia</v>
          </cell>
          <cell r="W282" t="str">
            <v>LEJANO</v>
          </cell>
          <cell r="X282">
            <v>3058956041</v>
          </cell>
          <cell r="Y282" t="str">
            <v>CENTRO</v>
          </cell>
          <cell r="Z282" t="str">
            <v>Venecia</v>
          </cell>
          <cell r="AA282" t="str">
            <v>BOGOTÁ</v>
          </cell>
          <cell r="AB282" t="str">
            <v>Occidente</v>
          </cell>
          <cell r="AC282" t="str">
            <v>Calle 5C No. 71C - 29 Torre B Piso 2 
Edificio Servicios Ambulatorios</v>
          </cell>
          <cell r="AD282" t="str">
            <v>Tercer Turno</v>
          </cell>
          <cell r="AE282">
            <v>17460</v>
          </cell>
          <cell r="AF282">
            <v>20000</v>
          </cell>
          <cell r="AG282">
            <v>8</v>
          </cell>
          <cell r="AH282">
            <v>14</v>
          </cell>
          <cell r="AI282">
            <v>20000</v>
          </cell>
          <cell r="AJ282">
            <v>18000</v>
          </cell>
          <cell r="AK282">
            <v>2000</v>
          </cell>
          <cell r="AL282">
            <v>17460</v>
          </cell>
        </row>
        <row r="283">
          <cell r="T283" t="str">
            <v>DRA Diana Melisa Molina</v>
          </cell>
          <cell r="U283" t="str">
            <v>cl22 b #58-60 apto 214</v>
          </cell>
          <cell r="V283" t="str">
            <v>salitre</v>
          </cell>
          <cell r="W283" t="str">
            <v>CERCANO</v>
          </cell>
          <cell r="X283">
            <v>3192522758</v>
          </cell>
          <cell r="Y283" t="str">
            <v>CENTRO</v>
          </cell>
          <cell r="Z283" t="str">
            <v>salitre</v>
          </cell>
          <cell r="AA283" t="str">
            <v>BOGOTÁ</v>
          </cell>
          <cell r="AB283" t="str">
            <v>Occidente</v>
          </cell>
          <cell r="AC283" t="str">
            <v>Calle 5C No. 71C - 29 Torre B Piso 2 
Edificio Servicios Ambulatorios</v>
          </cell>
          <cell r="AD283" t="str">
            <v>Tercer Turno</v>
          </cell>
          <cell r="AE283">
            <v>17460</v>
          </cell>
          <cell r="AF283">
            <v>8000</v>
          </cell>
          <cell r="AG283">
            <v>7</v>
          </cell>
          <cell r="AH283">
            <v>17</v>
          </cell>
          <cell r="AI283">
            <v>20000</v>
          </cell>
          <cell r="AJ283">
            <v>18000</v>
          </cell>
          <cell r="AK283">
            <v>-10000</v>
          </cell>
          <cell r="AL283">
            <v>17460</v>
          </cell>
        </row>
        <row r="284">
          <cell r="T284" t="str">
            <v>JUAN SEBASTIAN  BETANCURTH RAMIREZ</v>
          </cell>
          <cell r="U284" t="str">
            <v xml:space="preserve">MANZANA 15 CASA 15 SECTOR E PARQUE INDUSTRIAL </v>
          </cell>
          <cell r="V284" t="str">
            <v>parque industrial</v>
          </cell>
          <cell r="W284" t="str">
            <v>CERCANO</v>
          </cell>
          <cell r="X284">
            <v>3136858395</v>
          </cell>
          <cell r="Y284" t="str">
            <v>SUROCCIDENTE</v>
          </cell>
          <cell r="Z284"/>
          <cell r="AA284" t="str">
            <v>PEREIRA</v>
          </cell>
          <cell r="AB284" t="str">
            <v>Pereira</v>
          </cell>
          <cell r="AC284" t="str">
            <v>Avenida Juan B. Gutierrez # 17-55.  Piso 1 Edificio Icono</v>
          </cell>
          <cell r="AD284" t="str">
            <v>Cuarto Turno</v>
          </cell>
          <cell r="AE284">
            <v>13095</v>
          </cell>
          <cell r="AF284">
            <v>8000</v>
          </cell>
          <cell r="AG284">
            <v>8</v>
          </cell>
          <cell r="AH284">
            <v>15</v>
          </cell>
          <cell r="AI284">
            <v>15000</v>
          </cell>
          <cell r="AJ284">
            <v>13500</v>
          </cell>
          <cell r="AK284">
            <v>-5500</v>
          </cell>
          <cell r="AL284">
            <v>13095</v>
          </cell>
        </row>
        <row r="285">
          <cell r="T285" t="str">
            <v>LILIANA PATRICIA  PALACIO</v>
          </cell>
          <cell r="U285" t="str">
            <v>MANZANA 8 CASA 176 VILLA ELISA CUBA PISO 2</v>
          </cell>
          <cell r="V285">
            <v>0</v>
          </cell>
          <cell r="W285" t="str">
            <v>CERCANO</v>
          </cell>
          <cell r="X285" t="e">
            <v>#REF!</v>
          </cell>
          <cell r="Y285" t="str">
            <v>SUROCCIDENTE</v>
          </cell>
          <cell r="Z285"/>
          <cell r="AA285" t="str">
            <v>PEREIRA</v>
          </cell>
          <cell r="AB285" t="str">
            <v>Pereira</v>
          </cell>
          <cell r="AC285" t="str">
            <v>Avenida Juan B. Gutierrez # 17-55.  Piso 1 Edificio Icono</v>
          </cell>
          <cell r="AD285" t="str">
            <v>Cuarto Turno</v>
          </cell>
          <cell r="AE285">
            <v>13095</v>
          </cell>
          <cell r="AF285">
            <v>8000</v>
          </cell>
          <cell r="AG285">
            <v>0</v>
          </cell>
          <cell r="AH285">
            <v>0</v>
          </cell>
          <cell r="AI285">
            <v>15000</v>
          </cell>
          <cell r="AJ285">
            <v>13500</v>
          </cell>
          <cell r="AK285">
            <v>-5500</v>
          </cell>
          <cell r="AL285">
            <v>13095</v>
          </cell>
        </row>
        <row r="286">
          <cell r="T286" t="str">
            <v xml:space="preserve">BEATRIZ OCAMPO </v>
          </cell>
          <cell r="U286"/>
          <cell r="V286">
            <v>0</v>
          </cell>
          <cell r="W286" t="str">
            <v>CERCANO</v>
          </cell>
          <cell r="X286" t="e">
            <v>#REF!</v>
          </cell>
          <cell r="Y286" t="str">
            <v>SUROCCIDENTE</v>
          </cell>
          <cell r="Z286"/>
          <cell r="AA286" t="str">
            <v>PEREIRA</v>
          </cell>
          <cell r="AB286" t="str">
            <v>Pereira</v>
          </cell>
          <cell r="AC286" t="str">
            <v>Avenida Juan B. Gutierrez # 17-55.  Piso 1 Edificio Icono</v>
          </cell>
          <cell r="AD286" t="str">
            <v>Cuarto Turno</v>
          </cell>
          <cell r="AE286">
            <v>14550</v>
          </cell>
          <cell r="AF286">
            <v>15000</v>
          </cell>
          <cell r="AG286">
            <v>0</v>
          </cell>
          <cell r="AH286">
            <v>0</v>
          </cell>
          <cell r="AI286">
            <v>15000</v>
          </cell>
          <cell r="AJ286">
            <v>13500</v>
          </cell>
          <cell r="AK286">
            <v>1500</v>
          </cell>
          <cell r="AL286">
            <v>13095</v>
          </cell>
        </row>
        <row r="287">
          <cell r="T287" t="str">
            <v>JACKELINE GRANADA MARIN</v>
          </cell>
          <cell r="U287" t="str">
            <v>MOLIVENTO II TORRE I  APTO 402 Dos Quebradas (municipal)</v>
          </cell>
          <cell r="V287" t="str">
            <v>dos quebradas</v>
          </cell>
          <cell r="W287" t="str">
            <v>CERCANO</v>
          </cell>
          <cell r="X287">
            <v>3175268459</v>
          </cell>
          <cell r="Y287" t="str">
            <v>SUROCCIDENTE</v>
          </cell>
          <cell r="Z287"/>
          <cell r="AA287" t="str">
            <v>PEREIRA</v>
          </cell>
          <cell r="AB287" t="str">
            <v>Pereira</v>
          </cell>
          <cell r="AC287" t="str">
            <v>Avenida Juan B. Gutierrez # 17-55.  Piso 1 Edificio Icono</v>
          </cell>
          <cell r="AD287" t="str">
            <v>Primer Turno</v>
          </cell>
          <cell r="AE287">
            <v>38800</v>
          </cell>
          <cell r="AF287">
            <v>32000</v>
          </cell>
          <cell r="AG287">
            <v>5</v>
          </cell>
          <cell r="AH287">
            <v>14</v>
          </cell>
          <cell r="AI287">
            <v>30000</v>
          </cell>
          <cell r="AJ287">
            <v>27000</v>
          </cell>
          <cell r="AK287">
            <v>5000</v>
          </cell>
          <cell r="AL287">
            <v>26190</v>
          </cell>
        </row>
        <row r="288">
          <cell r="T288" t="str">
            <v>KAREN YULIETH GARCIA SEPULVEDA</v>
          </cell>
          <cell r="U288" t="str">
            <v>MANZANA 15 CASA 2 PALMAR DE VILLAVENTO Dos Quebradas</v>
          </cell>
          <cell r="V288" t="str">
            <v>dos quebradas</v>
          </cell>
          <cell r="W288" t="str">
            <v>CERCANO</v>
          </cell>
          <cell r="X288">
            <v>3103775463</v>
          </cell>
          <cell r="Y288" t="str">
            <v>SUROCCIDENTE</v>
          </cell>
          <cell r="Z288"/>
          <cell r="AA288" t="str">
            <v>PEREIRA</v>
          </cell>
          <cell r="AB288" t="str">
            <v>Pereira</v>
          </cell>
          <cell r="AC288" t="str">
            <v>Avenida Juan B. Gutierrez # 17-55.  Piso 1 Edificio Icono</v>
          </cell>
          <cell r="AD288" t="str">
            <v>Primer Turno</v>
          </cell>
          <cell r="AE288">
            <v>38800</v>
          </cell>
          <cell r="AF288">
            <v>32000</v>
          </cell>
          <cell r="AG288">
            <v>8</v>
          </cell>
          <cell r="AH288">
            <v>19</v>
          </cell>
          <cell r="AI288">
            <v>30000</v>
          </cell>
          <cell r="AJ288">
            <v>27000</v>
          </cell>
          <cell r="AK288">
            <v>5000</v>
          </cell>
          <cell r="AL288">
            <v>26190</v>
          </cell>
        </row>
        <row r="289">
          <cell r="T289" t="str">
            <v>JESSICA ALEJANDRA SOTO ALVAREZ</v>
          </cell>
          <cell r="U289" t="str">
            <v>CIUDADELA VILLA DE LEYVA MANZANA 2 CASA 25</v>
          </cell>
          <cell r="V289" t="str">
            <v>villa de leyva</v>
          </cell>
          <cell r="W289" t="str">
            <v>CERCANO</v>
          </cell>
          <cell r="X289">
            <v>3104877031</v>
          </cell>
          <cell r="Y289" t="str">
            <v>SUROCCIDENTE</v>
          </cell>
          <cell r="Z289"/>
          <cell r="AA289" t="str">
            <v>PEREIRA</v>
          </cell>
          <cell r="AB289" t="str">
            <v>Pereira</v>
          </cell>
          <cell r="AC289" t="str">
            <v>Avenida Juan B. Gutierrez # 17-55.  Piso 1 Edificio Icono</v>
          </cell>
          <cell r="AD289" t="str">
            <v>Primer Turno</v>
          </cell>
          <cell r="AE289">
            <v>34920</v>
          </cell>
          <cell r="AF289">
            <v>13000</v>
          </cell>
          <cell r="AG289">
            <v>21</v>
          </cell>
          <cell r="AH289">
            <v>11</v>
          </cell>
          <cell r="AI289">
            <v>40000</v>
          </cell>
          <cell r="AJ289">
            <v>36000</v>
          </cell>
          <cell r="AK289">
            <v>-23000</v>
          </cell>
          <cell r="AL289">
            <v>34920</v>
          </cell>
        </row>
        <row r="290">
          <cell r="T290" t="str">
            <v>YAMID OBANDO VASQUEZ</v>
          </cell>
          <cell r="U290" t="str">
            <v>CONJUNTO RESIDENCIAL IRAZU BLOQUE 4 APTO 808 Dos Quebradas</v>
          </cell>
          <cell r="V290" t="str">
            <v>dos quebradas</v>
          </cell>
          <cell r="W290" t="str">
            <v>CERCANO</v>
          </cell>
          <cell r="X290">
            <v>3218917726</v>
          </cell>
          <cell r="Y290" t="str">
            <v>SUROCCIDENTE</v>
          </cell>
          <cell r="Z290"/>
          <cell r="AA290" t="str">
            <v>PEREIRA</v>
          </cell>
          <cell r="AB290" t="str">
            <v>Pereira</v>
          </cell>
          <cell r="AC290" t="str">
            <v>Avenida Juan B. Gutierrez # 17-55.  Piso 1 Edificio Icono</v>
          </cell>
          <cell r="AD290" t="str">
            <v>Primer Turno</v>
          </cell>
          <cell r="AE290">
            <v>38800</v>
          </cell>
          <cell r="AF290">
            <v>32000</v>
          </cell>
          <cell r="AG290">
            <v>6</v>
          </cell>
          <cell r="AH290">
            <v>13</v>
          </cell>
          <cell r="AI290">
            <v>30000</v>
          </cell>
          <cell r="AJ290">
            <v>27000</v>
          </cell>
          <cell r="AK290">
            <v>5000</v>
          </cell>
          <cell r="AL290">
            <v>26190</v>
          </cell>
        </row>
        <row r="291">
          <cell r="T291" t="str">
            <v>BEATRIZ EUGENIA BARTOLO RESTREPO</v>
          </cell>
          <cell r="U291" t="str">
            <v>CALLE 19 No. 21 B 60 EDIFICIO BOSQUES DE LAS SALLES TORRE 1 APTO 601</v>
          </cell>
          <cell r="V291" t="str">
            <v>bosques de la salle</v>
          </cell>
          <cell r="W291" t="str">
            <v>CERCANO</v>
          </cell>
          <cell r="X291">
            <v>3104972278</v>
          </cell>
          <cell r="Y291" t="str">
            <v>SUROCCIDENTE</v>
          </cell>
          <cell r="Z291"/>
          <cell r="AA291" t="str">
            <v>PEREIRA</v>
          </cell>
          <cell r="AB291" t="str">
            <v>Pereira</v>
          </cell>
          <cell r="AC291" t="str">
            <v>Avenida Juan B. Gutierrez # 17-55.  Piso 1 Edificio Icono</v>
          </cell>
          <cell r="AD291" t="str">
            <v>Tercer Turno</v>
          </cell>
          <cell r="AE291">
            <v>10670</v>
          </cell>
          <cell r="AF291">
            <v>8000</v>
          </cell>
          <cell r="AG291">
            <v>3</v>
          </cell>
          <cell r="AH291">
            <v>8</v>
          </cell>
          <cell r="AI291">
            <v>11000</v>
          </cell>
          <cell r="AJ291">
            <v>11000</v>
          </cell>
          <cell r="AK291">
            <v>-3000</v>
          </cell>
          <cell r="AL291">
            <v>10670</v>
          </cell>
        </row>
        <row r="292">
          <cell r="T292" t="str">
            <v>YISENIA MARIA LONDOÑO YEPEZ</v>
          </cell>
          <cell r="U292" t="str">
            <v>MANZANA 7 CASA 8 ACUARELA CUBA</v>
          </cell>
          <cell r="V292" t="str">
            <v>acuarela cuba</v>
          </cell>
          <cell r="W292" t="str">
            <v>CERCANO</v>
          </cell>
          <cell r="X292">
            <v>3205132089</v>
          </cell>
          <cell r="Y292" t="str">
            <v>SUROCCIDENTE</v>
          </cell>
          <cell r="Z292"/>
          <cell r="AA292" t="str">
            <v>PEREIRA</v>
          </cell>
          <cell r="AB292" t="str">
            <v>Pereira</v>
          </cell>
          <cell r="AC292" t="str">
            <v>Avenida Juan B. Gutierrez # 17-55.  Piso 1 Edificio Icono</v>
          </cell>
          <cell r="AD292" t="str">
            <v>Tercer Turno</v>
          </cell>
          <cell r="AE292">
            <v>34920</v>
          </cell>
          <cell r="AF292">
            <v>13000</v>
          </cell>
          <cell r="AG292">
            <v>20</v>
          </cell>
          <cell r="AH292">
            <v>10</v>
          </cell>
          <cell r="AI292">
            <v>40000</v>
          </cell>
          <cell r="AJ292">
            <v>36000</v>
          </cell>
          <cell r="AK292">
            <v>-23000</v>
          </cell>
          <cell r="AL292">
            <v>34920</v>
          </cell>
        </row>
        <row r="293">
          <cell r="T293" t="str">
            <v xml:space="preserve">KATHERINE  PARRA  </v>
          </cell>
          <cell r="U293" t="str">
            <v xml:space="preserve">Mz 1 Casa 18 Sector D Dios parque  Industrial </v>
          </cell>
          <cell r="V293" t="str">
            <v xml:space="preserve">PARQUE INDUSTRIAL </v>
          </cell>
          <cell r="W293" t="str">
            <v>CERCANO</v>
          </cell>
          <cell r="X293">
            <v>3137948364</v>
          </cell>
          <cell r="Y293" t="str">
            <v>SUROCCIDENTE</v>
          </cell>
          <cell r="Z293"/>
          <cell r="AA293" t="str">
            <v>PEREIRA</v>
          </cell>
          <cell r="AB293" t="str">
            <v>Pereira</v>
          </cell>
          <cell r="AC293" t="str">
            <v>Avenida Juan B. Gutierrez # 17-55.  Piso 1 Edificio Icono</v>
          </cell>
          <cell r="AD293" t="str">
            <v>Tercer Turno</v>
          </cell>
          <cell r="AE293">
            <v>10670</v>
          </cell>
          <cell r="AF293">
            <v>8000</v>
          </cell>
          <cell r="AG293">
            <v>7</v>
          </cell>
          <cell r="AH293">
            <v>22</v>
          </cell>
          <cell r="AI293">
            <v>11000</v>
          </cell>
          <cell r="AJ293">
            <v>11000</v>
          </cell>
          <cell r="AK293">
            <v>-3000</v>
          </cell>
          <cell r="AL293">
            <v>10670</v>
          </cell>
        </row>
        <row r="294">
          <cell r="T294" t="str">
            <v>MARIA CENAIDA  CAÑAS</v>
          </cell>
          <cell r="U294" t="str">
            <v>popular modelo carrera 12, 1 -64</v>
          </cell>
          <cell r="V294">
            <v>0</v>
          </cell>
          <cell r="W294" t="str">
            <v>CERCANO</v>
          </cell>
          <cell r="X294">
            <v>3106012111</v>
          </cell>
          <cell r="Y294" t="str">
            <v>SUROCCIDENTE</v>
          </cell>
          <cell r="Z294"/>
          <cell r="AA294" t="str">
            <v>PEREIRA</v>
          </cell>
          <cell r="AB294" t="str">
            <v>Pereira</v>
          </cell>
          <cell r="AC294" t="str">
            <v>Avenida Juan B. Gutierrez # 17-55.  Piso 1 Edificio Icono</v>
          </cell>
          <cell r="AD294" t="str">
            <v>Tercer Turno</v>
          </cell>
          <cell r="AE294">
            <v>13095</v>
          </cell>
          <cell r="AF294">
            <v>8000</v>
          </cell>
          <cell r="AG294">
            <v>1</v>
          </cell>
          <cell r="AH294">
            <v>3</v>
          </cell>
          <cell r="AI294">
            <v>15000</v>
          </cell>
          <cell r="AJ294">
            <v>13500</v>
          </cell>
          <cell r="AK294">
            <v>-5500</v>
          </cell>
          <cell r="AL294">
            <v>13095</v>
          </cell>
        </row>
        <row r="295">
          <cell r="T295" t="str">
            <v>MONICA MARIA QUINTERO</v>
          </cell>
          <cell r="U295" t="str">
            <v>CARRERA 9 # 73N-80-NORTE</v>
          </cell>
          <cell r="V295" t="str">
            <v xml:space="preserve">Gonzales </v>
          </cell>
          <cell r="W295" t="str">
            <v>CERCANO</v>
          </cell>
          <cell r="X295">
            <v>3104176276</v>
          </cell>
          <cell r="Y295" t="str">
            <v>SUROCCIDENTE</v>
          </cell>
          <cell r="Z295"/>
          <cell r="AA295" t="str">
            <v>Popayan</v>
          </cell>
          <cell r="AB295" t="str">
            <v>Popayan</v>
          </cell>
          <cell r="AC295" t="str">
            <v>Cll. 15 Norte # 2-350 Piso 4
Clínica La Estancia</v>
          </cell>
          <cell r="AD295" t="str">
            <v>Primer Turno</v>
          </cell>
          <cell r="AE295">
            <v>13095</v>
          </cell>
          <cell r="AF295">
            <v>9000</v>
          </cell>
          <cell r="AG295">
            <v>6</v>
          </cell>
          <cell r="AH295">
            <v>12</v>
          </cell>
          <cell r="AI295">
            <v>15000</v>
          </cell>
          <cell r="AJ295">
            <v>13500</v>
          </cell>
          <cell r="AK295">
            <v>-4500</v>
          </cell>
          <cell r="AL295">
            <v>13095</v>
          </cell>
        </row>
        <row r="296">
          <cell r="T296" t="str">
            <v xml:space="preserve">MIQUEAS  EPE </v>
          </cell>
          <cell r="U296" t="str">
            <v>CARRERA 41 # 7C-29 COLOMBIA II ETAPA (SUR OCCIDENTE)</v>
          </cell>
          <cell r="V296" t="str">
            <v xml:space="preserve">Carlos primero </v>
          </cell>
          <cell r="W296" t="str">
            <v>CERCANO</v>
          </cell>
          <cell r="X296">
            <v>3136343977</v>
          </cell>
          <cell r="Y296" t="str">
            <v>SUROCCIDENTE</v>
          </cell>
          <cell r="Z296"/>
          <cell r="AA296" t="str">
            <v>Popayan</v>
          </cell>
          <cell r="AB296" t="str">
            <v>Popayan</v>
          </cell>
          <cell r="AC296" t="str">
            <v>Cll. 15 Norte # 2-350 Piso 4
Clínica La Estancia</v>
          </cell>
          <cell r="AD296" t="str">
            <v>Primer Turno</v>
          </cell>
          <cell r="AE296">
            <v>13095</v>
          </cell>
          <cell r="AF296">
            <v>9000</v>
          </cell>
          <cell r="AG296">
            <v>6</v>
          </cell>
          <cell r="AH296">
            <v>16</v>
          </cell>
          <cell r="AI296">
            <v>15000</v>
          </cell>
          <cell r="AJ296">
            <v>13500</v>
          </cell>
          <cell r="AK296">
            <v>-4500</v>
          </cell>
          <cell r="AL296">
            <v>13095</v>
          </cell>
        </row>
        <row r="297">
          <cell r="T297" t="str">
            <v>SILVIA BASTIDAS</v>
          </cell>
          <cell r="U297" t="str">
            <v>CALLE 72bn -3-15 VILLA DEL NORTE</v>
          </cell>
          <cell r="V297" t="str">
            <v xml:space="preserve">Villa del norte </v>
          </cell>
          <cell r="W297" t="str">
            <v>CERCANO</v>
          </cell>
          <cell r="X297">
            <v>3218522460</v>
          </cell>
          <cell r="Y297" t="str">
            <v>SUROCCIDENTE</v>
          </cell>
          <cell r="Z297"/>
          <cell r="AA297" t="str">
            <v>Popayan</v>
          </cell>
          <cell r="AB297" t="str">
            <v>Popayan</v>
          </cell>
          <cell r="AC297" t="str">
            <v>Cll. 15 Norte # 2-350 Piso 4
Clínica La Estancia</v>
          </cell>
          <cell r="AD297" t="str">
            <v>Primer Turno</v>
          </cell>
          <cell r="AE297">
            <v>13095</v>
          </cell>
          <cell r="AF297">
            <v>9000</v>
          </cell>
          <cell r="AG297">
            <v>7</v>
          </cell>
          <cell r="AH297">
            <v>16</v>
          </cell>
          <cell r="AI297">
            <v>15000</v>
          </cell>
          <cell r="AJ297">
            <v>13500</v>
          </cell>
          <cell r="AK297">
            <v>-4500</v>
          </cell>
          <cell r="AL297">
            <v>13095</v>
          </cell>
        </row>
        <row r="298">
          <cell r="T298" t="str">
            <v>ELIANA BLANCO</v>
          </cell>
          <cell r="U298" t="str">
            <v>CONDOMINIO MONSERRAT TORRE B APT 904 NORTE</v>
          </cell>
          <cell r="V298" t="str">
            <v xml:space="preserve">Bosques de Morinda </v>
          </cell>
          <cell r="W298" t="str">
            <v>CERCANO</v>
          </cell>
          <cell r="X298">
            <v>3197367877</v>
          </cell>
          <cell r="Y298" t="str">
            <v>SUROCCIDENTE</v>
          </cell>
          <cell r="Z298"/>
          <cell r="AA298" t="str">
            <v>Popayan</v>
          </cell>
          <cell r="AB298" t="str">
            <v>Popayan</v>
          </cell>
          <cell r="AC298" t="str">
            <v>Cll. 15 Norte # 2-350 Piso 4
Clínica La Estancia</v>
          </cell>
          <cell r="AD298" t="str">
            <v>Primer Turno</v>
          </cell>
          <cell r="AE298">
            <v>13095</v>
          </cell>
          <cell r="AF298">
            <v>9000</v>
          </cell>
          <cell r="AG298">
            <v>6</v>
          </cell>
          <cell r="AH298">
            <v>12</v>
          </cell>
          <cell r="AI298">
            <v>15000</v>
          </cell>
          <cell r="AJ298">
            <v>13500</v>
          </cell>
          <cell r="AK298">
            <v>-4500</v>
          </cell>
          <cell r="AL298">
            <v>13095</v>
          </cell>
        </row>
        <row r="299">
          <cell r="T299" t="str">
            <v xml:space="preserve">YURI CUSPIAN PAZ </v>
          </cell>
          <cell r="U299" t="str">
            <v xml:space="preserve">CARRERA 5 # 18-28 </v>
          </cell>
          <cell r="V299" t="str">
            <v xml:space="preserve">SanAndres </v>
          </cell>
          <cell r="W299" t="str">
            <v>CERCANO</v>
          </cell>
          <cell r="X299">
            <v>3235278733</v>
          </cell>
          <cell r="Y299" t="str">
            <v>SUROCCIDENTE</v>
          </cell>
          <cell r="Z299"/>
          <cell r="AA299" t="str">
            <v>Popayan</v>
          </cell>
          <cell r="AB299" t="str">
            <v>Popayan</v>
          </cell>
          <cell r="AC299" t="str">
            <v>Cll. 15 Norte # 2-350 Piso 4
Clínica La Estancia</v>
          </cell>
          <cell r="AD299" t="str">
            <v>Tercer Turno</v>
          </cell>
          <cell r="AE299">
            <v>13095</v>
          </cell>
          <cell r="AF299">
            <v>9000</v>
          </cell>
          <cell r="AG299">
            <v>3</v>
          </cell>
          <cell r="AH299">
            <v>11</v>
          </cell>
          <cell r="AI299">
            <v>15000</v>
          </cell>
          <cell r="AJ299">
            <v>13500</v>
          </cell>
          <cell r="AK299">
            <v>-4500</v>
          </cell>
          <cell r="AL299">
            <v>13095</v>
          </cell>
        </row>
        <row r="300">
          <cell r="T300" t="str">
            <v>ASTRID SOCORRO RENGIFO MARTINEZ</v>
          </cell>
          <cell r="U300" t="str">
            <v>CARRERA 7 # 17N - 51 EL RECUERDO</v>
          </cell>
          <cell r="V300" t="str">
            <v xml:space="preserve">El recuerdo </v>
          </cell>
          <cell r="W300" t="str">
            <v>CERCANO</v>
          </cell>
          <cell r="X300">
            <v>3136853823</v>
          </cell>
          <cell r="Y300" t="str">
            <v>SUROCCIDENTE</v>
          </cell>
          <cell r="Z300"/>
          <cell r="AA300" t="str">
            <v>Popayan</v>
          </cell>
          <cell r="AB300" t="str">
            <v>Popayan</v>
          </cell>
          <cell r="AC300" t="str">
            <v>Cll. 15 Norte # 2-350 Piso 4
Clínica La Estancia</v>
          </cell>
          <cell r="AD300" t="str">
            <v>Tercer Turno</v>
          </cell>
          <cell r="AE300">
            <v>10670</v>
          </cell>
          <cell r="AF300">
            <v>9000</v>
          </cell>
          <cell r="AG300">
            <v>1</v>
          </cell>
          <cell r="AH300">
            <v>4</v>
          </cell>
          <cell r="AI300">
            <v>11000</v>
          </cell>
          <cell r="AJ300">
            <v>11000</v>
          </cell>
          <cell r="AK300">
            <v>-2000</v>
          </cell>
          <cell r="AL300">
            <v>10670</v>
          </cell>
        </row>
        <row r="301">
          <cell r="T301" t="str">
            <v xml:space="preserve">LEIDY </v>
          </cell>
          <cell r="U301" t="str">
            <v xml:space="preserve">AVERIGUAR CON EL CONDUCTOR </v>
          </cell>
          <cell r="V301">
            <v>0</v>
          </cell>
          <cell r="W301" t="str">
            <v>CERCANO</v>
          </cell>
          <cell r="X301" t="str">
            <v xml:space="preserve">AVERIGUAR CON EL CONDUCTOR </v>
          </cell>
          <cell r="Y301" t="str">
            <v>SUROCCIDENTE</v>
          </cell>
          <cell r="Z301"/>
          <cell r="AA301" t="str">
            <v>Popayan</v>
          </cell>
          <cell r="AB301" t="str">
            <v>Popayan</v>
          </cell>
          <cell r="AC301" t="str">
            <v>Cll. 15 Norte # 2-350 Piso 4
Clínica La Estancia</v>
          </cell>
          <cell r="AD301" t="str">
            <v>Tercer Turno</v>
          </cell>
          <cell r="AE301">
            <v>10670</v>
          </cell>
          <cell r="AF301">
            <v>9000</v>
          </cell>
          <cell r="AG301">
            <v>0</v>
          </cell>
          <cell r="AH301">
            <v>0</v>
          </cell>
          <cell r="AI301">
            <v>11000</v>
          </cell>
          <cell r="AJ301">
            <v>11000</v>
          </cell>
          <cell r="AK301">
            <v>-2000</v>
          </cell>
          <cell r="AL301">
            <v>10670</v>
          </cell>
        </row>
        <row r="302">
          <cell r="T302" t="str">
            <v>PALMA BRAVO ELENA JOHANA</v>
          </cell>
          <cell r="U302" t="str">
            <v>Calle 21 No 19 - 52 Soledad</v>
          </cell>
          <cell r="V302" t="str">
            <v>Soledad</v>
          </cell>
          <cell r="W302" t="str">
            <v>INTERMUNICIPAL</v>
          </cell>
          <cell r="X302">
            <v>3157349370</v>
          </cell>
          <cell r="Y302" t="str">
            <v>NORTE</v>
          </cell>
          <cell r="Z302"/>
          <cell r="AA302" t="str">
            <v>Barranquilla</v>
          </cell>
          <cell r="AB302" t="str">
            <v>Riomar</v>
          </cell>
          <cell r="AC302" t="str">
            <v>Cra. 51 # 82-197</v>
          </cell>
          <cell r="AD302" t="str">
            <v>Primer Turno</v>
          </cell>
          <cell r="AE302">
            <v>39285</v>
          </cell>
          <cell r="AF302">
            <v>30000</v>
          </cell>
          <cell r="AG302" t="str">
            <v>12.6 km</v>
          </cell>
          <cell r="AH302" t="str">
            <v>25 min</v>
          </cell>
          <cell r="AI302">
            <v>45000</v>
          </cell>
          <cell r="AJ302">
            <v>40500</v>
          </cell>
          <cell r="AK302">
            <v>-10500</v>
          </cell>
          <cell r="AL302">
            <v>39285</v>
          </cell>
        </row>
        <row r="303">
          <cell r="T303" t="str">
            <v>BARCELO ROJAS ELKYS DE JESUS</v>
          </cell>
          <cell r="U303" t="str">
            <v xml:space="preserve">Calle 15  No 11B - 41 Soledad </v>
          </cell>
          <cell r="V303" t="str">
            <v>Soledad</v>
          </cell>
          <cell r="W303" t="str">
            <v>INTERMUNICIPAL</v>
          </cell>
          <cell r="X303">
            <v>3207686475</v>
          </cell>
          <cell r="Y303" t="str">
            <v>NORTE</v>
          </cell>
          <cell r="Z303"/>
          <cell r="AA303" t="str">
            <v>Barranquilla</v>
          </cell>
          <cell r="AB303" t="str">
            <v>Riomar</v>
          </cell>
          <cell r="AC303" t="str">
            <v>Cra. 51 # 82-197</v>
          </cell>
          <cell r="AD303" t="str">
            <v>Primer Turno</v>
          </cell>
          <cell r="AE303">
            <v>39285</v>
          </cell>
          <cell r="AF303">
            <v>30000</v>
          </cell>
          <cell r="AG303">
            <v>0</v>
          </cell>
          <cell r="AH303">
            <v>0</v>
          </cell>
          <cell r="AI303">
            <v>45000</v>
          </cell>
          <cell r="AJ303">
            <v>40500</v>
          </cell>
          <cell r="AK303">
            <v>-10500</v>
          </cell>
          <cell r="AL303">
            <v>39285</v>
          </cell>
        </row>
        <row r="304">
          <cell r="T304" t="str">
            <v>ORTEGA HERNANDEZ CARLOS DANIEL</v>
          </cell>
          <cell r="U304" t="str">
            <v>Calle 45 G # 18 - 30 Barranquilla</v>
          </cell>
          <cell r="V304" t="str">
            <v>San Jose</v>
          </cell>
          <cell r="W304" t="str">
            <v>CERCANO</v>
          </cell>
          <cell r="X304">
            <v>3126646174</v>
          </cell>
          <cell r="Y304" t="str">
            <v>NORTE</v>
          </cell>
          <cell r="Z304"/>
          <cell r="AA304" t="str">
            <v>Barranquilla</v>
          </cell>
          <cell r="AB304" t="str">
            <v>Riomar</v>
          </cell>
          <cell r="AC304" t="str">
            <v>Cra. 51 # 82-197</v>
          </cell>
          <cell r="AD304" t="str">
            <v>Primer Turno</v>
          </cell>
          <cell r="AE304">
            <v>17460</v>
          </cell>
          <cell r="AF304">
            <v>9000</v>
          </cell>
          <cell r="AG304" t="str">
            <v>7.8 km</v>
          </cell>
          <cell r="AH304" t="str">
            <v>23 min</v>
          </cell>
          <cell r="AI304">
            <v>20000</v>
          </cell>
          <cell r="AJ304">
            <v>18000</v>
          </cell>
          <cell r="AK304">
            <v>-9000</v>
          </cell>
          <cell r="AL304">
            <v>17460</v>
          </cell>
        </row>
        <row r="305">
          <cell r="T305" t="str">
            <v>LUZ KARIME DIAZ</v>
          </cell>
          <cell r="U305" t="str">
            <v>Calle 76e # 17b 26</v>
          </cell>
          <cell r="V305" t="str">
            <v>Los Robles/soledad</v>
          </cell>
          <cell r="W305" t="str">
            <v>CERCANO</v>
          </cell>
          <cell r="X305">
            <v>3024060382</v>
          </cell>
          <cell r="Y305" t="str">
            <v>NORTE</v>
          </cell>
          <cell r="Z305"/>
          <cell r="AA305" t="str">
            <v>Barranquilla</v>
          </cell>
          <cell r="AB305" t="str">
            <v>Riomar</v>
          </cell>
          <cell r="AC305" t="str">
            <v>Cra. 51 # 82-197</v>
          </cell>
          <cell r="AD305" t="str">
            <v>Primer Turno</v>
          </cell>
          <cell r="AE305">
            <v>39285</v>
          </cell>
          <cell r="AF305">
            <v>9000</v>
          </cell>
          <cell r="AG305">
            <v>12.9</v>
          </cell>
          <cell r="AH305">
            <v>22</v>
          </cell>
          <cell r="AI305">
            <v>20000</v>
          </cell>
          <cell r="AJ305">
            <v>18000</v>
          </cell>
          <cell r="AK305">
            <v>-9000</v>
          </cell>
          <cell r="AL305">
            <v>17460</v>
          </cell>
        </row>
        <row r="306">
          <cell r="T306" t="str">
            <v>MILAGROS FONTALVO</v>
          </cell>
          <cell r="U306" t="str">
            <v>CRA 5A # 41B 27 LA MAGDALENA</v>
          </cell>
          <cell r="V306" t="str">
            <v>La Magdalena</v>
          </cell>
          <cell r="W306" t="str">
            <v>CERCANO</v>
          </cell>
          <cell r="X306">
            <v>3004355467</v>
          </cell>
          <cell r="Y306" t="str">
            <v>NORTE</v>
          </cell>
          <cell r="Z306"/>
          <cell r="AA306" t="str">
            <v>Barranquilla</v>
          </cell>
          <cell r="AB306" t="str">
            <v>Riomar</v>
          </cell>
          <cell r="AC306" t="str">
            <v>Cra. 51 # 82-197</v>
          </cell>
          <cell r="AD306" t="str">
            <v>Primer Turno</v>
          </cell>
          <cell r="AE306">
            <v>17460</v>
          </cell>
          <cell r="AF306">
            <v>9000</v>
          </cell>
          <cell r="AG306" t="str">
            <v>16.2 km</v>
          </cell>
          <cell r="AH306" t="str">
            <v>29 min</v>
          </cell>
          <cell r="AI306">
            <v>20000</v>
          </cell>
          <cell r="AJ306">
            <v>18000</v>
          </cell>
          <cell r="AK306">
            <v>-9000</v>
          </cell>
          <cell r="AL306">
            <v>17460</v>
          </cell>
        </row>
        <row r="307">
          <cell r="T307" t="str">
            <v>CARDENAS REDONDO GUSTAVO ENRIQUE</v>
          </cell>
          <cell r="U307" t="str">
            <v>Calle 18 No 1A -196Piso 2 Malambo</v>
          </cell>
          <cell r="V307" t="str">
            <v>Malambo</v>
          </cell>
          <cell r="W307" t="str">
            <v>INTERMUNICIPAL</v>
          </cell>
          <cell r="X307">
            <v>3204373145</v>
          </cell>
          <cell r="Y307" t="str">
            <v>NORTE</v>
          </cell>
          <cell r="Z307"/>
          <cell r="AA307" t="str">
            <v>Barranquilla</v>
          </cell>
          <cell r="AB307" t="str">
            <v>Riomar</v>
          </cell>
          <cell r="AC307" t="str">
            <v>Cra. 51 # 82-197</v>
          </cell>
          <cell r="AD307" t="str">
            <v>Tercer Turno</v>
          </cell>
          <cell r="AE307">
            <v>39285</v>
          </cell>
          <cell r="AF307">
            <v>30000</v>
          </cell>
          <cell r="AG307" t="str">
            <v>15.5 km</v>
          </cell>
          <cell r="AH307" t="str">
            <v>29 min</v>
          </cell>
          <cell r="AI307">
            <v>45000</v>
          </cell>
          <cell r="AJ307">
            <v>40500</v>
          </cell>
          <cell r="AK307">
            <v>-10500</v>
          </cell>
          <cell r="AL307">
            <v>39285</v>
          </cell>
        </row>
        <row r="308">
          <cell r="T308" t="str">
            <v>MORALES MARTINEZ BELKYS SULAY</v>
          </cell>
          <cell r="U308" t="str">
            <v>Cra 29 # 25 - 94 Soledad</v>
          </cell>
          <cell r="V308" t="str">
            <v>Ciudadela 20 de Julio</v>
          </cell>
          <cell r="W308" t="str">
            <v>INTERMUNICIPAL</v>
          </cell>
          <cell r="X308">
            <v>3013723061</v>
          </cell>
          <cell r="Y308" t="str">
            <v>NORTE</v>
          </cell>
          <cell r="Z308"/>
          <cell r="AA308" t="str">
            <v>Barranquilla</v>
          </cell>
          <cell r="AB308" t="str">
            <v>Riomar</v>
          </cell>
          <cell r="AC308" t="str">
            <v>Cra. 51 # 82-197</v>
          </cell>
          <cell r="AD308" t="str">
            <v>Tercer Turno</v>
          </cell>
          <cell r="AE308">
            <v>39285</v>
          </cell>
          <cell r="AF308">
            <v>30000</v>
          </cell>
          <cell r="AG308" t="str">
            <v>17.7 km</v>
          </cell>
          <cell r="AH308" t="str">
            <v>30 min</v>
          </cell>
          <cell r="AI308">
            <v>45000</v>
          </cell>
          <cell r="AJ308">
            <v>40500</v>
          </cell>
          <cell r="AK308">
            <v>-10500</v>
          </cell>
          <cell r="AL308">
            <v>39285</v>
          </cell>
        </row>
        <row r="309">
          <cell r="T309" t="str">
            <v>BURGOS NEGRETE NEIDY LUZ</v>
          </cell>
          <cell r="U309" t="str">
            <v>Calle 72 No 15 A-26 Soledad</v>
          </cell>
          <cell r="V309" t="str">
            <v>Soledad</v>
          </cell>
          <cell r="W309" t="str">
            <v>INTERMUNICIPAL</v>
          </cell>
          <cell r="X309" t="e">
            <v>#REF!</v>
          </cell>
          <cell r="Y309" t="str">
            <v>NORTE</v>
          </cell>
          <cell r="Z309"/>
          <cell r="AA309" t="str">
            <v>Barranquilla</v>
          </cell>
          <cell r="AB309" t="str">
            <v>Riomar</v>
          </cell>
          <cell r="AC309" t="str">
            <v>Cra. 51 # 82-197</v>
          </cell>
          <cell r="AD309" t="str">
            <v>Tercer Turno</v>
          </cell>
          <cell r="AE309">
            <v>39285</v>
          </cell>
          <cell r="AF309">
            <v>30000</v>
          </cell>
          <cell r="AG309" t="str">
            <v>14 km</v>
          </cell>
          <cell r="AH309" t="str">
            <v>26 min</v>
          </cell>
          <cell r="AI309">
            <v>45000</v>
          </cell>
          <cell r="AJ309">
            <v>40500</v>
          </cell>
          <cell r="AK309">
            <v>-10500</v>
          </cell>
          <cell r="AL309">
            <v>39285</v>
          </cell>
        </row>
        <row r="310">
          <cell r="T310" t="str">
            <v>PAOLA VASQUEZ</v>
          </cell>
          <cell r="U310" t="str">
            <v>Cra 25b # 64 - 44 Barrio los Andes</v>
          </cell>
          <cell r="V310" t="str">
            <v>Los Andes</v>
          </cell>
          <cell r="W310" t="str">
            <v>CERCANO</v>
          </cell>
          <cell r="X310">
            <v>3007528466</v>
          </cell>
          <cell r="Y310" t="str">
            <v>NORTE</v>
          </cell>
          <cell r="Z310"/>
          <cell r="AA310" t="str">
            <v>Barranquilla</v>
          </cell>
          <cell r="AB310" t="str">
            <v>Riomar</v>
          </cell>
          <cell r="AC310" t="str">
            <v>Cra. 51 # 82-197</v>
          </cell>
          <cell r="AD310" t="str">
            <v>Tercer Turno</v>
          </cell>
          <cell r="AE310">
            <v>17460</v>
          </cell>
          <cell r="AF310">
            <v>9000</v>
          </cell>
          <cell r="AG310" t="str">
            <v>5.8 km</v>
          </cell>
          <cell r="AH310" t="str">
            <v>17 min</v>
          </cell>
          <cell r="AI310">
            <v>20000</v>
          </cell>
          <cell r="AJ310">
            <v>18000</v>
          </cell>
          <cell r="AK310">
            <v>-9000</v>
          </cell>
          <cell r="AL310">
            <v>17460</v>
          </cell>
        </row>
        <row r="311">
          <cell r="T311" t="str">
            <v>BETTY</v>
          </cell>
          <cell r="U311"/>
          <cell r="V311">
            <v>0</v>
          </cell>
          <cell r="W311" t="str">
            <v>CERCANO</v>
          </cell>
          <cell r="X311" t="e">
            <v>#REF!</v>
          </cell>
          <cell r="Y311" t="str">
            <v>NORTE</v>
          </cell>
          <cell r="Z311"/>
          <cell r="AA311" t="str">
            <v>Barranquilla</v>
          </cell>
          <cell r="AB311" t="str">
            <v>Riomar</v>
          </cell>
          <cell r="AC311" t="str">
            <v>Cra. 51 # 82-197</v>
          </cell>
          <cell r="AD311" t="str">
            <v>Tercer Turno</v>
          </cell>
          <cell r="AE311">
            <v>17460</v>
          </cell>
          <cell r="AF311">
            <v>9000</v>
          </cell>
          <cell r="AG311">
            <v>0</v>
          </cell>
          <cell r="AH311">
            <v>0</v>
          </cell>
          <cell r="AI311">
            <v>20000</v>
          </cell>
          <cell r="AJ311">
            <v>18000</v>
          </cell>
          <cell r="AK311">
            <v>-9000</v>
          </cell>
          <cell r="AL311">
            <v>17460</v>
          </cell>
        </row>
        <row r="312">
          <cell r="T312" t="str">
            <v>ELIANA ZENITH MUNIVE</v>
          </cell>
          <cell r="U312" t="str">
            <v>Cra 41a # 28 - 43 Costa Hermosa/soledad</v>
          </cell>
          <cell r="V312" t="str">
            <v>Costa Hermosa</v>
          </cell>
          <cell r="W312" t="str">
            <v>CERCANO</v>
          </cell>
          <cell r="X312">
            <v>3012807716</v>
          </cell>
          <cell r="Y312" t="str">
            <v>NORTE</v>
          </cell>
          <cell r="Z312"/>
          <cell r="AA312" t="str">
            <v>Barranquilla</v>
          </cell>
          <cell r="AB312" t="str">
            <v>Riomar</v>
          </cell>
          <cell r="AC312" t="str">
            <v>Cra. 51 # 82-197</v>
          </cell>
          <cell r="AD312" t="str">
            <v>Tercer Turno</v>
          </cell>
          <cell r="AE312">
            <v>17460</v>
          </cell>
          <cell r="AF312">
            <v>9000</v>
          </cell>
          <cell r="AG312" t="str">
            <v>15.3 km</v>
          </cell>
          <cell r="AH312" t="str">
            <v>30 min</v>
          </cell>
          <cell r="AI312">
            <v>20000</v>
          </cell>
          <cell r="AJ312">
            <v>18000</v>
          </cell>
          <cell r="AK312">
            <v>-9000</v>
          </cell>
          <cell r="AL312">
            <v>17460</v>
          </cell>
        </row>
        <row r="313">
          <cell r="T313" t="str">
            <v>JANNET ESPINOSA</v>
          </cell>
          <cell r="U313" t="str">
            <v>TRANSVERSAL 34A BIS # 40A - 10 SUR -villa mayor la nueva</v>
          </cell>
          <cell r="V313" t="str">
            <v>VILLA MAYOR LA NUEVA</v>
          </cell>
          <cell r="W313" t="str">
            <v>LEJANO</v>
          </cell>
          <cell r="X313">
            <v>3112202571</v>
          </cell>
          <cell r="Y313" t="str">
            <v>CENTRO</v>
          </cell>
          <cell r="Z313" t="str">
            <v>VILLA MAYOR LA NUEVA</v>
          </cell>
          <cell r="AA313" t="str">
            <v>Bogota</v>
          </cell>
          <cell r="AB313" t="str">
            <v>San Jose</v>
          </cell>
          <cell r="AC313" t="str">
            <v>Cll. 10 # 18-75 piso 3</v>
          </cell>
          <cell r="AD313" t="str">
            <v>Primer Turno</v>
          </cell>
          <cell r="AE313">
            <v>17460</v>
          </cell>
          <cell r="AF313">
            <v>30000</v>
          </cell>
          <cell r="AG313">
            <v>12</v>
          </cell>
          <cell r="AH313">
            <v>25</v>
          </cell>
          <cell r="AI313">
            <v>20000</v>
          </cell>
          <cell r="AJ313">
            <v>18000</v>
          </cell>
          <cell r="AK313">
            <v>12000</v>
          </cell>
          <cell r="AL313">
            <v>17460</v>
          </cell>
        </row>
        <row r="314">
          <cell r="T314" t="str">
            <v>ERIKA CEPEDA</v>
          </cell>
          <cell r="U314" t="str">
            <v>CARRERA 3RA # 45A -14 - SOACHA nuevo colon entrada quintanares</v>
          </cell>
          <cell r="V314" t="str">
            <v>quintanares</v>
          </cell>
          <cell r="W314" t="str">
            <v>INTERMUNICIAPAL</v>
          </cell>
          <cell r="X314">
            <v>3134798160</v>
          </cell>
          <cell r="Y314" t="str">
            <v>CENTRO</v>
          </cell>
          <cell r="Z314" t="str">
            <v>NUEVO COLON ENTRADA QUINTANARES</v>
          </cell>
          <cell r="AA314" t="str">
            <v>Bogota</v>
          </cell>
          <cell r="AB314" t="str">
            <v>San Jose</v>
          </cell>
          <cell r="AC314" t="str">
            <v>Cll. 10 # 18-75 piso 3</v>
          </cell>
          <cell r="AD314" t="str">
            <v>Primer Turno</v>
          </cell>
          <cell r="AE314">
            <v>61110</v>
          </cell>
          <cell r="AF314">
            <v>9000</v>
          </cell>
          <cell r="AG314">
            <v>20</v>
          </cell>
          <cell r="AH314">
            <v>38</v>
          </cell>
          <cell r="AI314">
            <v>70000</v>
          </cell>
          <cell r="AJ314">
            <v>63000</v>
          </cell>
          <cell r="AK314">
            <v>-54000</v>
          </cell>
          <cell r="AL314">
            <v>61110</v>
          </cell>
        </row>
        <row r="315">
          <cell r="T315" t="str">
            <v>JENIFER ALARCON</v>
          </cell>
          <cell r="U315" t="str">
            <v>CALLE 20 # 12 -55          Soacha portalegre</v>
          </cell>
          <cell r="V315" t="str">
            <v>soacha portoalegre</v>
          </cell>
          <cell r="W315" t="str">
            <v>INTERMUNICIAPAL</v>
          </cell>
          <cell r="X315">
            <v>3102600712</v>
          </cell>
          <cell r="Y315" t="str">
            <v>CENTRO</v>
          </cell>
          <cell r="Z315" t="str">
            <v>SOACHA POTALEGRE</v>
          </cell>
          <cell r="AA315" t="str">
            <v>Bogota</v>
          </cell>
          <cell r="AB315" t="str">
            <v>San Jose</v>
          </cell>
          <cell r="AC315" t="str">
            <v>Cll. 10 # 18-75 piso 3</v>
          </cell>
          <cell r="AD315" t="str">
            <v>Primer Turno</v>
          </cell>
          <cell r="AE315">
            <v>61110</v>
          </cell>
          <cell r="AF315">
            <v>30000</v>
          </cell>
          <cell r="AG315">
            <v>20</v>
          </cell>
          <cell r="AH315">
            <v>38</v>
          </cell>
          <cell r="AI315">
            <v>70000</v>
          </cell>
          <cell r="AJ315">
            <v>63000</v>
          </cell>
          <cell r="AK315">
            <v>-33000</v>
          </cell>
          <cell r="AL315">
            <v>61110</v>
          </cell>
        </row>
        <row r="316">
          <cell r="T316" t="str">
            <v>MARILU PIRAZAN</v>
          </cell>
          <cell r="U316" t="str">
            <v xml:space="preserve">CALLE 6TA  A # 94 A - 26                  </v>
          </cell>
          <cell r="V316">
            <v>0</v>
          </cell>
          <cell r="W316" t="str">
            <v>LEJANO</v>
          </cell>
          <cell r="X316">
            <v>3133288887</v>
          </cell>
          <cell r="Y316" t="str">
            <v>CENTRO</v>
          </cell>
          <cell r="Z316"/>
          <cell r="AA316" t="str">
            <v>Bogota</v>
          </cell>
          <cell r="AB316" t="str">
            <v>San Jose</v>
          </cell>
          <cell r="AC316" t="str">
            <v>Cll. 10 # 18-75 piso 3</v>
          </cell>
          <cell r="AD316" t="str">
            <v>Primer Turno</v>
          </cell>
          <cell r="AE316">
            <v>17460</v>
          </cell>
          <cell r="AF316">
            <v>9000</v>
          </cell>
          <cell r="AG316">
            <v>13</v>
          </cell>
          <cell r="AH316">
            <v>28</v>
          </cell>
          <cell r="AI316">
            <v>20000</v>
          </cell>
          <cell r="AJ316">
            <v>18000</v>
          </cell>
          <cell r="AK316">
            <v>-9000</v>
          </cell>
          <cell r="AL316">
            <v>17460</v>
          </cell>
        </row>
        <row r="317">
          <cell r="T317" t="str">
            <v>JHOANNA OLIVARES</v>
          </cell>
          <cell r="U317" t="str">
            <v xml:space="preserve">CARRERA 13 # 44 - 34  -chapinero   </v>
          </cell>
          <cell r="V317" t="str">
            <v>chapinero</v>
          </cell>
          <cell r="W317" t="str">
            <v>CERCANO</v>
          </cell>
          <cell r="X317">
            <v>3006764775</v>
          </cell>
          <cell r="Y317" t="str">
            <v>CENTRO</v>
          </cell>
          <cell r="Z317" t="str">
            <v>CHAPINERO</v>
          </cell>
          <cell r="AA317" t="str">
            <v>Bogota</v>
          </cell>
          <cell r="AB317" t="str">
            <v>San Jose</v>
          </cell>
          <cell r="AC317" t="str">
            <v>Cll. 10 # 18-75 piso 3</v>
          </cell>
          <cell r="AD317" t="str">
            <v>Primer Turno</v>
          </cell>
          <cell r="AE317">
            <v>13095</v>
          </cell>
          <cell r="AF317">
            <v>9000</v>
          </cell>
          <cell r="AG317">
            <v>6</v>
          </cell>
          <cell r="AH317">
            <v>17</v>
          </cell>
          <cell r="AI317">
            <v>15000</v>
          </cell>
          <cell r="AJ317">
            <v>13500</v>
          </cell>
          <cell r="AK317">
            <v>-4500</v>
          </cell>
          <cell r="AL317">
            <v>13095</v>
          </cell>
        </row>
        <row r="318">
          <cell r="T318" t="str">
            <v>yamile sierra</v>
          </cell>
          <cell r="U318" t="str">
            <v xml:space="preserve">CALLE 36 SUR # 35-13-villa mayor antigua                      </v>
          </cell>
          <cell r="V318" t="str">
            <v>villa mayor antigua</v>
          </cell>
          <cell r="W318" t="str">
            <v>CERCANO</v>
          </cell>
          <cell r="X318">
            <v>3148870857</v>
          </cell>
          <cell r="Y318" t="str">
            <v>CENTRO</v>
          </cell>
          <cell r="Z318" t="str">
            <v>villa mayor antigua</v>
          </cell>
          <cell r="AA318" t="str">
            <v>Bogota</v>
          </cell>
          <cell r="AB318" t="str">
            <v>San Jose</v>
          </cell>
          <cell r="AC318" t="str">
            <v>Cll. 10 # 18-75 piso 3</v>
          </cell>
          <cell r="AD318" t="str">
            <v>Primer Turno</v>
          </cell>
          <cell r="AE318">
            <v>13095</v>
          </cell>
          <cell r="AF318">
            <v>9000</v>
          </cell>
          <cell r="AG318">
            <v>6</v>
          </cell>
          <cell r="AH318">
            <v>17</v>
          </cell>
          <cell r="AI318">
            <v>15000</v>
          </cell>
          <cell r="AJ318">
            <v>13500</v>
          </cell>
          <cell r="AK318">
            <v>-4500</v>
          </cell>
          <cell r="AL318">
            <v>13095</v>
          </cell>
        </row>
        <row r="319">
          <cell r="T319" t="str">
            <v>HEIDY JOHANA AMAYA</v>
          </cell>
          <cell r="U319" t="str">
            <v>CARRERA 11 ESTE # 22 A 41 Soacha</v>
          </cell>
          <cell r="V319" t="str">
            <v>soacha</v>
          </cell>
          <cell r="W319" t="str">
            <v>INTERMUNICIAPAL</v>
          </cell>
          <cell r="X319">
            <v>3103180457</v>
          </cell>
          <cell r="Y319" t="str">
            <v>CENTRO</v>
          </cell>
          <cell r="Z319" t="str">
            <v>Sohacha-Ricairte</v>
          </cell>
          <cell r="AA319" t="str">
            <v>Bogota</v>
          </cell>
          <cell r="AB319" t="str">
            <v>San Jose</v>
          </cell>
          <cell r="AC319" t="str">
            <v>Cll. 10 # 18-75 piso 3</v>
          </cell>
          <cell r="AD319" t="str">
            <v>Primer Turno</v>
          </cell>
          <cell r="AE319">
            <v>61110</v>
          </cell>
          <cell r="AF319">
            <v>20000</v>
          </cell>
          <cell r="AG319">
            <v>20</v>
          </cell>
          <cell r="AH319">
            <v>38</v>
          </cell>
          <cell r="AI319">
            <v>70000</v>
          </cell>
          <cell r="AJ319">
            <v>63000</v>
          </cell>
          <cell r="AK319">
            <v>-43000</v>
          </cell>
          <cell r="AL319">
            <v>61110</v>
          </cell>
        </row>
        <row r="320">
          <cell r="T320" t="str">
            <v>DEICY HUERFANO</v>
          </cell>
          <cell r="U320" t="str">
            <v>DIAGONAL 51A # 11 - 15 SUR ESTE-santa rita sur oriente libertadores</v>
          </cell>
          <cell r="V320" t="str">
            <v>santa rita sur oriental libertadores</v>
          </cell>
          <cell r="W320" t="str">
            <v>LEJANO PERIFERIA DE BOGOTA SUR ORIENTE</v>
          </cell>
          <cell r="X320">
            <v>3144040532</v>
          </cell>
          <cell r="Y320" t="str">
            <v>CENTRO</v>
          </cell>
          <cell r="Z320" t="str">
            <v>santa rita sur oriental libertadores</v>
          </cell>
          <cell r="AA320" t="str">
            <v>Bogota</v>
          </cell>
          <cell r="AB320" t="str">
            <v>San Jose</v>
          </cell>
          <cell r="AC320" t="str">
            <v>Cll. 10 # 18-75 piso 3</v>
          </cell>
          <cell r="AD320" t="str">
            <v>Primer Turno</v>
          </cell>
          <cell r="AE320">
            <v>17460</v>
          </cell>
          <cell r="AF320">
            <v>15000</v>
          </cell>
          <cell r="AG320">
            <v>10</v>
          </cell>
          <cell r="AH320">
            <v>20</v>
          </cell>
          <cell r="AI320">
            <v>20000</v>
          </cell>
          <cell r="AJ320">
            <v>18000</v>
          </cell>
          <cell r="AK320">
            <v>-3000</v>
          </cell>
          <cell r="AL320">
            <v>17460</v>
          </cell>
        </row>
        <row r="321">
          <cell r="T321" t="str">
            <v>FERNANDO BERMUDEZ</v>
          </cell>
          <cell r="U321" t="str">
            <v xml:space="preserve">CARRERA 99 BIS # 14 - 05  - fontibon        </v>
          </cell>
          <cell r="V321" t="str">
            <v>FONTIBON</v>
          </cell>
          <cell r="W321" t="str">
            <v>LEJANO</v>
          </cell>
          <cell r="X321">
            <v>3115643713</v>
          </cell>
          <cell r="Y321" t="str">
            <v>CENTRO</v>
          </cell>
          <cell r="Z321" t="str">
            <v>FONTIBON</v>
          </cell>
          <cell r="AA321" t="str">
            <v>Bogota</v>
          </cell>
          <cell r="AB321" t="str">
            <v>San Jose</v>
          </cell>
          <cell r="AC321" t="str">
            <v>Cll. 10 # 18-75 piso 3</v>
          </cell>
          <cell r="AD321" t="str">
            <v>Tercer Turno</v>
          </cell>
          <cell r="AE321">
            <v>17460</v>
          </cell>
          <cell r="AF321">
            <v>15000</v>
          </cell>
          <cell r="AG321">
            <v>18</v>
          </cell>
          <cell r="AH321">
            <v>35</v>
          </cell>
          <cell r="AI321">
            <v>20000</v>
          </cell>
          <cell r="AJ321">
            <v>18000</v>
          </cell>
          <cell r="AK321">
            <v>-3000</v>
          </cell>
          <cell r="AL321">
            <v>17460</v>
          </cell>
        </row>
        <row r="322">
          <cell r="T322" t="str">
            <v>NORMA PINEDA</v>
          </cell>
          <cell r="U322" t="str">
            <v xml:space="preserve">CARRERA 5TA # 22C- 04 SUR - 20 de julio      </v>
          </cell>
          <cell r="V322" t="str">
            <v>20 De Julio</v>
          </cell>
          <cell r="W322" t="str">
            <v xml:space="preserve">LEJANO </v>
          </cell>
          <cell r="X322">
            <v>3132212459</v>
          </cell>
          <cell r="Y322" t="str">
            <v>CENTRO</v>
          </cell>
          <cell r="Z322" t="str">
            <v>20 de julio</v>
          </cell>
          <cell r="AA322" t="str">
            <v>Bogota</v>
          </cell>
          <cell r="AB322" t="str">
            <v>San Jose</v>
          </cell>
          <cell r="AC322" t="str">
            <v>Cll. 10 # 18-75 piso 3</v>
          </cell>
          <cell r="AD322" t="str">
            <v>Tercer Turno</v>
          </cell>
          <cell r="AE322">
            <v>17460</v>
          </cell>
          <cell r="AF322">
            <v>20000</v>
          </cell>
          <cell r="AG322">
            <v>10</v>
          </cell>
          <cell r="AH322">
            <v>20</v>
          </cell>
          <cell r="AI322">
            <v>20000</v>
          </cell>
          <cell r="AJ322">
            <v>18000</v>
          </cell>
          <cell r="AK322">
            <v>2000</v>
          </cell>
          <cell r="AL322">
            <v>17460</v>
          </cell>
        </row>
        <row r="323">
          <cell r="T323" t="str">
            <v>ALEJANDRA MOYA</v>
          </cell>
          <cell r="U323" t="str">
            <v xml:space="preserve">CALLE 26 SUR # 74 - 35 - techo   </v>
          </cell>
          <cell r="V323" t="str">
            <v>techo</v>
          </cell>
          <cell r="W323" t="str">
            <v>CERCANO</v>
          </cell>
          <cell r="X323">
            <v>3054619526</v>
          </cell>
          <cell r="Y323" t="str">
            <v>CENTRO</v>
          </cell>
          <cell r="Z323" t="str">
            <v>Techo</v>
          </cell>
          <cell r="AA323" t="str">
            <v>Bogota</v>
          </cell>
          <cell r="AB323" t="str">
            <v>San Jose</v>
          </cell>
          <cell r="AC323" t="str">
            <v>Cll. 10 # 18-75 piso 3</v>
          </cell>
          <cell r="AD323" t="str">
            <v>Tercer Turno</v>
          </cell>
          <cell r="AE323">
            <v>14550</v>
          </cell>
          <cell r="AF323">
            <v>20000</v>
          </cell>
          <cell r="AG323">
            <v>10</v>
          </cell>
          <cell r="AH323">
            <v>16</v>
          </cell>
          <cell r="AI323">
            <v>15000</v>
          </cell>
          <cell r="AJ323">
            <v>15000</v>
          </cell>
          <cell r="AK323">
            <v>5000</v>
          </cell>
          <cell r="AL323">
            <v>14550</v>
          </cell>
        </row>
        <row r="324">
          <cell r="T324" t="str">
            <v>JHOANNA BETANCOURTH</v>
          </cell>
          <cell r="U324" t="str">
            <v xml:space="preserve">CALLE 38 B # 90D 43 SUR       - fontibon  </v>
          </cell>
          <cell r="V324" t="str">
            <v>FONTIBON</v>
          </cell>
          <cell r="W324" t="str">
            <v>LEJANO</v>
          </cell>
          <cell r="X324">
            <v>3013906135</v>
          </cell>
          <cell r="Y324" t="str">
            <v>CENTRO</v>
          </cell>
          <cell r="Z324" t="str">
            <v>rosario fontibon</v>
          </cell>
          <cell r="AA324" t="str">
            <v>Bogota</v>
          </cell>
          <cell r="AB324" t="str">
            <v>San Jose</v>
          </cell>
          <cell r="AC324" t="str">
            <v>Cll. 10 # 18-75 piso 3</v>
          </cell>
          <cell r="AD324" t="str">
            <v>Tercer Turno</v>
          </cell>
          <cell r="AE324">
            <v>17460</v>
          </cell>
          <cell r="AF324">
            <v>20000</v>
          </cell>
          <cell r="AG324">
            <v>13</v>
          </cell>
          <cell r="AH324">
            <v>25</v>
          </cell>
          <cell r="AI324">
            <v>20000</v>
          </cell>
          <cell r="AJ324">
            <v>18000</v>
          </cell>
          <cell r="AK324">
            <v>2000</v>
          </cell>
          <cell r="AL324">
            <v>17460</v>
          </cell>
        </row>
        <row r="325">
          <cell r="T325" t="str">
            <v>DEICY HUERFANO</v>
          </cell>
          <cell r="U325" t="str">
            <v>DIAGONAL 51A # 11 - 15 SUR ESTE-santa rita sur oriente libertadores</v>
          </cell>
          <cell r="V325" t="str">
            <v>santa rita sur oriental libertadores</v>
          </cell>
          <cell r="W325" t="str">
            <v>LEJANO PERIFERIA DE BOGOTA SUR ORIENTE</v>
          </cell>
          <cell r="X325">
            <v>3144040532</v>
          </cell>
          <cell r="Y325" t="str">
            <v>CENTRO</v>
          </cell>
          <cell r="Z325" t="str">
            <v>santa rita sur oriental libertadores</v>
          </cell>
          <cell r="AA325" t="str">
            <v>Bogota</v>
          </cell>
          <cell r="AB325" t="str">
            <v>San Jose</v>
          </cell>
          <cell r="AC325" t="str">
            <v>Cll. 10 # 18-75 piso 3</v>
          </cell>
          <cell r="AD325" t="str">
            <v>Tercer Turno</v>
          </cell>
          <cell r="AE325">
            <v>17460</v>
          </cell>
          <cell r="AF325">
            <v>15000</v>
          </cell>
          <cell r="AG325">
            <v>10</v>
          </cell>
          <cell r="AH325">
            <v>20</v>
          </cell>
          <cell r="AI325">
            <v>20000</v>
          </cell>
          <cell r="AJ325">
            <v>18000</v>
          </cell>
          <cell r="AK325">
            <v>-3000</v>
          </cell>
          <cell r="AL325">
            <v>17460</v>
          </cell>
        </row>
        <row r="326">
          <cell r="T326" t="str">
            <v>CAROLINA CALDERON</v>
          </cell>
          <cell r="U326" t="str">
            <v>TRANSVERSAL  94D # 38-89  - QUIRIGUA</v>
          </cell>
          <cell r="V326" t="str">
            <v>quirigua</v>
          </cell>
          <cell r="W326" t="str">
            <v>LEJANO</v>
          </cell>
          <cell r="X326">
            <v>3212020933</v>
          </cell>
          <cell r="Y326" t="str">
            <v>CENTRO</v>
          </cell>
          <cell r="Z326" t="str">
            <v>Quirigua</v>
          </cell>
          <cell r="AA326" t="str">
            <v>Bogota</v>
          </cell>
          <cell r="AB326" t="str">
            <v>San Jose</v>
          </cell>
          <cell r="AC326" t="str">
            <v>Cll. 10 # 18-75 piso 3</v>
          </cell>
          <cell r="AD326" t="str">
            <v>Tercer Turno</v>
          </cell>
          <cell r="AE326">
            <v>17460</v>
          </cell>
          <cell r="AF326">
            <v>20000</v>
          </cell>
          <cell r="AG326">
            <v>16</v>
          </cell>
          <cell r="AH326">
            <v>30</v>
          </cell>
          <cell r="AI326">
            <v>20000</v>
          </cell>
          <cell r="AJ326">
            <v>18000</v>
          </cell>
          <cell r="AK326">
            <v>2000</v>
          </cell>
          <cell r="AL326">
            <v>17460</v>
          </cell>
        </row>
        <row r="327">
          <cell r="T327" t="str">
            <v>DIANA AMADO</v>
          </cell>
          <cell r="U327" t="str">
            <v>CARRERA 50 A # 22 - 26 SUR  - CIUDAD  MONTES PUENTE ARANDA</v>
          </cell>
          <cell r="V327" t="str">
            <v>ciudad montes</v>
          </cell>
          <cell r="W327" t="str">
            <v>CERCANO</v>
          </cell>
          <cell r="X327">
            <v>3505807676</v>
          </cell>
          <cell r="Y327" t="str">
            <v>CENTRO</v>
          </cell>
          <cell r="Z327" t="str">
            <v>ciudad montes</v>
          </cell>
          <cell r="AA327" t="str">
            <v>Bogota</v>
          </cell>
          <cell r="AB327" t="str">
            <v>San Jose</v>
          </cell>
          <cell r="AC327" t="str">
            <v>Cll. 10 # 18-75 piso 3</v>
          </cell>
          <cell r="AD327" t="str">
            <v>Tercer Turno</v>
          </cell>
          <cell r="AE327">
            <v>13095</v>
          </cell>
          <cell r="AF327">
            <v>20000</v>
          </cell>
          <cell r="AG327">
            <v>6</v>
          </cell>
          <cell r="AH327">
            <v>17</v>
          </cell>
          <cell r="AI327">
            <v>15000</v>
          </cell>
          <cell r="AJ327">
            <v>13500</v>
          </cell>
          <cell r="AK327">
            <v>6500</v>
          </cell>
          <cell r="AL327">
            <v>13095</v>
          </cell>
        </row>
        <row r="328">
          <cell r="T328" t="str">
            <v>HEIDY JOHANA AMAYA</v>
          </cell>
          <cell r="U328" t="str">
            <v>CARRERA 11 ESTE # 22 A 41 Soacha</v>
          </cell>
          <cell r="V328" t="str">
            <v>soacha</v>
          </cell>
          <cell r="W328" t="str">
            <v>INTERMUNICIAPAL</v>
          </cell>
          <cell r="X328">
            <v>3103180457</v>
          </cell>
          <cell r="Y328" t="str">
            <v>CENTRO</v>
          </cell>
          <cell r="Z328" t="str">
            <v>Sohacha-Ricairte</v>
          </cell>
          <cell r="AA328" t="str">
            <v>Bogota</v>
          </cell>
          <cell r="AB328" t="str">
            <v>San Jose</v>
          </cell>
          <cell r="AC328" t="str">
            <v>Cll. 10 # 18-75 piso 3</v>
          </cell>
          <cell r="AD328" t="str">
            <v>Tercer Turno</v>
          </cell>
          <cell r="AE328">
            <v>61110</v>
          </cell>
          <cell r="AF328">
            <v>20000</v>
          </cell>
          <cell r="AG328">
            <v>20</v>
          </cell>
          <cell r="AH328">
            <v>38</v>
          </cell>
          <cell r="AI328">
            <v>70000</v>
          </cell>
          <cell r="AJ328">
            <v>63000</v>
          </cell>
          <cell r="AK328">
            <v>-43000</v>
          </cell>
          <cell r="AL328">
            <v>61110</v>
          </cell>
        </row>
        <row r="329">
          <cell r="T329" t="str">
            <v>CINDY CONDE</v>
          </cell>
          <cell r="U329" t="str">
            <v xml:space="preserve">CALLE 57 R SUR # 63 - 45                      </v>
          </cell>
          <cell r="V329" t="str">
            <v>Portal de madelena</v>
          </cell>
          <cell r="W329" t="str">
            <v>LEJANO AUTOPISTA SUR</v>
          </cell>
          <cell r="X329">
            <v>3133148475</v>
          </cell>
          <cell r="Y329" t="str">
            <v>CENTRO</v>
          </cell>
          <cell r="Z329" t="str">
            <v>Portal de madelena</v>
          </cell>
          <cell r="AA329" t="str">
            <v>Bogota</v>
          </cell>
          <cell r="AB329" t="str">
            <v>San Jose</v>
          </cell>
          <cell r="AC329" t="str">
            <v>Cll. 10 # 18-75 piso 3</v>
          </cell>
          <cell r="AD329" t="str">
            <v>Tercer Turno</v>
          </cell>
          <cell r="AE329">
            <v>17460</v>
          </cell>
          <cell r="AF329">
            <v>20000</v>
          </cell>
          <cell r="AG329">
            <v>14</v>
          </cell>
          <cell r="AH329">
            <v>27</v>
          </cell>
          <cell r="AI329">
            <v>20000</v>
          </cell>
          <cell r="AJ329">
            <v>18000</v>
          </cell>
          <cell r="AK329">
            <v>2000</v>
          </cell>
          <cell r="AL329">
            <v>17460</v>
          </cell>
        </row>
        <row r="330">
          <cell r="T330" t="str">
            <v>KATHERINE PRADILLA</v>
          </cell>
          <cell r="U330" t="str">
            <v xml:space="preserve">CARRERA 77 # 19-87 -la felicidad          </v>
          </cell>
          <cell r="V330" t="str">
            <v>la felicidad</v>
          </cell>
          <cell r="W330" t="str">
            <v>LEJANO</v>
          </cell>
          <cell r="X330">
            <v>3133238477</v>
          </cell>
          <cell r="Y330" t="str">
            <v>CENTRO</v>
          </cell>
          <cell r="Z330" t="str">
            <v>la felicidad</v>
          </cell>
          <cell r="AA330" t="str">
            <v>Bogota</v>
          </cell>
          <cell r="AB330" t="str">
            <v>San Jose</v>
          </cell>
          <cell r="AC330" t="str">
            <v>Cll. 10 # 18-75 piso 3</v>
          </cell>
          <cell r="AD330" t="str">
            <v>Tercer Turno</v>
          </cell>
          <cell r="AE330">
            <v>17460</v>
          </cell>
          <cell r="AF330">
            <v>20000</v>
          </cell>
          <cell r="AG330">
            <v>13</v>
          </cell>
          <cell r="AH330">
            <v>25</v>
          </cell>
          <cell r="AI330">
            <v>20000</v>
          </cell>
          <cell r="AJ330">
            <v>18000</v>
          </cell>
          <cell r="AK330">
            <v>2000</v>
          </cell>
          <cell r="AL330">
            <v>17460</v>
          </cell>
        </row>
        <row r="331">
          <cell r="T331" t="str">
            <v>angie milena morales</v>
          </cell>
          <cell r="U331" t="str">
            <v>CALLE 42 N. 87H-03 patio bonito</v>
          </cell>
          <cell r="V331" t="str">
            <v>Patio Bonito</v>
          </cell>
          <cell r="W331" t="str">
            <v>LEJANO</v>
          </cell>
          <cell r="X331">
            <v>3164858091</v>
          </cell>
          <cell r="Y331" t="str">
            <v>CENTRO</v>
          </cell>
          <cell r="Z331" t="str">
            <v>Patio Bonito</v>
          </cell>
          <cell r="AA331" t="str">
            <v>Bogota</v>
          </cell>
          <cell r="AB331" t="str">
            <v>San Jose</v>
          </cell>
          <cell r="AC331" t="str">
            <v>Cll. 10 # 18-75 piso 3</v>
          </cell>
          <cell r="AD331" t="str">
            <v>Tercer Turno</v>
          </cell>
          <cell r="AE331">
            <v>17460</v>
          </cell>
          <cell r="AF331">
            <v>20000</v>
          </cell>
          <cell r="AG331">
            <v>14</v>
          </cell>
          <cell r="AH331">
            <v>27</v>
          </cell>
          <cell r="AI331">
            <v>20000</v>
          </cell>
          <cell r="AJ331">
            <v>18000</v>
          </cell>
          <cell r="AK331">
            <v>2000</v>
          </cell>
          <cell r="AL331">
            <v>17460</v>
          </cell>
        </row>
        <row r="332">
          <cell r="T332" t="str">
            <v>ROSAURA PATRON</v>
          </cell>
          <cell r="U332" t="str">
            <v>carrera 77 este Nro. 107-20 sur puerta llano</v>
          </cell>
          <cell r="V332" t="str">
            <v>Puerta del Sol</v>
          </cell>
          <cell r="W332" t="str">
            <v>LEJANO PERIFERIA AL SUR ORIENTE</v>
          </cell>
          <cell r="X332">
            <v>3108019852</v>
          </cell>
          <cell r="Y332" t="str">
            <v>CENTRO</v>
          </cell>
          <cell r="Z332" t="str">
            <v>sur puerta llano</v>
          </cell>
          <cell r="AA332" t="str">
            <v>Bogota</v>
          </cell>
          <cell r="AB332" t="str">
            <v>San Jose</v>
          </cell>
          <cell r="AC332" t="str">
            <v>Cll. 10 # 18-75 piso 3</v>
          </cell>
          <cell r="AD332" t="str">
            <v>Tercer Turno</v>
          </cell>
          <cell r="AE332">
            <v>17460</v>
          </cell>
          <cell r="AF332">
            <v>20000</v>
          </cell>
          <cell r="AG332">
            <v>13</v>
          </cell>
          <cell r="AH332">
            <v>25</v>
          </cell>
          <cell r="AI332">
            <v>20000</v>
          </cell>
          <cell r="AJ332">
            <v>18000</v>
          </cell>
          <cell r="AK332">
            <v>2000</v>
          </cell>
          <cell r="AL332">
            <v>17460</v>
          </cell>
        </row>
        <row r="333">
          <cell r="T333" t="str">
            <v>CARMEN M CONTRERAS</v>
          </cell>
          <cell r="U333" t="str">
            <v>DG 73B SUR # 27J PARAISO</v>
          </cell>
          <cell r="V333" t="str">
            <v>paraiso</v>
          </cell>
          <cell r="W333" t="str">
            <v>LEJANO PERIFERIA DE BOGOTA SUR OCCIDENTE</v>
          </cell>
          <cell r="X333">
            <v>3003021919</v>
          </cell>
          <cell r="Y333" t="str">
            <v>CENTRO</v>
          </cell>
          <cell r="Z333" t="str">
            <v>PARAISO</v>
          </cell>
          <cell r="AA333" t="str">
            <v>Bogota</v>
          </cell>
          <cell r="AB333" t="str">
            <v>San Jose</v>
          </cell>
          <cell r="AC333" t="str">
            <v>Cll. 10 # 18-75 piso 3</v>
          </cell>
          <cell r="AD333" t="str">
            <v>Tercer Turno</v>
          </cell>
          <cell r="AE333">
            <v>26190</v>
          </cell>
          <cell r="AF333">
            <v>9000</v>
          </cell>
          <cell r="AG333">
            <v>20</v>
          </cell>
          <cell r="AH333">
            <v>38</v>
          </cell>
          <cell r="AI333">
            <v>30000</v>
          </cell>
          <cell r="AJ333">
            <v>27000</v>
          </cell>
          <cell r="AK333">
            <v>-18000</v>
          </cell>
          <cell r="AL333">
            <v>26190</v>
          </cell>
        </row>
        <row r="334">
          <cell r="T334" t="str">
            <v>ASTRID SOSA</v>
          </cell>
          <cell r="U334" t="str">
            <v>CARRERA 73H # 62 D - 12 SUR-Galicia</v>
          </cell>
          <cell r="V334" t="str">
            <v>galicia</v>
          </cell>
          <cell r="W334" t="str">
            <v>LEJANO</v>
          </cell>
          <cell r="X334">
            <v>3108846144</v>
          </cell>
          <cell r="Y334" t="str">
            <v>CENTRO</v>
          </cell>
          <cell r="Z334" t="str">
            <v>galicia</v>
          </cell>
          <cell r="AA334" t="str">
            <v>Bogota</v>
          </cell>
          <cell r="AB334" t="str">
            <v>San Jose</v>
          </cell>
          <cell r="AC334" t="str">
            <v>Cll. 10 # 18-75 piso 3</v>
          </cell>
          <cell r="AD334" t="str">
            <v>Tercer Turno</v>
          </cell>
          <cell r="AE334">
            <v>17460</v>
          </cell>
          <cell r="AF334">
            <v>15000</v>
          </cell>
          <cell r="AG334">
            <v>12</v>
          </cell>
          <cell r="AH334">
            <v>25</v>
          </cell>
          <cell r="AI334">
            <v>20000</v>
          </cell>
          <cell r="AJ334">
            <v>18000</v>
          </cell>
          <cell r="AK334">
            <v>-3000</v>
          </cell>
          <cell r="AL334">
            <v>17460</v>
          </cell>
        </row>
        <row r="335">
          <cell r="T335" t="str">
            <v>ELVER PINZON BARAJAS</v>
          </cell>
          <cell r="U335" t="str">
            <v>Cra 4p N° 53-37 Sur DANUBIO AZUL</v>
          </cell>
          <cell r="V335" t="str">
            <v>DANUBIO AZUL</v>
          </cell>
          <cell r="W335" t="str">
            <v>LEJANO PERIFERIA AL SUR ORIENTE</v>
          </cell>
          <cell r="X335">
            <v>3218295455</v>
          </cell>
          <cell r="Y335" t="str">
            <v>CENTRO</v>
          </cell>
          <cell r="Z335" t="str">
            <v>DANUBIO AZUL</v>
          </cell>
          <cell r="AA335" t="str">
            <v>Bogota</v>
          </cell>
          <cell r="AB335" t="str">
            <v>San Jose</v>
          </cell>
          <cell r="AC335" t="str">
            <v>Cll. 10 # 18-75 piso 3</v>
          </cell>
          <cell r="AD335" t="str">
            <v>Tercer Turno</v>
          </cell>
          <cell r="AE335">
            <v>17460</v>
          </cell>
          <cell r="AF335">
            <v>20000</v>
          </cell>
          <cell r="AG335">
            <v>13</v>
          </cell>
          <cell r="AH335">
            <v>25</v>
          </cell>
          <cell r="AI335">
            <v>20000</v>
          </cell>
          <cell r="AJ335">
            <v>18000</v>
          </cell>
          <cell r="AK335">
            <v>2000</v>
          </cell>
          <cell r="AL335">
            <v>17460</v>
          </cell>
        </row>
        <row r="336">
          <cell r="T336" t="str">
            <v>BERNAL CASTRILLO MARIA JOSE</v>
          </cell>
          <cell r="U336" t="str">
            <v xml:space="preserve">calle 37 #16-115 </v>
          </cell>
          <cell r="V336" t="str">
            <v xml:space="preserve">Comuna 1 </v>
          </cell>
          <cell r="W336" t="str">
            <v>CERCANO</v>
          </cell>
          <cell r="X336">
            <v>3002770075</v>
          </cell>
          <cell r="Y336" t="str">
            <v>NORTE</v>
          </cell>
          <cell r="Z336"/>
          <cell r="AA336" t="str">
            <v>Santa Marta</v>
          </cell>
          <cell r="AB336" t="str">
            <v>Santa Marta</v>
          </cell>
          <cell r="AC336" t="str">
            <v>Cra.  19 # 11C - 66</v>
          </cell>
          <cell r="AD336" t="str">
            <v>Cuarto Turno</v>
          </cell>
          <cell r="AE336">
            <v>13095</v>
          </cell>
          <cell r="AF336">
            <v>9000</v>
          </cell>
          <cell r="AG336">
            <v>4</v>
          </cell>
          <cell r="AH336">
            <v>12</v>
          </cell>
          <cell r="AI336">
            <v>15000</v>
          </cell>
          <cell r="AJ336">
            <v>13500</v>
          </cell>
          <cell r="AK336">
            <v>-4500</v>
          </cell>
          <cell r="AL336">
            <v>13095</v>
          </cell>
        </row>
        <row r="337">
          <cell r="T337" t="str">
            <v>PEREZ FEDRICH ADRIANY PAOLA</v>
          </cell>
          <cell r="U337" t="str">
            <v>Mz C casa 5 Arra de la Sierra ultima entreda 20 de octubre</v>
          </cell>
          <cell r="V337" t="str">
            <v xml:space="preserve">Ara de la sierra </v>
          </cell>
          <cell r="W337" t="str">
            <v>CERCANO</v>
          </cell>
          <cell r="X337">
            <v>3007587564</v>
          </cell>
          <cell r="Y337" t="str">
            <v>NORTE</v>
          </cell>
          <cell r="Z337"/>
          <cell r="AA337" t="str">
            <v>Santa Marta</v>
          </cell>
          <cell r="AB337" t="str">
            <v>Santa Marta</v>
          </cell>
          <cell r="AC337" t="str">
            <v>Cra.  19 # 11C - 66</v>
          </cell>
          <cell r="AD337" t="str">
            <v>Cuarto Turno</v>
          </cell>
          <cell r="AE337">
            <v>13095</v>
          </cell>
          <cell r="AF337">
            <v>9000</v>
          </cell>
          <cell r="AG337">
            <v>7</v>
          </cell>
          <cell r="AH337">
            <v>17</v>
          </cell>
          <cell r="AI337">
            <v>15000</v>
          </cell>
          <cell r="AJ337">
            <v>13500</v>
          </cell>
          <cell r="AK337">
            <v>-4500</v>
          </cell>
          <cell r="AL337">
            <v>13095</v>
          </cell>
        </row>
        <row r="338">
          <cell r="T338" t="str">
            <v>CASTRO LAMPRO LIZA MARIA</v>
          </cell>
          <cell r="U338" t="str">
            <v>Calle 46 #64-48 Parque Bolivar 2</v>
          </cell>
          <cell r="V338" t="str">
            <v xml:space="preserve">Parque Bolivar </v>
          </cell>
          <cell r="W338" t="str">
            <v>CERCANO</v>
          </cell>
          <cell r="X338">
            <v>3177659477</v>
          </cell>
          <cell r="Y338" t="str">
            <v>NORTE</v>
          </cell>
          <cell r="Z338"/>
          <cell r="AA338" t="str">
            <v>Santa Marta</v>
          </cell>
          <cell r="AB338" t="str">
            <v>Santa Marta</v>
          </cell>
          <cell r="AC338" t="str">
            <v>Cra.  19 # 11C - 66</v>
          </cell>
          <cell r="AD338" t="str">
            <v>Cuarto Turno</v>
          </cell>
          <cell r="AE338">
            <v>13095</v>
          </cell>
          <cell r="AF338">
            <v>9000</v>
          </cell>
          <cell r="AG338">
            <v>8</v>
          </cell>
          <cell r="AH338">
            <v>20</v>
          </cell>
          <cell r="AI338">
            <v>15000</v>
          </cell>
          <cell r="AJ338">
            <v>13500</v>
          </cell>
          <cell r="AK338">
            <v>-4500</v>
          </cell>
          <cell r="AL338">
            <v>13095</v>
          </cell>
        </row>
        <row r="339">
          <cell r="T339" t="str">
            <v xml:space="preserve">HYLDA MORENO </v>
          </cell>
          <cell r="U339" t="str">
            <v xml:space="preserve">AVERIGUAR CON EL CONDUCTOR </v>
          </cell>
          <cell r="V339">
            <v>0</v>
          </cell>
          <cell r="W339" t="str">
            <v>CERCANO</v>
          </cell>
          <cell r="X339" t="str">
            <v xml:space="preserve">AVERIGUAR CON EL CONDUCTOR </v>
          </cell>
          <cell r="Y339" t="str">
            <v>NORTE</v>
          </cell>
          <cell r="Z339"/>
          <cell r="AA339" t="str">
            <v>Santa Marta</v>
          </cell>
          <cell r="AB339" t="str">
            <v>Santa Marta</v>
          </cell>
          <cell r="AC339" t="str">
            <v>Cra.  19 # 11C - 66</v>
          </cell>
          <cell r="AD339" t="str">
            <v>Cuarto Turno</v>
          </cell>
          <cell r="AE339">
            <v>13095</v>
          </cell>
          <cell r="AF339">
            <v>9000</v>
          </cell>
          <cell r="AG339">
            <v>3</v>
          </cell>
          <cell r="AH339">
            <v>7</v>
          </cell>
          <cell r="AI339">
            <v>15000</v>
          </cell>
          <cell r="AJ339">
            <v>13500</v>
          </cell>
          <cell r="AK339">
            <v>-4500</v>
          </cell>
          <cell r="AL339">
            <v>13095</v>
          </cell>
        </row>
        <row r="340">
          <cell r="T340" t="str">
            <v>CABARCAS BARRIOS PETRONA MARIA</v>
          </cell>
          <cell r="U340" t="str">
            <v>Cra 41 A #23-53 Santa Fé</v>
          </cell>
          <cell r="V340" t="str">
            <v xml:space="preserve">Santa fe </v>
          </cell>
          <cell r="W340" t="str">
            <v>CERCANO</v>
          </cell>
          <cell r="X340">
            <v>3046104011</v>
          </cell>
          <cell r="Y340" t="str">
            <v>NORTE</v>
          </cell>
          <cell r="Z340"/>
          <cell r="AA340" t="str">
            <v>Santa Marta</v>
          </cell>
          <cell r="AB340" t="str">
            <v>Santa Marta</v>
          </cell>
          <cell r="AC340" t="str">
            <v>Cra.  19 # 11C - 66</v>
          </cell>
          <cell r="AD340" t="str">
            <v>Cuarto Turno</v>
          </cell>
          <cell r="AE340">
            <v>13095</v>
          </cell>
          <cell r="AF340">
            <v>9000</v>
          </cell>
          <cell r="AG340">
            <v>5</v>
          </cell>
          <cell r="AH340">
            <v>16</v>
          </cell>
          <cell r="AI340">
            <v>15000</v>
          </cell>
          <cell r="AJ340">
            <v>13500</v>
          </cell>
          <cell r="AK340">
            <v>-4500</v>
          </cell>
          <cell r="AL340">
            <v>13095</v>
          </cell>
        </row>
        <row r="341">
          <cell r="T341" t="str">
            <v>CESAR PEÑA ARIZA</v>
          </cell>
          <cell r="U341" t="str">
            <v>Cra 20A No 8 a-24</v>
          </cell>
          <cell r="V341" t="str">
            <v>Comuna 4</v>
          </cell>
          <cell r="W341" t="str">
            <v>CERCANO</v>
          </cell>
          <cell r="X341">
            <v>3155872116</v>
          </cell>
          <cell r="Y341" t="str">
            <v>NORTE</v>
          </cell>
          <cell r="Z341"/>
          <cell r="AA341" t="str">
            <v>Santa Marta</v>
          </cell>
          <cell r="AB341" t="str">
            <v>Santa Marta</v>
          </cell>
          <cell r="AC341" t="str">
            <v>Cra.  19 # 11C - 66</v>
          </cell>
          <cell r="AD341" t="str">
            <v>Cuarto Turno</v>
          </cell>
          <cell r="AE341">
            <v>13095</v>
          </cell>
          <cell r="AF341">
            <v>9000</v>
          </cell>
          <cell r="AG341">
            <v>1</v>
          </cell>
          <cell r="AH341">
            <v>4</v>
          </cell>
          <cell r="AI341">
            <v>15000</v>
          </cell>
          <cell r="AJ341">
            <v>13500</v>
          </cell>
          <cell r="AK341">
            <v>-4500</v>
          </cell>
          <cell r="AL341">
            <v>13095</v>
          </cell>
        </row>
        <row r="342">
          <cell r="T342" t="str">
            <v>ROMERO CRESPO YEIMIS MILENA</v>
          </cell>
          <cell r="U342" t="str">
            <v>Cra 28 F #24 C-51 San Pedro Alejandrino</v>
          </cell>
          <cell r="V342" t="str">
            <v xml:space="preserve">San Pedro Alejandrino </v>
          </cell>
          <cell r="W342" t="str">
            <v>CERCANO</v>
          </cell>
          <cell r="X342">
            <v>3145664723</v>
          </cell>
          <cell r="Y342" t="str">
            <v>NORTE</v>
          </cell>
          <cell r="Z342"/>
          <cell r="AA342" t="str">
            <v>Santa Marta</v>
          </cell>
          <cell r="AB342" t="str">
            <v>Santa Marta</v>
          </cell>
          <cell r="AC342" t="str">
            <v>Cra.  19 # 11C - 66</v>
          </cell>
          <cell r="AD342" t="str">
            <v>Primer Turno</v>
          </cell>
          <cell r="AE342">
            <v>13095</v>
          </cell>
          <cell r="AF342">
            <v>9000</v>
          </cell>
          <cell r="AG342">
            <v>2</v>
          </cell>
          <cell r="AH342">
            <v>8</v>
          </cell>
          <cell r="AI342">
            <v>15000</v>
          </cell>
          <cell r="AJ342">
            <v>13500</v>
          </cell>
          <cell r="AK342">
            <v>-4500</v>
          </cell>
          <cell r="AL342">
            <v>13095</v>
          </cell>
        </row>
        <row r="343">
          <cell r="T343" t="str">
            <v>PINTO FRAGOSO DAMELYS KARIME</v>
          </cell>
          <cell r="U343" t="str">
            <v xml:space="preserve">Mz N casa 7 nuevo milenio </v>
          </cell>
          <cell r="V343" t="str">
            <v xml:space="preserve">Nuevo Milenio </v>
          </cell>
          <cell r="W343" t="str">
            <v>CERCANO</v>
          </cell>
          <cell r="X343">
            <v>3173753418</v>
          </cell>
          <cell r="Y343" t="str">
            <v>NORTE</v>
          </cell>
          <cell r="Z343"/>
          <cell r="AA343" t="str">
            <v>Santa Marta</v>
          </cell>
          <cell r="AB343" t="str">
            <v>Santa Marta</v>
          </cell>
          <cell r="AC343" t="str">
            <v>Cra.  19 # 11C - 66</v>
          </cell>
          <cell r="AD343" t="str">
            <v>Primer Turno</v>
          </cell>
          <cell r="AE343">
            <v>13095</v>
          </cell>
          <cell r="AF343">
            <v>9000</v>
          </cell>
          <cell r="AG343">
            <v>3</v>
          </cell>
          <cell r="AH343">
            <v>10</v>
          </cell>
          <cell r="AI343">
            <v>15000</v>
          </cell>
          <cell r="AJ343">
            <v>13500</v>
          </cell>
          <cell r="AK343">
            <v>-4500</v>
          </cell>
          <cell r="AL343">
            <v>13095</v>
          </cell>
        </row>
        <row r="344">
          <cell r="T344" t="str">
            <v>DIANA MORELOS</v>
          </cell>
          <cell r="U344" t="str">
            <v>CALLE 21 #18-37</v>
          </cell>
          <cell r="V344" t="str">
            <v xml:space="preserve">Alcazares </v>
          </cell>
          <cell r="W344" t="str">
            <v>CERCANO</v>
          </cell>
          <cell r="X344">
            <v>3015733767</v>
          </cell>
          <cell r="Y344" t="str">
            <v>NORTE</v>
          </cell>
          <cell r="Z344"/>
          <cell r="AA344" t="str">
            <v>Santa Marta</v>
          </cell>
          <cell r="AB344" t="str">
            <v>Santa Marta</v>
          </cell>
          <cell r="AC344" t="str">
            <v>Cra.  19 # 11C - 66</v>
          </cell>
          <cell r="AD344" t="str">
            <v>Primer Turno</v>
          </cell>
          <cell r="AE344">
            <v>13095</v>
          </cell>
          <cell r="AF344">
            <v>9000</v>
          </cell>
          <cell r="AG344">
            <v>1</v>
          </cell>
          <cell r="AH344">
            <v>3</v>
          </cell>
          <cell r="AI344">
            <v>15000</v>
          </cell>
          <cell r="AJ344">
            <v>13500</v>
          </cell>
          <cell r="AK344">
            <v>-4500</v>
          </cell>
          <cell r="AL344">
            <v>13095</v>
          </cell>
        </row>
        <row r="345">
          <cell r="T345" t="str">
            <v>MARTINEZ GAMEZ LILIANA PATRICIA</v>
          </cell>
          <cell r="U345" t="str">
            <v xml:space="preserve">MZ N casa 10 Nuevo milenio </v>
          </cell>
          <cell r="V345" t="str">
            <v xml:space="preserve">Nuevo Milenio </v>
          </cell>
          <cell r="W345" t="str">
            <v>CERCANO</v>
          </cell>
          <cell r="X345">
            <v>3168370023</v>
          </cell>
          <cell r="Y345" t="str">
            <v>NORTE</v>
          </cell>
          <cell r="Z345"/>
          <cell r="AA345" t="str">
            <v>Santa Marta</v>
          </cell>
          <cell r="AB345" t="str">
            <v>Santa Marta</v>
          </cell>
          <cell r="AC345" t="str">
            <v>Cra.  19 # 11C - 66</v>
          </cell>
          <cell r="AD345" t="str">
            <v>Tercer Turno</v>
          </cell>
          <cell r="AE345">
            <v>13095</v>
          </cell>
          <cell r="AF345">
            <v>9000</v>
          </cell>
          <cell r="AG345">
            <v>3</v>
          </cell>
          <cell r="AH345">
            <v>10</v>
          </cell>
          <cell r="AI345">
            <v>15000</v>
          </cell>
          <cell r="AJ345">
            <v>13500</v>
          </cell>
          <cell r="AK345">
            <v>-4500</v>
          </cell>
          <cell r="AL345">
            <v>13095</v>
          </cell>
        </row>
        <row r="346">
          <cell r="T346" t="str">
            <v>STEER PERTUZ GRACE LIZ</v>
          </cell>
          <cell r="U346" t="str">
            <v>cra 16 No 8-39</v>
          </cell>
          <cell r="V346" t="str">
            <v xml:space="preserve">Almendros </v>
          </cell>
          <cell r="W346" t="str">
            <v>CERCANO</v>
          </cell>
          <cell r="X346">
            <v>3176362573</v>
          </cell>
          <cell r="Y346" t="str">
            <v>NORTE</v>
          </cell>
          <cell r="Z346"/>
          <cell r="AA346" t="str">
            <v>Santa Marta</v>
          </cell>
          <cell r="AB346" t="str">
            <v>Santa Marta</v>
          </cell>
          <cell r="AC346" t="str">
            <v>Cra.  19 # 11C - 66</v>
          </cell>
          <cell r="AD346" t="str">
            <v>Tercer Turno</v>
          </cell>
          <cell r="AE346">
            <v>13095</v>
          </cell>
          <cell r="AF346">
            <v>9000</v>
          </cell>
          <cell r="AG346">
            <v>1</v>
          </cell>
          <cell r="AH346">
            <v>4</v>
          </cell>
          <cell r="AI346">
            <v>15000</v>
          </cell>
          <cell r="AJ346">
            <v>13500</v>
          </cell>
          <cell r="AK346">
            <v>-4500</v>
          </cell>
          <cell r="AL346">
            <v>13095</v>
          </cell>
        </row>
        <row r="347">
          <cell r="T347" t="str">
            <v>ISEDA PEÑA LIZETH CAROLINA</v>
          </cell>
          <cell r="U347" t="str">
            <v xml:space="preserve">Parque Bolivar 1 </v>
          </cell>
          <cell r="V347" t="str">
            <v xml:space="preserve">Parque Bolivar </v>
          </cell>
          <cell r="W347" t="str">
            <v>CERCANO</v>
          </cell>
          <cell r="X347">
            <v>3007895153</v>
          </cell>
          <cell r="Y347" t="str">
            <v>NORTE</v>
          </cell>
          <cell r="Z347"/>
          <cell r="AA347" t="str">
            <v>Santa Marta</v>
          </cell>
          <cell r="AB347" t="str">
            <v>Santa Marta</v>
          </cell>
          <cell r="AC347" t="str">
            <v>Cra.  19 # 11C - 66</v>
          </cell>
          <cell r="AD347" t="str">
            <v>Tercer Turno</v>
          </cell>
          <cell r="AE347">
            <v>13095</v>
          </cell>
          <cell r="AF347">
            <v>9000</v>
          </cell>
          <cell r="AG347">
            <v>8</v>
          </cell>
          <cell r="AH347">
            <v>20</v>
          </cell>
          <cell r="AI347">
            <v>15000</v>
          </cell>
          <cell r="AJ347">
            <v>13500</v>
          </cell>
          <cell r="AK347">
            <v>-4500</v>
          </cell>
          <cell r="AL347">
            <v>13095</v>
          </cell>
        </row>
        <row r="348">
          <cell r="T348" t="str">
            <v>VALERIA CORTES</v>
          </cell>
          <cell r="U348" t="str">
            <v>CALLE 26 D #34-46</v>
          </cell>
          <cell r="V348" t="str">
            <v xml:space="preserve">Mamatoco </v>
          </cell>
          <cell r="W348" t="str">
            <v>CERCANO</v>
          </cell>
          <cell r="X348">
            <v>3204335347</v>
          </cell>
          <cell r="Y348" t="str">
            <v>NORTE</v>
          </cell>
          <cell r="Z348"/>
          <cell r="AA348" t="str">
            <v>Santa Marta</v>
          </cell>
          <cell r="AB348" t="str">
            <v>Santa Marta</v>
          </cell>
          <cell r="AC348" t="str">
            <v>Cra.  19 # 11C - 66</v>
          </cell>
          <cell r="AD348" t="str">
            <v>Tercer Turno</v>
          </cell>
          <cell r="AE348">
            <v>13095</v>
          </cell>
          <cell r="AF348">
            <v>9000</v>
          </cell>
          <cell r="AG348">
            <v>4</v>
          </cell>
          <cell r="AH348">
            <v>11</v>
          </cell>
          <cell r="AI348">
            <v>15000</v>
          </cell>
          <cell r="AJ348">
            <v>13500</v>
          </cell>
          <cell r="AK348">
            <v>-4500</v>
          </cell>
          <cell r="AL348">
            <v>13095</v>
          </cell>
        </row>
        <row r="349">
          <cell r="T349" t="str">
            <v>MARITZA RUIZ CARMONA</v>
          </cell>
          <cell r="U349" t="str">
            <v>CALLE 12 A 4 A 33 VILLA ORIETA</v>
          </cell>
          <cell r="V349" t="str">
            <v>Villa Orieta</v>
          </cell>
          <cell r="W349" t="str">
            <v>CERCANO</v>
          </cell>
          <cell r="X349" t="e">
            <v>#REF!</v>
          </cell>
          <cell r="Y349" t="str">
            <v>NORTE</v>
          </cell>
          <cell r="Z349"/>
          <cell r="AA349" t="str">
            <v xml:space="preserve">Sincelejo </v>
          </cell>
          <cell r="AB349" t="str">
            <v>Sincelejo</v>
          </cell>
          <cell r="AC349" t="str">
            <v>Cra. 19 # 27-07</v>
          </cell>
          <cell r="AD349" t="str">
            <v>Primer Turno</v>
          </cell>
          <cell r="AE349">
            <v>13095</v>
          </cell>
          <cell r="AF349">
            <v>9000</v>
          </cell>
          <cell r="AG349">
            <v>3</v>
          </cell>
          <cell r="AH349">
            <v>8</v>
          </cell>
          <cell r="AI349">
            <v>15000</v>
          </cell>
          <cell r="AJ349">
            <v>13500</v>
          </cell>
          <cell r="AK349">
            <v>-4500</v>
          </cell>
          <cell r="AL349">
            <v>13095</v>
          </cell>
        </row>
        <row r="350">
          <cell r="T350" t="str">
            <v xml:space="preserve">MARTHA MONTERROZA </v>
          </cell>
          <cell r="U350" t="str">
            <v xml:space="preserve">CALLE 32 A # 13 84 SAN VICENTE </v>
          </cell>
          <cell r="V350" t="str">
            <v>San Vicente</v>
          </cell>
          <cell r="W350" t="str">
            <v>CERCANO</v>
          </cell>
          <cell r="X350" t="e">
            <v>#REF!</v>
          </cell>
          <cell r="Y350" t="str">
            <v>NORTE</v>
          </cell>
          <cell r="Z350"/>
          <cell r="AA350" t="str">
            <v xml:space="preserve">Sincelejo </v>
          </cell>
          <cell r="AB350" t="str">
            <v>Sincelejo</v>
          </cell>
          <cell r="AC350" t="str">
            <v>Cra. 19 # 27-07</v>
          </cell>
          <cell r="AD350" t="str">
            <v>Tercer Turno</v>
          </cell>
          <cell r="AE350">
            <v>13095</v>
          </cell>
          <cell r="AF350">
            <v>9000</v>
          </cell>
          <cell r="AG350">
            <v>2</v>
          </cell>
          <cell r="AH350">
            <v>6</v>
          </cell>
          <cell r="AI350">
            <v>15000</v>
          </cell>
          <cell r="AJ350">
            <v>13500</v>
          </cell>
          <cell r="AK350">
            <v>-4500</v>
          </cell>
          <cell r="AL350">
            <v>13095</v>
          </cell>
        </row>
        <row r="351">
          <cell r="T351" t="str">
            <v>MONICA COSSIO</v>
          </cell>
          <cell r="U351" t="str">
            <v>(perimetro lejano)</v>
          </cell>
          <cell r="V351">
            <v>0</v>
          </cell>
          <cell r="W351" t="str">
            <v>CERCANO</v>
          </cell>
          <cell r="X351">
            <v>3163928254</v>
          </cell>
          <cell r="Y351" t="str">
            <v>SUROCCIDENTE</v>
          </cell>
          <cell r="Z351"/>
          <cell r="AA351" t="str">
            <v>Tulua</v>
          </cell>
          <cell r="AB351" t="str">
            <v>Tulua</v>
          </cell>
          <cell r="AC351" t="str">
            <v>Cra. 34 # 26 - 40</v>
          </cell>
          <cell r="AD351" t="str">
            <v>Primer Turno</v>
          </cell>
          <cell r="AE351">
            <v>10670</v>
          </cell>
          <cell r="AF351">
            <v>9000</v>
          </cell>
          <cell r="AG351">
            <v>0</v>
          </cell>
          <cell r="AH351">
            <v>0</v>
          </cell>
          <cell r="AI351">
            <v>11000</v>
          </cell>
          <cell r="AJ351">
            <v>11000</v>
          </cell>
          <cell r="AK351">
            <v>-2000</v>
          </cell>
          <cell r="AL351">
            <v>10670</v>
          </cell>
        </row>
        <row r="352">
          <cell r="T352" t="str">
            <v>ROBERTO FLOREZ LIDA MARIA</v>
          </cell>
          <cell r="U352" t="str">
            <v>KRA 2A No.6-51</v>
          </cell>
          <cell r="V352" t="str">
            <v>Sol De Oriente</v>
          </cell>
          <cell r="W352" t="str">
            <v>CERCANO</v>
          </cell>
          <cell r="X352">
            <v>3115040315</v>
          </cell>
          <cell r="Y352" t="str">
            <v>CENTRO</v>
          </cell>
          <cell r="Z352"/>
          <cell r="AA352" t="str">
            <v>Tunja</v>
          </cell>
          <cell r="AB352" t="str">
            <v>Tunja</v>
          </cell>
          <cell r="AC352" t="str">
            <v>Carrera 1B N 46A 18 Urb. Manolete</v>
          </cell>
          <cell r="AD352" t="str">
            <v>Primer Turno</v>
          </cell>
          <cell r="AE352">
            <v>13095</v>
          </cell>
          <cell r="AF352">
            <v>9000</v>
          </cell>
          <cell r="AG352" t="str">
            <v>5.9 km</v>
          </cell>
          <cell r="AH352" t="str">
            <v>11 min</v>
          </cell>
          <cell r="AI352">
            <v>15000</v>
          </cell>
          <cell r="AJ352">
            <v>13500</v>
          </cell>
          <cell r="AK352">
            <v>-4500</v>
          </cell>
          <cell r="AL352">
            <v>13095</v>
          </cell>
        </row>
        <row r="353">
          <cell r="T353" t="str">
            <v xml:space="preserve">BUITRAGO MENDOZA LUISA FERNANDA </v>
          </cell>
          <cell r="U353" t="str">
            <v>CALLE 32 No.5-32</v>
          </cell>
          <cell r="V353" t="str">
            <v>Av Olimpica</v>
          </cell>
          <cell r="W353" t="str">
            <v>CERCANO</v>
          </cell>
          <cell r="X353">
            <v>3103379449</v>
          </cell>
          <cell r="Y353" t="str">
            <v>CENTRO</v>
          </cell>
          <cell r="Z353"/>
          <cell r="AA353" t="str">
            <v>Tunja</v>
          </cell>
          <cell r="AB353" t="str">
            <v>Tunja</v>
          </cell>
          <cell r="AC353" t="str">
            <v>Carrera 1B N 46A 18 Urb. Manolete</v>
          </cell>
          <cell r="AD353" t="str">
            <v>Primer Turno</v>
          </cell>
          <cell r="AE353">
            <v>10670</v>
          </cell>
          <cell r="AF353">
            <v>9000</v>
          </cell>
          <cell r="AG353" t="str">
            <v>1.8 km</v>
          </cell>
          <cell r="AH353" t="str">
            <v>5 min</v>
          </cell>
          <cell r="AI353">
            <v>11000</v>
          </cell>
          <cell r="AJ353">
            <v>11000</v>
          </cell>
          <cell r="AK353">
            <v>-2000</v>
          </cell>
          <cell r="AL353">
            <v>10670</v>
          </cell>
        </row>
        <row r="354">
          <cell r="T354" t="str">
            <v>TOCARRUNCHO ECHEVERRIA GLORIA NELLY</v>
          </cell>
          <cell r="U354" t="str">
            <v>KRA 16 No.3-36C-08</v>
          </cell>
          <cell r="V354" t="str">
            <v>La Calleja</v>
          </cell>
          <cell r="W354" t="str">
            <v>CERCANO</v>
          </cell>
          <cell r="X354">
            <v>3212328703</v>
          </cell>
          <cell r="Y354" t="str">
            <v>CENTRO</v>
          </cell>
          <cell r="Z354"/>
          <cell r="AA354" t="str">
            <v>Tunja</v>
          </cell>
          <cell r="AB354" t="str">
            <v>Tunja</v>
          </cell>
          <cell r="AC354" t="str">
            <v>Carrera 1B N 46A 18 Urb. Manolete</v>
          </cell>
          <cell r="AD354" t="str">
            <v>Tercer Turno</v>
          </cell>
          <cell r="AE354">
            <v>13095</v>
          </cell>
          <cell r="AF354">
            <v>9000</v>
          </cell>
          <cell r="AG354" t="str">
            <v>6.1 km</v>
          </cell>
          <cell r="AH354" t="str">
            <v>14 min</v>
          </cell>
          <cell r="AI354">
            <v>15000</v>
          </cell>
          <cell r="AJ354">
            <v>13500</v>
          </cell>
          <cell r="AK354">
            <v>-4500</v>
          </cell>
          <cell r="AL354">
            <v>13095</v>
          </cell>
        </row>
        <row r="355">
          <cell r="T355" t="str">
            <v>GARCIA SANCHEZ LUZ MERY</v>
          </cell>
          <cell r="U355" t="str">
            <v>CALLE 28 No.21-06</v>
          </cell>
          <cell r="V355" t="str">
            <v>Altamira parte alta</v>
          </cell>
          <cell r="W355" t="str">
            <v>CERCANO</v>
          </cell>
          <cell r="X355">
            <v>3125838345</v>
          </cell>
          <cell r="Y355" t="str">
            <v>CENTRO</v>
          </cell>
          <cell r="Z355"/>
          <cell r="AA355" t="str">
            <v>Tunja</v>
          </cell>
          <cell r="AB355" t="str">
            <v>Tunja</v>
          </cell>
          <cell r="AC355" t="str">
            <v>Carrera 1B N 46A 18 Urb. Manolete</v>
          </cell>
          <cell r="AD355" t="str">
            <v>Tercer Turno</v>
          </cell>
          <cell r="AE355">
            <v>13095</v>
          </cell>
          <cell r="AF355">
            <v>9000</v>
          </cell>
          <cell r="AG355" t="str">
            <v>3.9 km</v>
          </cell>
          <cell r="AH355" t="str">
            <v>13 min</v>
          </cell>
          <cell r="AI355">
            <v>15000</v>
          </cell>
          <cell r="AJ355">
            <v>13500</v>
          </cell>
          <cell r="AK355">
            <v>-4500</v>
          </cell>
          <cell r="AL355">
            <v>13095</v>
          </cell>
        </row>
        <row r="356">
          <cell r="T356" t="str">
            <v>GUTIERREZ JIMENEZ LUDY IBONE</v>
          </cell>
          <cell r="U356" t="str">
            <v>KRA 1 ESTA 4A-08 MANZANA 2 CASA 5</v>
          </cell>
          <cell r="V356" t="str">
            <v>Altos de Colservicios</v>
          </cell>
          <cell r="W356" t="str">
            <v>CERCANO</v>
          </cell>
          <cell r="X356">
            <v>3132506290</v>
          </cell>
          <cell r="Y356" t="str">
            <v>CENTRO</v>
          </cell>
          <cell r="Z356"/>
          <cell r="AA356" t="str">
            <v>Tunja</v>
          </cell>
          <cell r="AB356" t="str">
            <v>Tunja</v>
          </cell>
          <cell r="AC356" t="str">
            <v>Carrera 1B N 46A 18 Urb. Manolete</v>
          </cell>
          <cell r="AD356" t="str">
            <v>Tercer Turno</v>
          </cell>
          <cell r="AE356">
            <v>10670</v>
          </cell>
          <cell r="AF356">
            <v>9000</v>
          </cell>
          <cell r="AG356" t="str">
            <v>550 metros</v>
          </cell>
          <cell r="AH356" t="str">
            <v>3 min</v>
          </cell>
          <cell r="AI356">
            <v>11000</v>
          </cell>
          <cell r="AJ356">
            <v>11000</v>
          </cell>
          <cell r="AK356">
            <v>-2000</v>
          </cell>
          <cell r="AL356">
            <v>10670</v>
          </cell>
        </row>
        <row r="357">
          <cell r="T357" t="str">
            <v>CELY CRISTANCHO JUDY MILENA</v>
          </cell>
          <cell r="U357" t="str">
            <v xml:space="preserve">CALLE 49A No.9A-61 </v>
          </cell>
          <cell r="V357" t="str">
            <v>Los Heroes</v>
          </cell>
          <cell r="W357" t="str">
            <v>CERCANO</v>
          </cell>
          <cell r="X357">
            <v>3117625132</v>
          </cell>
          <cell r="Y357" t="str">
            <v>CENTRO</v>
          </cell>
          <cell r="Z357"/>
          <cell r="AA357" t="str">
            <v>Tunja</v>
          </cell>
          <cell r="AB357" t="str">
            <v>Tunja</v>
          </cell>
          <cell r="AC357" t="str">
            <v>Carrera 1B N 46A 18 Urb. Manolete</v>
          </cell>
          <cell r="AD357" t="str">
            <v>Tercer Turno</v>
          </cell>
          <cell r="AE357">
            <v>10670</v>
          </cell>
          <cell r="AF357">
            <v>9000</v>
          </cell>
          <cell r="AG357" t="str">
            <v>1.5 km</v>
          </cell>
          <cell r="AH357" t="str">
            <v>6 min</v>
          </cell>
          <cell r="AI357">
            <v>11000</v>
          </cell>
          <cell r="AJ357">
            <v>11000</v>
          </cell>
          <cell r="AK357">
            <v>-2000</v>
          </cell>
          <cell r="AL357">
            <v>10670</v>
          </cell>
        </row>
        <row r="358">
          <cell r="T358" t="str">
            <v>ALVARINA LOPEZ</v>
          </cell>
          <cell r="U358" t="str">
            <v>KRA 8G-37-27</v>
          </cell>
          <cell r="V358" t="str">
            <v>La Magdalena</v>
          </cell>
          <cell r="W358" t="str">
            <v>CERCANO</v>
          </cell>
          <cell r="X358">
            <v>3050033136</v>
          </cell>
          <cell r="Y358" t="str">
            <v>NORTE</v>
          </cell>
          <cell r="Z358"/>
          <cell r="AA358" t="str">
            <v>Barranquilla</v>
          </cell>
          <cell r="AB358" t="str">
            <v>Unirenal</v>
          </cell>
          <cell r="AC358" t="str">
            <v>Cll.  70B # 38-152</v>
          </cell>
          <cell r="AD358" t="str">
            <v>Primer Turno</v>
          </cell>
          <cell r="AE358">
            <v>13095</v>
          </cell>
          <cell r="AF358">
            <v>9000</v>
          </cell>
          <cell r="AG358" t="str">
            <v>6.4 km</v>
          </cell>
          <cell r="AH358" t="str">
            <v>19 min</v>
          </cell>
          <cell r="AI358">
            <v>15000</v>
          </cell>
          <cell r="AJ358">
            <v>13500</v>
          </cell>
          <cell r="AK358">
            <v>-4500</v>
          </cell>
          <cell r="AL358">
            <v>13095</v>
          </cell>
        </row>
        <row r="359">
          <cell r="T359" t="str">
            <v xml:space="preserve">MEGY NAVARRO </v>
          </cell>
          <cell r="U359" t="str">
            <v>CALLE 12#14C-04</v>
          </cell>
          <cell r="V359" t="str">
            <v>Soledad 2000</v>
          </cell>
          <cell r="W359" t="str">
            <v>INTERMUNICIPAL</v>
          </cell>
          <cell r="X359">
            <v>3003926639</v>
          </cell>
          <cell r="Y359" t="str">
            <v>NORTE</v>
          </cell>
          <cell r="Z359"/>
          <cell r="AA359" t="str">
            <v>Barranquilla</v>
          </cell>
          <cell r="AB359" t="str">
            <v>Unirenal</v>
          </cell>
          <cell r="AC359" t="str">
            <v>Cll.  70B # 38-152</v>
          </cell>
          <cell r="AD359" t="str">
            <v>Primer Turno</v>
          </cell>
          <cell r="AE359">
            <v>39285</v>
          </cell>
          <cell r="AF359">
            <v>30000</v>
          </cell>
          <cell r="AG359" t="str">
            <v>12.4 km</v>
          </cell>
          <cell r="AH359" t="str">
            <v>30 min</v>
          </cell>
          <cell r="AI359">
            <v>45000</v>
          </cell>
          <cell r="AJ359">
            <v>40500</v>
          </cell>
          <cell r="AK359">
            <v>-10500</v>
          </cell>
          <cell r="AL359">
            <v>39285</v>
          </cell>
        </row>
        <row r="360">
          <cell r="T360" t="str">
            <v>MONICA ESCALANTE</v>
          </cell>
          <cell r="U360" t="str">
            <v>KRA13B#51-28</v>
          </cell>
          <cell r="V360" t="str">
            <v>Ciudadela Real Del Caribe/Malambo</v>
          </cell>
          <cell r="W360" t="str">
            <v>INTERMUNICIPAL</v>
          </cell>
          <cell r="X360">
            <v>3003923165</v>
          </cell>
          <cell r="Y360" t="str">
            <v>NORTE</v>
          </cell>
          <cell r="Z360"/>
          <cell r="AA360" t="str">
            <v>Barranquilla</v>
          </cell>
          <cell r="AB360" t="str">
            <v>Unirenal</v>
          </cell>
          <cell r="AC360" t="str">
            <v>Cll.  70B # 38-152</v>
          </cell>
          <cell r="AD360" t="str">
            <v>Primer Turno</v>
          </cell>
          <cell r="AE360">
            <v>39285</v>
          </cell>
          <cell r="AF360">
            <v>30000</v>
          </cell>
          <cell r="AG360" t="str">
            <v>18.2 km</v>
          </cell>
          <cell r="AH360" t="str">
            <v>36 min</v>
          </cell>
          <cell r="AI360">
            <v>45000</v>
          </cell>
          <cell r="AJ360">
            <v>40500</v>
          </cell>
          <cell r="AK360">
            <v>-10500</v>
          </cell>
          <cell r="AL360">
            <v>39285</v>
          </cell>
        </row>
        <row r="361">
          <cell r="T361" t="str">
            <v>LEIDY GONZALEZ</v>
          </cell>
          <cell r="U361" t="str">
            <v>CALLE 46B#1C49</v>
          </cell>
          <cell r="V361" t="str">
            <v>Ciudadela 20 de Julio</v>
          </cell>
          <cell r="W361" t="str">
            <v>CERCANO</v>
          </cell>
          <cell r="X361">
            <v>3012651583</v>
          </cell>
          <cell r="Y361" t="str">
            <v>NORTE</v>
          </cell>
          <cell r="Z361"/>
          <cell r="AA361" t="str">
            <v>Barranquilla</v>
          </cell>
          <cell r="AB361" t="str">
            <v>Unirenal</v>
          </cell>
          <cell r="AC361" t="str">
            <v>Cll.  70B # 38-152</v>
          </cell>
          <cell r="AD361" t="str">
            <v>Primer Turno</v>
          </cell>
          <cell r="AE361">
            <v>13095</v>
          </cell>
          <cell r="AF361">
            <v>9000</v>
          </cell>
          <cell r="AG361">
            <v>0</v>
          </cell>
          <cell r="AH361">
            <v>0</v>
          </cell>
          <cell r="AI361">
            <v>15000</v>
          </cell>
          <cell r="AJ361">
            <v>13500</v>
          </cell>
          <cell r="AK361">
            <v>-4500</v>
          </cell>
          <cell r="AL361">
            <v>13095</v>
          </cell>
        </row>
        <row r="362">
          <cell r="T362" t="str">
            <v>SARYURIS MEDRA</v>
          </cell>
          <cell r="U362" t="str">
            <v>CALLE8#17-43</v>
          </cell>
          <cell r="V362" t="str">
            <v>Av Principal- Galapa</v>
          </cell>
          <cell r="W362" t="str">
            <v>INTERMUNICIPAL</v>
          </cell>
          <cell r="X362">
            <v>3135488878</v>
          </cell>
          <cell r="Y362" t="str">
            <v>NORTE</v>
          </cell>
          <cell r="Z362"/>
          <cell r="AA362" t="str">
            <v>Barranquilla</v>
          </cell>
          <cell r="AB362" t="str">
            <v>Unirenal</v>
          </cell>
          <cell r="AC362" t="str">
            <v>Cll.  70B # 38-152</v>
          </cell>
          <cell r="AD362" t="str">
            <v>Primer Turno</v>
          </cell>
          <cell r="AE362">
            <v>39285</v>
          </cell>
          <cell r="AF362">
            <v>30000</v>
          </cell>
          <cell r="AG362" t="str">
            <v>16.4 km</v>
          </cell>
          <cell r="AH362" t="str">
            <v>25 min</v>
          </cell>
          <cell r="AI362">
            <v>45000</v>
          </cell>
          <cell r="AJ362">
            <v>40500</v>
          </cell>
          <cell r="AK362">
            <v>-10500</v>
          </cell>
          <cell r="AL362">
            <v>39285</v>
          </cell>
        </row>
        <row r="363">
          <cell r="T363" t="str">
            <v>PATRICIA MARIN</v>
          </cell>
          <cell r="U363" t="str">
            <v>CRA7B#35A49</v>
          </cell>
          <cell r="V363" t="str">
            <v>Las Palmas</v>
          </cell>
          <cell r="W363" t="str">
            <v>CERCANO</v>
          </cell>
          <cell r="X363">
            <v>3017719750</v>
          </cell>
          <cell r="Y363" t="str">
            <v>NORTE</v>
          </cell>
          <cell r="Z363"/>
          <cell r="AA363" t="str">
            <v>Barranquilla</v>
          </cell>
          <cell r="AB363" t="str">
            <v>Unirenal</v>
          </cell>
          <cell r="AC363" t="str">
            <v>Cll.  70B # 38-152</v>
          </cell>
          <cell r="AD363" t="str">
            <v>Primer Turno</v>
          </cell>
          <cell r="AE363">
            <v>10670</v>
          </cell>
          <cell r="AF363">
            <v>9000</v>
          </cell>
          <cell r="AG363" t="str">
            <v>7.8 km</v>
          </cell>
          <cell r="AH363" t="str">
            <v>22 min</v>
          </cell>
          <cell r="AI363">
            <v>45000</v>
          </cell>
          <cell r="AJ363">
            <v>40500</v>
          </cell>
          <cell r="AK363">
            <v>-31500</v>
          </cell>
          <cell r="AL363">
            <v>39285</v>
          </cell>
        </row>
        <row r="364">
          <cell r="T364" t="str">
            <v>ERIKA PEREZ</v>
          </cell>
          <cell r="U364" t="str">
            <v>KRA26#63B62</v>
          </cell>
          <cell r="V364" t="str">
            <v>Los Andes</v>
          </cell>
          <cell r="W364" t="str">
            <v>CERCANO</v>
          </cell>
          <cell r="X364">
            <v>3008161228</v>
          </cell>
          <cell r="Y364" t="str">
            <v>NORTE</v>
          </cell>
          <cell r="Z364"/>
          <cell r="AA364" t="str">
            <v>Barranquilla</v>
          </cell>
          <cell r="AB364" t="str">
            <v>Unirenal</v>
          </cell>
          <cell r="AC364" t="str">
            <v>Cll.  70B # 38-152</v>
          </cell>
          <cell r="AD364" t="str">
            <v>Tercer Turno</v>
          </cell>
          <cell r="AE364">
            <v>13095</v>
          </cell>
          <cell r="AF364">
            <v>9000</v>
          </cell>
          <cell r="AG364" t="str">
            <v xml:space="preserve">2 km </v>
          </cell>
          <cell r="AH364" t="str">
            <v>7 min</v>
          </cell>
          <cell r="AI364">
            <v>15000</v>
          </cell>
          <cell r="AJ364">
            <v>13500</v>
          </cell>
          <cell r="AK364">
            <v>-4500</v>
          </cell>
          <cell r="AL364">
            <v>13095</v>
          </cell>
        </row>
        <row r="365">
          <cell r="T365" t="str">
            <v>MARLA CABALLERO</v>
          </cell>
          <cell r="U365" t="str">
            <v>KRA 43B#82&amp;2</v>
          </cell>
          <cell r="V365" t="str">
            <v>El Tabor</v>
          </cell>
          <cell r="W365" t="str">
            <v>CERCANO</v>
          </cell>
          <cell r="X365">
            <v>3142384570</v>
          </cell>
          <cell r="Y365" t="str">
            <v>NORTE</v>
          </cell>
          <cell r="Z365"/>
          <cell r="AA365" t="str">
            <v>Barranquilla</v>
          </cell>
          <cell r="AB365" t="str">
            <v>Unirenal</v>
          </cell>
          <cell r="AC365" t="str">
            <v>Cll.  70B # 38-152</v>
          </cell>
          <cell r="AD365" t="str">
            <v>Tercer Turno</v>
          </cell>
          <cell r="AE365">
            <v>13095</v>
          </cell>
          <cell r="AF365">
            <v>9000</v>
          </cell>
          <cell r="AG365" t="str">
            <v>3.2 km</v>
          </cell>
          <cell r="AH365" t="str">
            <v>10 min</v>
          </cell>
          <cell r="AI365">
            <v>15000</v>
          </cell>
          <cell r="AJ365">
            <v>13500</v>
          </cell>
          <cell r="AK365">
            <v>-4500</v>
          </cell>
          <cell r="AL365">
            <v>13095</v>
          </cell>
        </row>
        <row r="366">
          <cell r="T366" t="str">
            <v xml:space="preserve">CARMEN MONTERROSA </v>
          </cell>
          <cell r="U366" t="str">
            <v>CALLE82A#41E192</v>
          </cell>
          <cell r="V366" t="str">
            <v>Los Nogales</v>
          </cell>
          <cell r="W366" t="str">
            <v>CERCANO</v>
          </cell>
          <cell r="X366">
            <v>3145107325</v>
          </cell>
          <cell r="Y366" t="str">
            <v>NORTE</v>
          </cell>
          <cell r="Z366"/>
          <cell r="AA366" t="str">
            <v>Barranquilla</v>
          </cell>
          <cell r="AB366" t="str">
            <v>Unirenal</v>
          </cell>
          <cell r="AC366" t="str">
            <v>Cll.  70B # 38-152</v>
          </cell>
          <cell r="AD366" t="str">
            <v>Tercer Turno</v>
          </cell>
          <cell r="AE366">
            <v>13095</v>
          </cell>
          <cell r="AF366">
            <v>9000</v>
          </cell>
          <cell r="AG366" t="str">
            <v>2.5 km</v>
          </cell>
          <cell r="AH366" t="str">
            <v>8 min</v>
          </cell>
          <cell r="AI366">
            <v>15000</v>
          </cell>
          <cell r="AJ366">
            <v>13500</v>
          </cell>
          <cell r="AK366">
            <v>-4500</v>
          </cell>
          <cell r="AL366">
            <v>13095</v>
          </cell>
        </row>
        <row r="367">
          <cell r="T367" t="str">
            <v xml:space="preserve">IBET IBARRA </v>
          </cell>
          <cell r="U367" t="str">
            <v>CALLE 68#25-39</v>
          </cell>
          <cell r="V367" t="str">
            <v>San Felipe</v>
          </cell>
          <cell r="W367" t="str">
            <v>CERCANO</v>
          </cell>
          <cell r="X367">
            <v>3007050544</v>
          </cell>
          <cell r="Y367" t="str">
            <v>NORTE</v>
          </cell>
          <cell r="Z367"/>
          <cell r="AA367" t="str">
            <v>Barranquilla</v>
          </cell>
          <cell r="AB367" t="str">
            <v>Unirenal</v>
          </cell>
          <cell r="AC367" t="str">
            <v>Cll.  70B # 38-152</v>
          </cell>
          <cell r="AD367" t="str">
            <v>Tercer Turno</v>
          </cell>
          <cell r="AE367">
            <v>13095</v>
          </cell>
          <cell r="AF367">
            <v>9000</v>
          </cell>
          <cell r="AG367" t="str">
            <v>1.9 km</v>
          </cell>
          <cell r="AH367" t="str">
            <v>6 min</v>
          </cell>
          <cell r="AI367">
            <v>15000</v>
          </cell>
          <cell r="AJ367">
            <v>13500</v>
          </cell>
          <cell r="AK367">
            <v>-4500</v>
          </cell>
          <cell r="AL367">
            <v>13095</v>
          </cell>
        </row>
        <row r="368">
          <cell r="T368" t="str">
            <v>MARTHA DELGADO</v>
          </cell>
          <cell r="U368" t="str">
            <v>KRA 2A#38B-169</v>
          </cell>
          <cell r="V368" t="str">
            <v>El Galan</v>
          </cell>
          <cell r="W368" t="str">
            <v>CERCANO</v>
          </cell>
          <cell r="X368">
            <v>3107079173</v>
          </cell>
          <cell r="Y368" t="str">
            <v>NORTE</v>
          </cell>
          <cell r="Z368"/>
          <cell r="AA368" t="str">
            <v>Barranquilla</v>
          </cell>
          <cell r="AB368" t="str">
            <v>Unirenal</v>
          </cell>
          <cell r="AC368" t="str">
            <v>Cll.  70B # 38-152</v>
          </cell>
          <cell r="AD368" t="str">
            <v>Tercer Turno</v>
          </cell>
          <cell r="AE368">
            <v>13095</v>
          </cell>
          <cell r="AF368">
            <v>9000</v>
          </cell>
          <cell r="AG368">
            <v>0</v>
          </cell>
          <cell r="AH368">
            <v>0</v>
          </cell>
          <cell r="AI368">
            <v>15000</v>
          </cell>
          <cell r="AJ368">
            <v>13500</v>
          </cell>
          <cell r="AK368">
            <v>-4500</v>
          </cell>
          <cell r="AL368">
            <v>13095</v>
          </cell>
        </row>
        <row r="369">
          <cell r="T369" t="str">
            <v>EDWIN PAEZ</v>
          </cell>
          <cell r="U369" t="str">
            <v>CALLE 18C#47-80</v>
          </cell>
          <cell r="V369" t="str">
            <v>Costa Hermosa</v>
          </cell>
          <cell r="W369" t="str">
            <v>INTERMUNICIPAL</v>
          </cell>
          <cell r="X369">
            <v>3186160325</v>
          </cell>
          <cell r="Y369" t="str">
            <v>NORTE</v>
          </cell>
          <cell r="Z369"/>
          <cell r="AA369" t="str">
            <v>Barranquilla</v>
          </cell>
          <cell r="AB369" t="str">
            <v>Unirenal</v>
          </cell>
          <cell r="AC369" t="str">
            <v>Cll.  70B # 38-152</v>
          </cell>
          <cell r="AD369" t="str">
            <v>Tercer Turno</v>
          </cell>
          <cell r="AE369">
            <v>39285</v>
          </cell>
          <cell r="AF369">
            <v>30000</v>
          </cell>
          <cell r="AG369" t="str">
            <v>8.3 km</v>
          </cell>
          <cell r="AH369" t="str">
            <v>21 min</v>
          </cell>
          <cell r="AI369">
            <v>45000</v>
          </cell>
          <cell r="AJ369">
            <v>40500</v>
          </cell>
          <cell r="AK369">
            <v>-10500</v>
          </cell>
          <cell r="AL369">
            <v>39285</v>
          </cell>
        </row>
        <row r="370">
          <cell r="T370" t="str">
            <v>VEGA CORREA LUISA ALEXANDRA</v>
          </cell>
          <cell r="U370" t="str">
            <v>KRA 40 No.22-193</v>
          </cell>
          <cell r="V370" t="str">
            <v>San Cayetano</v>
          </cell>
          <cell r="W370" t="str">
            <v>CERCANO</v>
          </cell>
          <cell r="X370">
            <v>3132076552</v>
          </cell>
          <cell r="Y370" t="str">
            <v>CENTRO</v>
          </cell>
          <cell r="Z370"/>
          <cell r="AA370" t="str">
            <v>Duitama</v>
          </cell>
          <cell r="AB370" t="str">
            <v>Duitama</v>
          </cell>
          <cell r="AC370" t="str">
            <v>Calle 9 # 36 - 24 Barrio Sausalito</v>
          </cell>
          <cell r="AD370" t="str">
            <v>Primer Turno</v>
          </cell>
          <cell r="AE370">
            <v>13095</v>
          </cell>
          <cell r="AF370">
            <v>9000</v>
          </cell>
          <cell r="AG370" t="str">
            <v>1.4 km</v>
          </cell>
          <cell r="AH370" t="str">
            <v>6 min</v>
          </cell>
          <cell r="AI370">
            <v>15000</v>
          </cell>
          <cell r="AJ370">
            <v>13500</v>
          </cell>
          <cell r="AK370">
            <v>-4500</v>
          </cell>
          <cell r="AL370">
            <v>13095</v>
          </cell>
        </row>
        <row r="371">
          <cell r="T371" t="str">
            <v>TRIANA PERICO FAER ANTONIO</v>
          </cell>
          <cell r="U371" t="str">
            <v>KRA 22 No.19A-16 APTO 202</v>
          </cell>
          <cell r="V371" t="str">
            <v>San Jose</v>
          </cell>
          <cell r="W371" t="str">
            <v>CERCANO</v>
          </cell>
          <cell r="X371">
            <v>3103110094</v>
          </cell>
          <cell r="Y371" t="str">
            <v>CENTRO</v>
          </cell>
          <cell r="Z371"/>
          <cell r="AA371" t="str">
            <v>Duitama</v>
          </cell>
          <cell r="AB371" t="str">
            <v>Duitama</v>
          </cell>
          <cell r="AC371" t="str">
            <v>Calle 9 # 36 - 24 Barrio Sausalito</v>
          </cell>
          <cell r="AD371" t="str">
            <v>Primer Turno</v>
          </cell>
          <cell r="AE371">
            <v>13095</v>
          </cell>
          <cell r="AF371">
            <v>9000</v>
          </cell>
          <cell r="AG371" t="str">
            <v>2.3 km</v>
          </cell>
          <cell r="AH371" t="str">
            <v>8 min</v>
          </cell>
          <cell r="AI371">
            <v>15000</v>
          </cell>
          <cell r="AJ371">
            <v>13500</v>
          </cell>
          <cell r="AK371">
            <v>-4500</v>
          </cell>
          <cell r="AL371">
            <v>13095</v>
          </cell>
        </row>
        <row r="372">
          <cell r="T372" t="str">
            <v>Jessica Paola Mahecha Galvis</v>
          </cell>
          <cell r="U372" t="str">
            <v>CALLE 133 # 8-61 CONJUNTO VERACRUZ</v>
          </cell>
          <cell r="V372">
            <v>0</v>
          </cell>
          <cell r="W372" t="str">
            <v>CERCANO</v>
          </cell>
          <cell r="X372">
            <v>3219789924</v>
          </cell>
          <cell r="Y372" t="str">
            <v>CENTRO</v>
          </cell>
          <cell r="Z372"/>
          <cell r="AA372" t="str">
            <v>Honda</v>
          </cell>
          <cell r="AB372" t="str">
            <v>Honda</v>
          </cell>
          <cell r="AC372" t="str">
            <v>Calle 9 No. 16-38 Av Centenario Hospital San Juan de Dios Honda</v>
          </cell>
          <cell r="AD372" t="str">
            <v>Cuarto Turno</v>
          </cell>
          <cell r="AE372">
            <v>13095</v>
          </cell>
          <cell r="AF372">
            <v>9000</v>
          </cell>
          <cell r="AG372" t="str">
            <v>5 KM</v>
          </cell>
          <cell r="AH372" t="str">
            <v>8 MIN</v>
          </cell>
          <cell r="AI372">
            <v>15000</v>
          </cell>
          <cell r="AJ372">
            <v>13500</v>
          </cell>
          <cell r="AK372">
            <v>-4500</v>
          </cell>
          <cell r="AL372">
            <v>13095</v>
          </cell>
        </row>
        <row r="373">
          <cell r="T373" t="str">
            <v>Andrea del Pilar Builes Clavijo</v>
          </cell>
          <cell r="U373" t="str">
            <v>CRA 6° N 5-15 GUARINOCITO</v>
          </cell>
          <cell r="V373" t="str">
            <v>Guarinocito</v>
          </cell>
          <cell r="W373" t="str">
            <v>Intermunicipal</v>
          </cell>
          <cell r="X373">
            <v>3136464176</v>
          </cell>
          <cell r="Y373" t="str">
            <v>CENTRO</v>
          </cell>
          <cell r="Z373"/>
          <cell r="AA373" t="str">
            <v>Honda</v>
          </cell>
          <cell r="AB373" t="str">
            <v>Honda</v>
          </cell>
          <cell r="AC373" t="str">
            <v>Calle 9 No. 16-38 Av Centenario Hospital San Juan de Dios Honda</v>
          </cell>
          <cell r="AD373" t="str">
            <v>Cuarto Turno</v>
          </cell>
          <cell r="AE373">
            <v>52380</v>
          </cell>
          <cell r="AF373">
            <v>11000</v>
          </cell>
          <cell r="AG373" t="str">
            <v>21 KM</v>
          </cell>
          <cell r="AH373" t="str">
            <v>25 MIN</v>
          </cell>
          <cell r="AI373">
            <v>60000</v>
          </cell>
          <cell r="AJ373">
            <v>54000</v>
          </cell>
          <cell r="AK373">
            <v>-43000</v>
          </cell>
          <cell r="AL373">
            <v>52380</v>
          </cell>
        </row>
        <row r="374">
          <cell r="T374" t="str">
            <v>Daniela Fernanda Cabrera</v>
          </cell>
          <cell r="U374" t="str">
            <v>Cra 7 # 23-53 B. La Aurora</v>
          </cell>
          <cell r="V374">
            <v>0</v>
          </cell>
          <cell r="W374" t="str">
            <v>CERCANO</v>
          </cell>
          <cell r="X374" t="e">
            <v>#REF!</v>
          </cell>
          <cell r="Y374" t="str">
            <v>CENTRO</v>
          </cell>
          <cell r="Z374"/>
          <cell r="AA374" t="str">
            <v>Honda</v>
          </cell>
          <cell r="AB374" t="str">
            <v>Honda</v>
          </cell>
          <cell r="AC374" t="str">
            <v>Calle 9 No. 16-38 Av Centenario Hospital San Juan de Dios Honda</v>
          </cell>
          <cell r="AD374" t="str">
            <v>Cuarto Turno</v>
          </cell>
          <cell r="AE374">
            <v>13095</v>
          </cell>
          <cell r="AF374">
            <v>9000</v>
          </cell>
          <cell r="AG374" t="str">
            <v>5 KM</v>
          </cell>
          <cell r="AH374" t="str">
            <v>9 MIN</v>
          </cell>
          <cell r="AI374">
            <v>15000</v>
          </cell>
          <cell r="AJ374">
            <v>13500</v>
          </cell>
          <cell r="AK374">
            <v>-4500</v>
          </cell>
          <cell r="AL374">
            <v>13095</v>
          </cell>
        </row>
        <row r="375">
          <cell r="T375" t="str">
            <v>Cristian Camilo Cruz Devia</v>
          </cell>
          <cell r="U375" t="str">
            <v>Diagonal 14 18-25</v>
          </cell>
          <cell r="V375">
            <v>0</v>
          </cell>
          <cell r="W375" t="str">
            <v>CERCANO</v>
          </cell>
          <cell r="X375" t="e">
            <v>#REF!</v>
          </cell>
          <cell r="Y375" t="str">
            <v>CENTRO</v>
          </cell>
          <cell r="Z375"/>
          <cell r="AA375" t="str">
            <v>Honda</v>
          </cell>
          <cell r="AB375" t="str">
            <v>Honda</v>
          </cell>
          <cell r="AC375" t="str">
            <v>Calle 9 No. 16-38 Av Centenario Hospital San Juan de Dios Honda</v>
          </cell>
          <cell r="AD375" t="str">
            <v>Primer Turno</v>
          </cell>
          <cell r="AE375">
            <v>13095</v>
          </cell>
          <cell r="AF375">
            <v>9000</v>
          </cell>
          <cell r="AG375" t="str">
            <v>5 KM</v>
          </cell>
          <cell r="AH375" t="str">
            <v>8 MIN</v>
          </cell>
          <cell r="AI375">
            <v>15000</v>
          </cell>
          <cell r="AJ375">
            <v>13500</v>
          </cell>
          <cell r="AK375">
            <v>-4500</v>
          </cell>
          <cell r="AL375">
            <v>13095</v>
          </cell>
        </row>
        <row r="376">
          <cell r="T376" t="str">
            <v xml:space="preserve">SALAS DE LA ROSA SALLY TATIANA </v>
          </cell>
          <cell r="U376" t="str">
            <v>mz 88 # 16Garupal 4 etapa</v>
          </cell>
          <cell r="V376" t="str">
            <v>Garupal etapa 4</v>
          </cell>
          <cell r="W376" t="str">
            <v>CERCANO</v>
          </cell>
          <cell r="X376">
            <v>3102551706</v>
          </cell>
          <cell r="Y376" t="str">
            <v>NORTE</v>
          </cell>
          <cell r="Z376"/>
          <cell r="AA376" t="str">
            <v>Valledupar</v>
          </cell>
          <cell r="AB376" t="str">
            <v>Valledupar</v>
          </cell>
          <cell r="AC376" t="str">
            <v>Carrera 7A # 28-62
Barrio 12 de Octubre</v>
          </cell>
          <cell r="AD376" t="str">
            <v>Cuarto Turno</v>
          </cell>
          <cell r="AE376">
            <v>13095</v>
          </cell>
          <cell r="AF376">
            <v>8000</v>
          </cell>
          <cell r="AG376" t="str">
            <v>3.9 km</v>
          </cell>
          <cell r="AH376" t="str">
            <v>9 min</v>
          </cell>
          <cell r="AI376">
            <v>15000</v>
          </cell>
          <cell r="AJ376">
            <v>13500</v>
          </cell>
          <cell r="AK376">
            <v>-5500</v>
          </cell>
          <cell r="AL376">
            <v>13095</v>
          </cell>
        </row>
        <row r="377">
          <cell r="T377" t="str">
            <v>GOMEZ AHUMADA JEANNY ELENA</v>
          </cell>
          <cell r="U377" t="str">
            <v>Carrera 5D #39-63</v>
          </cell>
          <cell r="V377" t="str">
            <v>Panama</v>
          </cell>
          <cell r="W377" t="str">
            <v>CERCANO</v>
          </cell>
          <cell r="X377">
            <v>3184340241</v>
          </cell>
          <cell r="Y377" t="str">
            <v>NORTE</v>
          </cell>
          <cell r="Z377"/>
          <cell r="AA377" t="str">
            <v>Valledupar</v>
          </cell>
          <cell r="AB377" t="str">
            <v>Valledupar</v>
          </cell>
          <cell r="AC377" t="str">
            <v>Carrera 7A # 28-62
Barrio 12 de Octubre</v>
          </cell>
          <cell r="AD377" t="str">
            <v>Cuarto Turno</v>
          </cell>
          <cell r="AE377">
            <v>13095</v>
          </cell>
          <cell r="AF377">
            <v>8000</v>
          </cell>
          <cell r="AG377" t="str">
            <v>1.7 km</v>
          </cell>
          <cell r="AH377" t="str">
            <v>4 min</v>
          </cell>
          <cell r="AI377">
            <v>15000</v>
          </cell>
          <cell r="AJ377">
            <v>13500</v>
          </cell>
          <cell r="AK377">
            <v>-5500</v>
          </cell>
          <cell r="AL377">
            <v>13095</v>
          </cell>
        </row>
        <row r="378">
          <cell r="T378" t="str">
            <v>MONTES DELGADO ARIADNIS YULEIMIS</v>
          </cell>
          <cell r="U378" t="str">
            <v>MZ64 CASA 14 CIUDADELA 450 AÑOS 2 ETAPA</v>
          </cell>
          <cell r="V378" t="str">
            <v>Ciudadela 450</v>
          </cell>
          <cell r="W378" t="str">
            <v>CERCANO</v>
          </cell>
          <cell r="X378">
            <v>3227284653</v>
          </cell>
          <cell r="Y378" t="str">
            <v>NORTE</v>
          </cell>
          <cell r="Z378"/>
          <cell r="AA378" t="str">
            <v>Valledupar</v>
          </cell>
          <cell r="AB378" t="str">
            <v>Valledupar</v>
          </cell>
          <cell r="AC378" t="str">
            <v>Carrera 7A # 28-62
Barrio 12 de Octubre</v>
          </cell>
          <cell r="AD378" t="str">
            <v>Cuarto Turno</v>
          </cell>
          <cell r="AE378">
            <v>13095</v>
          </cell>
          <cell r="AF378">
            <v>8000</v>
          </cell>
          <cell r="AG378" t="str">
            <v>6.2 km</v>
          </cell>
          <cell r="AH378" t="str">
            <v>14 min</v>
          </cell>
          <cell r="AI378">
            <v>15000</v>
          </cell>
          <cell r="AJ378">
            <v>13500</v>
          </cell>
          <cell r="AK378">
            <v>-5500</v>
          </cell>
          <cell r="AL378">
            <v>13095</v>
          </cell>
        </row>
        <row r="379">
          <cell r="T379" t="str">
            <v>SIERRA ANDREA</v>
          </cell>
          <cell r="U379" t="str">
            <v>VILLA LIGIA III MZ B CASA 11</v>
          </cell>
          <cell r="V379" t="str">
            <v>Villa Ligia III</v>
          </cell>
          <cell r="W379" t="str">
            <v>CERCANO</v>
          </cell>
          <cell r="X379">
            <v>3042503992</v>
          </cell>
          <cell r="Y379" t="str">
            <v>NORTE</v>
          </cell>
          <cell r="Z379"/>
          <cell r="AA379" t="str">
            <v>Valledupar</v>
          </cell>
          <cell r="AB379" t="str">
            <v>Valledupar</v>
          </cell>
          <cell r="AC379" t="str">
            <v>Carrera 7A # 28-62
Barrio 12 de Octubre</v>
          </cell>
          <cell r="AD379" t="str">
            <v>Cuarto Turno</v>
          </cell>
          <cell r="AE379">
            <v>10670</v>
          </cell>
          <cell r="AF379">
            <v>8000</v>
          </cell>
          <cell r="AG379" t="str">
            <v>6.5 km</v>
          </cell>
          <cell r="AH379" t="str">
            <v>17 min</v>
          </cell>
          <cell r="AI379">
            <v>15000</v>
          </cell>
          <cell r="AJ379">
            <v>15000</v>
          </cell>
          <cell r="AK379">
            <v>-7000</v>
          </cell>
          <cell r="AL379">
            <v>14550</v>
          </cell>
        </row>
        <row r="380">
          <cell r="T380" t="str">
            <v>ROSADO MENDOZA NEMESIA DE JESUS</v>
          </cell>
          <cell r="U380" t="str">
            <v>Calle 10 # 21-73 Barrio Iracal</v>
          </cell>
          <cell r="V380" t="str">
            <v>Iracal</v>
          </cell>
          <cell r="W380" t="str">
            <v>CERCANO</v>
          </cell>
          <cell r="X380">
            <v>3113749303</v>
          </cell>
          <cell r="Y380" t="str">
            <v>NORTE</v>
          </cell>
          <cell r="Z380"/>
          <cell r="AA380" t="str">
            <v>Valledupar</v>
          </cell>
          <cell r="AB380" t="str">
            <v>Valledupar</v>
          </cell>
          <cell r="AC380" t="str">
            <v>Carrera 7A # 28-62
Barrio 12 de Octubre</v>
          </cell>
          <cell r="AD380" t="str">
            <v>Primer Turno</v>
          </cell>
          <cell r="AE380">
            <v>13095</v>
          </cell>
          <cell r="AF380">
            <v>8000</v>
          </cell>
          <cell r="AG380" t="str">
            <v>4.2 km</v>
          </cell>
          <cell r="AH380" t="str">
            <v>10 min</v>
          </cell>
          <cell r="AI380">
            <v>15000</v>
          </cell>
          <cell r="AJ380">
            <v>13500</v>
          </cell>
          <cell r="AK380">
            <v>-5500</v>
          </cell>
          <cell r="AL380">
            <v>13095</v>
          </cell>
        </row>
        <row r="381">
          <cell r="T381" t="str">
            <v>SIERRA FUENTES SAMARHA MASSIEL</v>
          </cell>
          <cell r="U381" t="str">
            <v>Carrrera 4G # 21Bis-220 Torre 3 Apt 203</v>
          </cell>
          <cell r="V381" t="str">
            <v>San Francisco de Asis</v>
          </cell>
          <cell r="W381" t="str">
            <v>CERCANO</v>
          </cell>
          <cell r="X381">
            <v>3013867435</v>
          </cell>
          <cell r="Y381" t="str">
            <v>NORTE</v>
          </cell>
          <cell r="Z381"/>
          <cell r="AA381" t="str">
            <v>Valledupar</v>
          </cell>
          <cell r="AB381" t="str">
            <v>Valledupar</v>
          </cell>
          <cell r="AC381" t="str">
            <v>Carrera 7A # 28-62
Barrio 12 de Octubre</v>
          </cell>
          <cell r="AD381" t="str">
            <v>Primer Turno</v>
          </cell>
          <cell r="AE381">
            <v>13095</v>
          </cell>
          <cell r="AF381">
            <v>8000</v>
          </cell>
          <cell r="AG381" t="str">
            <v>4.3 km</v>
          </cell>
          <cell r="AH381" t="str">
            <v>7 min</v>
          </cell>
          <cell r="AI381">
            <v>15000</v>
          </cell>
          <cell r="AJ381">
            <v>13500</v>
          </cell>
          <cell r="AK381">
            <v>-5500</v>
          </cell>
          <cell r="AL381">
            <v>13095</v>
          </cell>
        </row>
        <row r="382">
          <cell r="T382" t="str">
            <v>ANA MILENA FLOREZ DURAN</v>
          </cell>
          <cell r="U382" t="str">
            <v>Carrrera 4G # 21Bis-220 torre B4 Apt 227</v>
          </cell>
          <cell r="V382" t="str">
            <v>San Francisco de Asis</v>
          </cell>
          <cell r="W382" t="str">
            <v>CERCANO</v>
          </cell>
          <cell r="X382">
            <v>3164084153</v>
          </cell>
          <cell r="Y382" t="str">
            <v>NORTE</v>
          </cell>
          <cell r="Z382"/>
          <cell r="AA382" t="str">
            <v>Valledupar</v>
          </cell>
          <cell r="AB382" t="str">
            <v>Valledupar</v>
          </cell>
          <cell r="AC382" t="str">
            <v>Carrera 7A # 28-62
Barrio 12 de Octubre</v>
          </cell>
          <cell r="AD382" t="str">
            <v>Primer Turno</v>
          </cell>
          <cell r="AE382">
            <v>13095</v>
          </cell>
          <cell r="AF382">
            <v>8000</v>
          </cell>
          <cell r="AG382" t="str">
            <v>4.3 km</v>
          </cell>
          <cell r="AH382" t="str">
            <v>7 min</v>
          </cell>
          <cell r="AI382">
            <v>15000</v>
          </cell>
          <cell r="AJ382">
            <v>13500</v>
          </cell>
          <cell r="AK382">
            <v>-5500</v>
          </cell>
          <cell r="AL382">
            <v>13095</v>
          </cell>
        </row>
        <row r="383">
          <cell r="T383" t="str">
            <v>MOLINA REDONDO ISAREMA</v>
          </cell>
          <cell r="U383" t="str">
            <v>CRA 30C # 18 BIS - 06 BARRIO MANANTIAL</v>
          </cell>
          <cell r="V383" t="str">
            <v>Manantial</v>
          </cell>
          <cell r="W383" t="str">
            <v>CERCANO</v>
          </cell>
          <cell r="X383">
            <v>3104938356</v>
          </cell>
          <cell r="Y383" t="str">
            <v>NORTE</v>
          </cell>
          <cell r="Z383"/>
          <cell r="AA383" t="str">
            <v>Valledupar</v>
          </cell>
          <cell r="AB383" t="str">
            <v>Valledupar</v>
          </cell>
          <cell r="AC383" t="str">
            <v>Carrera 7A # 28-62
Barrio 12 de Octubre</v>
          </cell>
          <cell r="AD383" t="str">
            <v>Primer Turno</v>
          </cell>
          <cell r="AE383">
            <v>13095</v>
          </cell>
          <cell r="AF383">
            <v>8000</v>
          </cell>
          <cell r="AG383" t="str">
            <v>5 km</v>
          </cell>
          <cell r="AH383" t="str">
            <v>9 min</v>
          </cell>
          <cell r="AI383">
            <v>15000</v>
          </cell>
          <cell r="AJ383">
            <v>13500</v>
          </cell>
          <cell r="AK383">
            <v>-5500</v>
          </cell>
          <cell r="AL383">
            <v>13095</v>
          </cell>
        </row>
        <row r="384">
          <cell r="T384" t="str">
            <v>VILLAZON ALFARO YULIETH KISSED</v>
          </cell>
          <cell r="U384" t="str">
            <v>CRA 6 # 6A 1 # 55 - 89 MZ 5 CS 207 CONJUNTO CERRADO VIVE ALTO</v>
          </cell>
          <cell r="V384" t="str">
            <v>San Fernando</v>
          </cell>
          <cell r="W384" t="str">
            <v>CERCANO</v>
          </cell>
          <cell r="X384">
            <v>3017958208</v>
          </cell>
          <cell r="Y384" t="str">
            <v>NORTE</v>
          </cell>
          <cell r="Z384"/>
          <cell r="AA384" t="str">
            <v>Valledupar</v>
          </cell>
          <cell r="AB384" t="str">
            <v>Valledupar</v>
          </cell>
          <cell r="AC384" t="str">
            <v>Carrera 7A # 28-62
Barrio 12 de Octubre</v>
          </cell>
          <cell r="AD384" t="str">
            <v>Primer Turno</v>
          </cell>
          <cell r="AE384">
            <v>13095</v>
          </cell>
          <cell r="AF384">
            <v>8000</v>
          </cell>
          <cell r="AG384" t="str">
            <v>3.4 km</v>
          </cell>
          <cell r="AH384" t="str">
            <v>8 min</v>
          </cell>
          <cell r="AI384">
            <v>15000</v>
          </cell>
          <cell r="AJ384">
            <v>13500</v>
          </cell>
          <cell r="AK384">
            <v>-5500</v>
          </cell>
          <cell r="AL384">
            <v>13095</v>
          </cell>
        </row>
        <row r="385">
          <cell r="T385" t="str">
            <v>MARTINEZ ABAD INMACULADA CONCEPCION</v>
          </cell>
          <cell r="U385" t="str">
            <v>Mz 11 Casa 3a La Castellana</v>
          </cell>
          <cell r="V385" t="str">
            <v>La Castellana</v>
          </cell>
          <cell r="W385" t="str">
            <v>LEJANO</v>
          </cell>
          <cell r="X385">
            <v>3174375457</v>
          </cell>
          <cell r="Y385" t="str">
            <v>NORTE</v>
          </cell>
          <cell r="Z385"/>
          <cell r="AA385" t="str">
            <v>Valledupar</v>
          </cell>
          <cell r="AB385" t="str">
            <v>Valledupar</v>
          </cell>
          <cell r="AC385" t="str">
            <v>Carrera 7A # 28-62
Barrio 12 de Octubre</v>
          </cell>
          <cell r="AD385" t="str">
            <v>Primer Turno</v>
          </cell>
          <cell r="AE385">
            <v>19400</v>
          </cell>
          <cell r="AF385">
            <v>15000</v>
          </cell>
          <cell r="AG385" t="str">
            <v>12.6 km</v>
          </cell>
          <cell r="AH385" t="str">
            <v>22 min</v>
          </cell>
          <cell r="AI385">
            <v>20000</v>
          </cell>
          <cell r="AJ385">
            <v>20000</v>
          </cell>
          <cell r="AK385">
            <v>-5000</v>
          </cell>
          <cell r="AL385">
            <v>19400</v>
          </cell>
        </row>
        <row r="386">
          <cell r="T386" t="str">
            <v>VEGA CUELLO SULEIMA YULIETH</v>
          </cell>
          <cell r="U386" t="str">
            <v>CALLE 4B # 19C - 19 TORRE 1 APTO 302 CONJUNTO CERRADO CITARINGA</v>
          </cell>
          <cell r="V386" t="str">
            <v>Citaringa</v>
          </cell>
          <cell r="W386" t="str">
            <v>CERCANO</v>
          </cell>
          <cell r="X386">
            <v>3017647622</v>
          </cell>
          <cell r="Y386" t="str">
            <v>NORTE</v>
          </cell>
          <cell r="Z386"/>
          <cell r="AA386" t="str">
            <v>Valledupar</v>
          </cell>
          <cell r="AB386" t="str">
            <v>Valledupar</v>
          </cell>
          <cell r="AC386" t="str">
            <v>Carrera 7A # 28-62
Barrio 12 de Octubre</v>
          </cell>
          <cell r="AD386" t="str">
            <v>Primer Turno</v>
          </cell>
          <cell r="AE386">
            <v>17460</v>
          </cell>
          <cell r="AF386">
            <v>8000</v>
          </cell>
          <cell r="AG386" t="str">
            <v>5.7 km</v>
          </cell>
          <cell r="AH386" t="str">
            <v>14 min</v>
          </cell>
          <cell r="AI386">
            <v>20000</v>
          </cell>
          <cell r="AJ386">
            <v>18000</v>
          </cell>
          <cell r="AK386">
            <v>-10000</v>
          </cell>
          <cell r="AL386">
            <v>17460</v>
          </cell>
        </row>
        <row r="387">
          <cell r="T387" t="str">
            <v>LUZ FONTALVO</v>
          </cell>
          <cell r="U387" t="str">
            <v>Cra 17 # 22 C - 21 , Barrio Simón Bolivar</v>
          </cell>
          <cell r="V387" t="str">
            <v>Simon Bolivar</v>
          </cell>
          <cell r="W387" t="str">
            <v>CERCANO</v>
          </cell>
          <cell r="X387">
            <v>3155114013</v>
          </cell>
          <cell r="Y387" t="str">
            <v>NORTE</v>
          </cell>
          <cell r="Z387"/>
          <cell r="AA387" t="str">
            <v>Valledupar</v>
          </cell>
          <cell r="AB387" t="str">
            <v>Valledupar</v>
          </cell>
          <cell r="AC387" t="str">
            <v>Carrera 7A # 28-62
Barrio 12 de Octubre</v>
          </cell>
          <cell r="AD387" t="str">
            <v>Tercer Turno</v>
          </cell>
          <cell r="AE387">
            <v>13095</v>
          </cell>
          <cell r="AF387">
            <v>8000</v>
          </cell>
          <cell r="AG387" t="str">
            <v>1 km</v>
          </cell>
          <cell r="AH387" t="str">
            <v>3 min</v>
          </cell>
          <cell r="AI387">
            <v>15000</v>
          </cell>
          <cell r="AJ387">
            <v>13500</v>
          </cell>
          <cell r="AK387">
            <v>-5500</v>
          </cell>
          <cell r="AL387">
            <v>13095</v>
          </cell>
        </row>
        <row r="388">
          <cell r="T388" t="str">
            <v>SIERRA REDONDO YENIS</v>
          </cell>
          <cell r="U388" t="str">
            <v>CRA 30 A #11B 49</v>
          </cell>
          <cell r="V388" t="str">
            <v>20 De Julio</v>
          </cell>
          <cell r="W388" t="str">
            <v>CERCANO</v>
          </cell>
          <cell r="X388">
            <v>3177118055</v>
          </cell>
          <cell r="Y388" t="str">
            <v>NORTE</v>
          </cell>
          <cell r="Z388"/>
          <cell r="AA388" t="str">
            <v>Valledupar</v>
          </cell>
          <cell r="AB388" t="str">
            <v>Valledupar</v>
          </cell>
          <cell r="AC388" t="str">
            <v>Carrera 7A # 28-62
Barrio 12 de Octubre</v>
          </cell>
          <cell r="AD388" t="str">
            <v>Tercer Turno</v>
          </cell>
          <cell r="AE388">
            <v>13095</v>
          </cell>
          <cell r="AF388">
            <v>8000</v>
          </cell>
          <cell r="AG388" t="str">
            <v>3.3 km</v>
          </cell>
          <cell r="AH388" t="str">
            <v>9 min</v>
          </cell>
          <cell r="AI388">
            <v>15000</v>
          </cell>
          <cell r="AJ388">
            <v>13500</v>
          </cell>
          <cell r="AK388">
            <v>-5500</v>
          </cell>
          <cell r="AL388">
            <v>13095</v>
          </cell>
        </row>
        <row r="389">
          <cell r="T389" t="str">
            <v>GUZMAN VEGA KELLYS JOHANA</v>
          </cell>
          <cell r="U389" t="str">
            <v>Calle 35 # 4E-9 Los Mayales</v>
          </cell>
          <cell r="V389" t="str">
            <v>Los Mayales</v>
          </cell>
          <cell r="W389" t="str">
            <v>CERCANO</v>
          </cell>
          <cell r="X389">
            <v>3172381835</v>
          </cell>
          <cell r="Y389" t="str">
            <v>NORTE</v>
          </cell>
          <cell r="Z389"/>
          <cell r="AA389" t="str">
            <v>Valledupar</v>
          </cell>
          <cell r="AB389" t="str">
            <v>Valledupar</v>
          </cell>
          <cell r="AC389" t="str">
            <v>Carrera 7A # 28-62
Barrio 12 de Octubre</v>
          </cell>
          <cell r="AD389" t="str">
            <v>Tercer Turno</v>
          </cell>
          <cell r="AE389">
            <v>13095</v>
          </cell>
          <cell r="AF389">
            <v>8000</v>
          </cell>
          <cell r="AG389" t="str">
            <v>1.7 km</v>
          </cell>
          <cell r="AH389" t="str">
            <v>4 min</v>
          </cell>
          <cell r="AI389">
            <v>15000</v>
          </cell>
          <cell r="AJ389">
            <v>13500</v>
          </cell>
          <cell r="AK389">
            <v>-5500</v>
          </cell>
          <cell r="AL389">
            <v>13095</v>
          </cell>
        </row>
        <row r="390">
          <cell r="T390" t="str">
            <v>GARCIA PEREZ LEIDY JOHANA</v>
          </cell>
          <cell r="U390" t="str">
            <v>Calle 13B # 14-104</v>
          </cell>
          <cell r="V390" t="str">
            <v>El Obrero</v>
          </cell>
          <cell r="W390" t="str">
            <v>CERCANO</v>
          </cell>
          <cell r="X390">
            <v>3232932572</v>
          </cell>
          <cell r="Y390" t="str">
            <v>NORTE</v>
          </cell>
          <cell r="Z390"/>
          <cell r="AA390" t="str">
            <v>Valledupar</v>
          </cell>
          <cell r="AB390" t="str">
            <v>Valledupar</v>
          </cell>
          <cell r="AC390" t="str">
            <v>Carrera 7A # 28-62
Barrio 12 de Octubre</v>
          </cell>
          <cell r="AD390" t="str">
            <v>Tercer Turno</v>
          </cell>
          <cell r="AE390">
            <v>13095</v>
          </cell>
          <cell r="AF390">
            <v>8000</v>
          </cell>
          <cell r="AG390" t="str">
            <v>3.4 km</v>
          </cell>
          <cell r="AH390" t="str">
            <v>8 min</v>
          </cell>
          <cell r="AI390">
            <v>15000</v>
          </cell>
          <cell r="AJ390">
            <v>13500</v>
          </cell>
          <cell r="AK390">
            <v>-5500</v>
          </cell>
          <cell r="AL390">
            <v>13095</v>
          </cell>
        </row>
        <row r="391">
          <cell r="T391" t="str">
            <v>FRAGOZO CASTILLA LEONARDO FABIO</v>
          </cell>
          <cell r="U391" t="str">
            <v>Carrrera 4G # 21Bis-220 torre 5 Apt 304</v>
          </cell>
          <cell r="V391" t="str">
            <v>San Francisco de Asis</v>
          </cell>
          <cell r="W391" t="str">
            <v>CERCANO</v>
          </cell>
          <cell r="X391">
            <v>3174636288</v>
          </cell>
          <cell r="Y391" t="str">
            <v>NORTE</v>
          </cell>
          <cell r="Z391"/>
          <cell r="AA391" t="str">
            <v>Valledupar</v>
          </cell>
          <cell r="AB391" t="str">
            <v>Valledupar</v>
          </cell>
          <cell r="AC391" t="str">
            <v>Carrera 7A # 28-62
Barrio 12 de Octubre</v>
          </cell>
          <cell r="AD391" t="str">
            <v>Tercer Turno</v>
          </cell>
          <cell r="AE391">
            <v>13095</v>
          </cell>
          <cell r="AF391">
            <v>8000</v>
          </cell>
          <cell r="AG391" t="str">
            <v>4.3 km</v>
          </cell>
          <cell r="AH391" t="str">
            <v>7 min</v>
          </cell>
          <cell r="AI391">
            <v>15000</v>
          </cell>
          <cell r="AJ391">
            <v>13500</v>
          </cell>
          <cell r="AK391">
            <v>-5500</v>
          </cell>
          <cell r="AL391">
            <v>13095</v>
          </cell>
        </row>
        <row r="392">
          <cell r="T392" t="str">
            <v>Yalila Alvarado</v>
          </cell>
          <cell r="U392" t="str">
            <v>Cra. 31 este 34-70 torre 3 apto 904  amarilo llano alto</v>
          </cell>
          <cell r="V392" t="str">
            <v>amarillo llano alto</v>
          </cell>
          <cell r="W392" t="str">
            <v>CERCANO</v>
          </cell>
          <cell r="X392">
            <v>3134597835</v>
          </cell>
          <cell r="Y392" t="str">
            <v>CENTRO</v>
          </cell>
          <cell r="Z392"/>
          <cell r="AA392" t="str">
            <v>Villavicencio</v>
          </cell>
          <cell r="AB392" t="str">
            <v>Villavicencio</v>
          </cell>
          <cell r="AC392" t="str">
            <v>Carrera 44C # 33B - 08 Edificio Navarro
Urbanización Los Pinos</v>
          </cell>
          <cell r="AD392" t="str">
            <v>Cuarto Turno</v>
          </cell>
          <cell r="AE392">
            <v>10670</v>
          </cell>
          <cell r="AF392">
            <v>9000</v>
          </cell>
          <cell r="AG392">
            <v>12</v>
          </cell>
          <cell r="AH392">
            <v>17</v>
          </cell>
          <cell r="AI392">
            <v>20000</v>
          </cell>
          <cell r="AJ392">
            <v>18000</v>
          </cell>
          <cell r="AK392">
            <v>-9000</v>
          </cell>
          <cell r="AL392">
            <v>17460</v>
          </cell>
        </row>
        <row r="393">
          <cell r="T393" t="str">
            <v>Nelcy alejandra diaz</v>
          </cell>
          <cell r="U393" t="str">
            <v>Cra. 31 E  8-22 la rosita</v>
          </cell>
          <cell r="V393" t="str">
            <v>la rosita</v>
          </cell>
          <cell r="W393" t="str">
            <v>CERCANO</v>
          </cell>
          <cell r="X393">
            <v>3114451943</v>
          </cell>
          <cell r="Y393" t="str">
            <v>CENTRO</v>
          </cell>
          <cell r="Z393"/>
          <cell r="AA393" t="str">
            <v>Villavicencio</v>
          </cell>
          <cell r="AB393" t="str">
            <v>Villavicencio</v>
          </cell>
          <cell r="AC393" t="str">
            <v>Carrera 44C # 33B - 08 Edificio Navarro
Urbanización Los Pinos</v>
          </cell>
          <cell r="AD393" t="str">
            <v>Tercer Turno</v>
          </cell>
          <cell r="AE393">
            <v>10670</v>
          </cell>
          <cell r="AF393">
            <v>9000</v>
          </cell>
          <cell r="AG393">
            <v>4</v>
          </cell>
          <cell r="AH393">
            <v>30</v>
          </cell>
          <cell r="AI393">
            <v>20000</v>
          </cell>
          <cell r="AJ393">
            <v>18000</v>
          </cell>
          <cell r="AK393">
            <v>-9000</v>
          </cell>
          <cell r="AL393">
            <v>17460</v>
          </cell>
        </row>
        <row r="394">
          <cell r="T394" t="str">
            <v>Nelly patricia calderon</v>
          </cell>
          <cell r="U394" t="str">
            <v>Cll. 11 14-46 barrio estero</v>
          </cell>
          <cell r="V394" t="str">
            <v>ESTERO</v>
          </cell>
          <cell r="W394" t="str">
            <v>CERCANO</v>
          </cell>
          <cell r="X394">
            <v>3204648283</v>
          </cell>
          <cell r="Y394" t="str">
            <v>CENTRO</v>
          </cell>
          <cell r="Z394"/>
          <cell r="AA394" t="str">
            <v>Villavicencio</v>
          </cell>
          <cell r="AB394" t="str">
            <v>Villavicencio</v>
          </cell>
          <cell r="AC394" t="str">
            <v>Carrera 44C # 33B - 08 Edificio Navarro
Urbanización Los Pinos</v>
          </cell>
          <cell r="AD394" t="str">
            <v>Tercer Turno</v>
          </cell>
          <cell r="AE394">
            <v>10670</v>
          </cell>
          <cell r="AF394">
            <v>9000</v>
          </cell>
          <cell r="AG394">
            <v>5</v>
          </cell>
          <cell r="AH394">
            <v>13</v>
          </cell>
          <cell r="AI394">
            <v>20000</v>
          </cell>
          <cell r="AJ394">
            <v>18000</v>
          </cell>
          <cell r="AK394">
            <v>-9000</v>
          </cell>
          <cell r="AL394">
            <v>17460</v>
          </cell>
        </row>
        <row r="395">
          <cell r="T395" t="str">
            <v>Martha batanero</v>
          </cell>
          <cell r="U395" t="str">
            <v>Urb. Santa ana casa 10 manzana D. Restrepo</v>
          </cell>
          <cell r="V395" t="str">
            <v>Restrepo Meta</v>
          </cell>
          <cell r="W395" t="str">
            <v>Intermunicipal</v>
          </cell>
          <cell r="X395">
            <v>3202183795</v>
          </cell>
          <cell r="Y395" t="str">
            <v>CENTRO</v>
          </cell>
          <cell r="Z395"/>
          <cell r="AA395" t="str">
            <v>Villavicencio</v>
          </cell>
          <cell r="AB395" t="str">
            <v>Villavicencio</v>
          </cell>
          <cell r="AC395" t="str">
            <v>Carrera 44C # 33B - 08 Edificio Navarro
Urbanización Los Pinos</v>
          </cell>
          <cell r="AD395" t="str">
            <v>Tercer Turno</v>
          </cell>
          <cell r="AE395">
            <v>87300</v>
          </cell>
          <cell r="AF395">
            <v>85000</v>
          </cell>
          <cell r="AG395">
            <v>18</v>
          </cell>
          <cell r="AH395">
            <v>28</v>
          </cell>
          <cell r="AI395">
            <v>90000</v>
          </cell>
          <cell r="AJ395">
            <v>90000</v>
          </cell>
          <cell r="AK395">
            <v>-5000</v>
          </cell>
          <cell r="AL395">
            <v>87300</v>
          </cell>
        </row>
        <row r="396">
          <cell r="T396" t="str">
            <v>Alba Lemus</v>
          </cell>
          <cell r="U396" t="str">
            <v>Calle 167a #5a-04 int 10 apto 401</v>
          </cell>
          <cell r="V396" t="str">
            <v>bosques de saratama</v>
          </cell>
          <cell r="W396" t="str">
            <v>CERCANO</v>
          </cell>
          <cell r="X396">
            <v>3133021701</v>
          </cell>
          <cell r="Y396" t="str">
            <v>CENTRO</v>
          </cell>
          <cell r="Z396" t="str">
            <v>bosques de saratama</v>
          </cell>
          <cell r="AA396" t="str">
            <v>Bogota</v>
          </cell>
          <cell r="AB396" t="str">
            <v>Horizonte</v>
          </cell>
          <cell r="AC396" t="str">
            <v>Av. Cll 134 # 7b- 83 Edificio el Bosque piso 2 Consultorio 2018</v>
          </cell>
          <cell r="AD396"/>
          <cell r="AE396">
            <v>13095</v>
          </cell>
          <cell r="AF396">
            <v>8000</v>
          </cell>
          <cell r="AG396">
            <v>4</v>
          </cell>
          <cell r="AH396">
            <v>10</v>
          </cell>
          <cell r="AI396" t="e">
            <v>#N/A</v>
          </cell>
          <cell r="AJ396">
            <v>13500</v>
          </cell>
          <cell r="AK396">
            <v>-5500</v>
          </cell>
          <cell r="AL396">
            <v>13095</v>
          </cell>
        </row>
        <row r="397">
          <cell r="T397" t="str">
            <v>Aleidys Julio Moreno  cll 5A # 62-28</v>
          </cell>
          <cell r="U397" t="str">
            <v>Carrera 93 D # 6-37, Urbanización Tintal torre 4 apto 304  Barrio Tintal</v>
          </cell>
          <cell r="V397" t="str">
            <v>Tintal</v>
          </cell>
          <cell r="W397" t="str">
            <v>LEJANO</v>
          </cell>
          <cell r="X397" t="e">
            <v>#REF!</v>
          </cell>
          <cell r="Y397" t="str">
            <v>CENTRO</v>
          </cell>
          <cell r="Z397" t="str">
            <v>Tintal</v>
          </cell>
          <cell r="AA397" t="str">
            <v>Bogota</v>
          </cell>
          <cell r="AB397" t="str">
            <v>Fmexpress Bogotá</v>
          </cell>
          <cell r="AC397" t="str">
            <v>BOGOTA CLL 161 # 7G-36</v>
          </cell>
          <cell r="AD397"/>
          <cell r="AE397">
            <v>26675</v>
          </cell>
          <cell r="AF397">
            <v>22000</v>
          </cell>
          <cell r="AG397">
            <v>25</v>
          </cell>
          <cell r="AH397">
            <v>45</v>
          </cell>
          <cell r="AI397" t="e">
            <v>#N/A</v>
          </cell>
          <cell r="AJ397">
            <v>27500</v>
          </cell>
          <cell r="AK397">
            <v>-5500</v>
          </cell>
          <cell r="AL397">
            <v>26675</v>
          </cell>
        </row>
        <row r="398">
          <cell r="T398" t="str">
            <v>ALEJANDRA MOYA</v>
          </cell>
          <cell r="U398" t="str">
            <v xml:space="preserve">CALLE 26 SUR # 74 - 35       - techo   </v>
          </cell>
          <cell r="V398" t="str">
            <v>Techo</v>
          </cell>
          <cell r="W398" t="str">
            <v>CERCANO</v>
          </cell>
          <cell r="X398">
            <v>3054619526</v>
          </cell>
          <cell r="Y398" t="str">
            <v>CENTRO</v>
          </cell>
          <cell r="Z398" t="str">
            <v>Techo</v>
          </cell>
          <cell r="AA398" t="str">
            <v>Bogota</v>
          </cell>
          <cell r="AB398" t="str">
            <v>San Jose</v>
          </cell>
          <cell r="AC398" t="str">
            <v>Cll. 10 # 18-75 piso 3</v>
          </cell>
          <cell r="AD398"/>
          <cell r="AE398">
            <v>14550</v>
          </cell>
          <cell r="AF398">
            <v>10000</v>
          </cell>
          <cell r="AG398">
            <v>10</v>
          </cell>
          <cell r="AH398">
            <v>16</v>
          </cell>
          <cell r="AI398">
            <v>15000</v>
          </cell>
          <cell r="AJ398">
            <v>15000</v>
          </cell>
          <cell r="AK398">
            <v>-5000</v>
          </cell>
          <cell r="AL398">
            <v>14550</v>
          </cell>
        </row>
        <row r="399">
          <cell r="T399" t="str">
            <v>ALVAREZ ANDRADE KAREN</v>
          </cell>
          <cell r="U399" t="str">
            <v>CRA 59A#134-22</v>
          </cell>
          <cell r="V399" t="str">
            <v>colina campestre</v>
          </cell>
          <cell r="W399" t="str">
            <v>CERCANO</v>
          </cell>
          <cell r="X399">
            <v>3223565720</v>
          </cell>
          <cell r="Y399" t="str">
            <v>CENTRO</v>
          </cell>
          <cell r="Z399" t="str">
            <v>colina campestre</v>
          </cell>
          <cell r="AA399" t="str">
            <v>Bogota</v>
          </cell>
          <cell r="AB399" t="str">
            <v>Dorado</v>
          </cell>
          <cell r="AC399" t="str">
            <v>Diagonal 82 Bis # 85 - 90</v>
          </cell>
          <cell r="AD399"/>
          <cell r="AE399">
            <v>13095</v>
          </cell>
          <cell r="AF399">
            <v>8000</v>
          </cell>
          <cell r="AG399">
            <v>8</v>
          </cell>
          <cell r="AH399">
            <v>19</v>
          </cell>
          <cell r="AI399">
            <v>15000</v>
          </cell>
          <cell r="AJ399">
            <v>13500</v>
          </cell>
          <cell r="AK399">
            <v>-5500</v>
          </cell>
          <cell r="AL399">
            <v>13095</v>
          </cell>
        </row>
        <row r="400">
          <cell r="T400" t="str">
            <v>Amparo Torres</v>
          </cell>
          <cell r="U400" t="str">
            <v>Cra 28  # 13 - 20 Casa 11 Funza</v>
          </cell>
          <cell r="V400" t="str">
            <v>Funza</v>
          </cell>
          <cell r="W400" t="str">
            <v>INTERMUNICIPAL</v>
          </cell>
          <cell r="X400">
            <v>3152256114</v>
          </cell>
          <cell r="Y400" t="str">
            <v>CENTRO</v>
          </cell>
          <cell r="Z400" t="str">
            <v>Funza</v>
          </cell>
          <cell r="AA400" t="str">
            <v>Bogota</v>
          </cell>
          <cell r="AB400" t="str">
            <v>Cruz Roja</v>
          </cell>
          <cell r="AC400" t="str">
            <v>Av. Kra  68 # 68 B-31 Bloque 1 Piso 1</v>
          </cell>
          <cell r="AD400"/>
          <cell r="AE400">
            <v>97000</v>
          </cell>
          <cell r="AF400">
            <v>65000</v>
          </cell>
          <cell r="AG400">
            <v>23</v>
          </cell>
          <cell r="AH400">
            <v>42</v>
          </cell>
          <cell r="AI400">
            <v>110000</v>
          </cell>
          <cell r="AJ400">
            <v>100000</v>
          </cell>
          <cell r="AK400">
            <v>-35000</v>
          </cell>
          <cell r="AL400">
            <v>97000</v>
          </cell>
        </row>
        <row r="401">
          <cell r="T401" t="str">
            <v>angie milena morales</v>
          </cell>
          <cell r="U401" t="str">
            <v>calle 42 # 87h-03 Patio Bonito</v>
          </cell>
          <cell r="V401" t="str">
            <v>Patio Bonito</v>
          </cell>
          <cell r="W401" t="str">
            <v>LEJANO</v>
          </cell>
          <cell r="X401">
            <v>3164858091</v>
          </cell>
          <cell r="Y401" t="str">
            <v>CENTRO</v>
          </cell>
          <cell r="Z401" t="str">
            <v>Patio Bonito</v>
          </cell>
          <cell r="AA401" t="str">
            <v>Bogota</v>
          </cell>
          <cell r="AB401" t="str">
            <v>San Jose</v>
          </cell>
          <cell r="AC401" t="str">
            <v>Cll. 10 # 18-75 piso 3</v>
          </cell>
          <cell r="AD401"/>
          <cell r="AE401">
            <v>17460</v>
          </cell>
          <cell r="AF401">
            <v>10000</v>
          </cell>
          <cell r="AG401">
            <v>14</v>
          </cell>
          <cell r="AH401">
            <v>27</v>
          </cell>
          <cell r="AI401">
            <v>20000</v>
          </cell>
          <cell r="AJ401">
            <v>18000</v>
          </cell>
          <cell r="AK401">
            <v>-8000</v>
          </cell>
          <cell r="AL401">
            <v>17460</v>
          </cell>
        </row>
        <row r="402">
          <cell r="T402" t="str">
            <v>Astrid Mendez Barrera</v>
          </cell>
          <cell r="U402" t="str">
            <v>Cra 12 BIS # 34C-17SUR INT 12 APT203</v>
          </cell>
          <cell r="V402" t="str">
            <v>pijao</v>
          </cell>
          <cell r="W402" t="str">
            <v>LEJANO</v>
          </cell>
          <cell r="X402" t="str">
            <v>322-3464115</v>
          </cell>
          <cell r="Y402" t="str">
            <v>CENTRO</v>
          </cell>
          <cell r="Z402" t="str">
            <v>pijao</v>
          </cell>
          <cell r="AA402" t="str">
            <v>BOGOTÁ</v>
          </cell>
          <cell r="AB402" t="str">
            <v>Occidente</v>
          </cell>
          <cell r="AC402" t="str">
            <v>Calle 5C No. 71C - 29 Torre B Piso 2 
Edificio Servicios Ambulatorios</v>
          </cell>
          <cell r="AD402"/>
          <cell r="AE402">
            <v>17460</v>
          </cell>
          <cell r="AF402">
            <v>8000</v>
          </cell>
          <cell r="AG402">
            <v>12</v>
          </cell>
          <cell r="AH402">
            <v>25</v>
          </cell>
          <cell r="AI402">
            <v>20000</v>
          </cell>
          <cell r="AJ402">
            <v>18000</v>
          </cell>
          <cell r="AK402">
            <v>-10000</v>
          </cell>
          <cell r="AL402">
            <v>17460</v>
          </cell>
        </row>
        <row r="403">
          <cell r="T403" t="str">
            <v>ASTRID SOSA</v>
          </cell>
          <cell r="U403" t="str">
            <v>CARRERA 73H # 62 D - 12 SUR-Galicia</v>
          </cell>
          <cell r="V403" t="str">
            <v>galicia</v>
          </cell>
          <cell r="W403" t="str">
            <v>LEJANO</v>
          </cell>
          <cell r="X403">
            <v>3108846144</v>
          </cell>
          <cell r="Y403" t="str">
            <v>CENTRO</v>
          </cell>
          <cell r="Z403" t="str">
            <v>galicia</v>
          </cell>
          <cell r="AA403" t="str">
            <v>Bogota</v>
          </cell>
          <cell r="AB403" t="str">
            <v>San Jose</v>
          </cell>
          <cell r="AC403" t="str">
            <v>Cll. 10 # 18-75 piso 3</v>
          </cell>
          <cell r="AD403"/>
          <cell r="AE403">
            <v>17460</v>
          </cell>
          <cell r="AF403">
            <v>10000</v>
          </cell>
          <cell r="AG403">
            <v>12</v>
          </cell>
          <cell r="AH403">
            <v>25</v>
          </cell>
          <cell r="AI403">
            <v>20000</v>
          </cell>
          <cell r="AJ403">
            <v>18000</v>
          </cell>
          <cell r="AK403">
            <v>-8000</v>
          </cell>
          <cell r="AL403">
            <v>17460</v>
          </cell>
        </row>
        <row r="404">
          <cell r="T404" t="str">
            <v>BAREÑO LEYDI</v>
          </cell>
          <cell r="U404" t="str">
            <v>CALLE 13 B #24B-3 ESTE SUR</v>
          </cell>
          <cell r="V404" t="str">
            <v>aguasclaras</v>
          </cell>
          <cell r="W404" t="str">
            <v>LEJANO PERIFERIA DE BOGOTA SUR ORIENTE</v>
          </cell>
          <cell r="X404">
            <v>3212826837</v>
          </cell>
          <cell r="Y404" t="str">
            <v>CENTRO</v>
          </cell>
          <cell r="Z404" t="str">
            <v>aguasclaras</v>
          </cell>
          <cell r="AA404" t="str">
            <v>Bogota</v>
          </cell>
          <cell r="AB404" t="str">
            <v>Dorado</v>
          </cell>
          <cell r="AC404" t="str">
            <v>Diagonal 82 Bis # 85 - 90</v>
          </cell>
          <cell r="AD404"/>
          <cell r="AE404">
            <v>26190</v>
          </cell>
          <cell r="AF404">
            <v>22000</v>
          </cell>
          <cell r="AG404">
            <v>18</v>
          </cell>
          <cell r="AH404">
            <v>35</v>
          </cell>
          <cell r="AI404">
            <v>30000</v>
          </cell>
          <cell r="AJ404">
            <v>27000</v>
          </cell>
          <cell r="AK404">
            <v>-5000</v>
          </cell>
          <cell r="AL404">
            <v>26190</v>
          </cell>
        </row>
        <row r="405">
          <cell r="T405" t="str">
            <v>Blanca Nieves Avila Santana</v>
          </cell>
          <cell r="U405" t="str">
            <v>Calle 1 # 70 a 65  INT 191</v>
          </cell>
          <cell r="V405" t="str">
            <v>hipo techo occidental</v>
          </cell>
          <cell r="W405" t="str">
            <v>LEJANO</v>
          </cell>
          <cell r="X405" t="str">
            <v>311-8364620</v>
          </cell>
          <cell r="Y405" t="str">
            <v>CENTRO</v>
          </cell>
          <cell r="Z405" t="str">
            <v>hipo techo occidental</v>
          </cell>
          <cell r="AA405" t="str">
            <v>BOGOTÁ</v>
          </cell>
          <cell r="AB405" t="str">
            <v>Occidente</v>
          </cell>
          <cell r="AC405" t="str">
            <v>Calle 5C No. 71C - 29 Torre B Piso 2 
Edificio Servicios Ambulatorios</v>
          </cell>
          <cell r="AD405"/>
          <cell r="AE405">
            <v>17460</v>
          </cell>
          <cell r="AF405">
            <v>12000</v>
          </cell>
          <cell r="AG405">
            <v>17</v>
          </cell>
          <cell r="AH405">
            <v>32</v>
          </cell>
          <cell r="AI405">
            <v>20000</v>
          </cell>
          <cell r="AJ405">
            <v>18000</v>
          </cell>
          <cell r="AK405">
            <v>-6000</v>
          </cell>
          <cell r="AL405">
            <v>17460</v>
          </cell>
        </row>
        <row r="406">
          <cell r="T406" t="str">
            <v>BOLAÑOS LOPEZ MARIA ALICIA</v>
          </cell>
          <cell r="U406" t="str">
            <v>CRA 14B#161-54</v>
          </cell>
          <cell r="V406" t="str">
            <v>pradera nte</v>
          </cell>
          <cell r="W406" t="str">
            <v>LEJANO</v>
          </cell>
          <cell r="X406">
            <v>3043642304</v>
          </cell>
          <cell r="Y406" t="str">
            <v>CENTRO</v>
          </cell>
          <cell r="Z406" t="str">
            <v>pradera nte</v>
          </cell>
          <cell r="AA406" t="str">
            <v>Bogota</v>
          </cell>
          <cell r="AB406" t="str">
            <v>Dorado</v>
          </cell>
          <cell r="AC406" t="str">
            <v>Diagonal 82 Bis # 85 - 90</v>
          </cell>
          <cell r="AD406"/>
          <cell r="AE406">
            <v>26190</v>
          </cell>
          <cell r="AF406">
            <v>22000</v>
          </cell>
          <cell r="AG406">
            <v>15</v>
          </cell>
          <cell r="AH406">
            <v>30</v>
          </cell>
          <cell r="AI406">
            <v>30000</v>
          </cell>
          <cell r="AJ406">
            <v>27000</v>
          </cell>
          <cell r="AK406">
            <v>-5000</v>
          </cell>
          <cell r="AL406">
            <v>26190</v>
          </cell>
        </row>
        <row r="407">
          <cell r="T407" t="str">
            <v>CALDERON ZULETEA ANDREA CAROLINA</v>
          </cell>
          <cell r="U407" t="str">
            <v>TRANV 70 N° 67 B - 80 SUR MADELENA</v>
          </cell>
          <cell r="V407" t="str">
            <v>madelena</v>
          </cell>
          <cell r="W407" t="str">
            <v>LEJANO AUTOPISTA SUR</v>
          </cell>
          <cell r="X407">
            <v>3135113960</v>
          </cell>
          <cell r="Y407" t="str">
            <v>CENTRO</v>
          </cell>
          <cell r="Z407" t="str">
            <v>madelena</v>
          </cell>
          <cell r="AA407" t="str">
            <v>Bogota</v>
          </cell>
          <cell r="AB407" t="str">
            <v>Dorado</v>
          </cell>
          <cell r="AC407" t="str">
            <v>Diagonal 82 Bis # 85 - 90</v>
          </cell>
          <cell r="AD407"/>
          <cell r="AE407">
            <v>26190</v>
          </cell>
          <cell r="AF407">
            <v>22000</v>
          </cell>
          <cell r="AG407">
            <v>18</v>
          </cell>
          <cell r="AH407">
            <v>35</v>
          </cell>
          <cell r="AI407">
            <v>30000</v>
          </cell>
          <cell r="AJ407">
            <v>27000</v>
          </cell>
          <cell r="AK407">
            <v>-5000</v>
          </cell>
          <cell r="AL407">
            <v>26190</v>
          </cell>
        </row>
        <row r="408">
          <cell r="T408" t="str">
            <v>CARMEN M CONTRERAS</v>
          </cell>
          <cell r="U408" t="str">
            <v>DG 73B SUR # 27J PARAISO</v>
          </cell>
          <cell r="V408" t="str">
            <v>paraiso</v>
          </cell>
          <cell r="W408" t="str">
            <v>LEJANO PERIFERIA DE BOGOTA SUR OCCIDENTE</v>
          </cell>
          <cell r="X408">
            <v>3003021919</v>
          </cell>
          <cell r="Y408" t="str">
            <v>CENTRO</v>
          </cell>
          <cell r="Z408" t="str">
            <v>paraiso</v>
          </cell>
          <cell r="AA408" t="str">
            <v>Bogota</v>
          </cell>
          <cell r="AB408" t="str">
            <v>San Jose</v>
          </cell>
          <cell r="AC408" t="str">
            <v>Cll. 10 # 18-75 piso 3</v>
          </cell>
          <cell r="AD408"/>
          <cell r="AE408">
            <v>26190</v>
          </cell>
          <cell r="AF408">
            <v>22000</v>
          </cell>
          <cell r="AG408">
            <v>20</v>
          </cell>
          <cell r="AH408">
            <v>38</v>
          </cell>
          <cell r="AI408">
            <v>30000</v>
          </cell>
          <cell r="AJ408">
            <v>27000</v>
          </cell>
          <cell r="AK408">
            <v>-5000</v>
          </cell>
          <cell r="AL408">
            <v>26190</v>
          </cell>
        </row>
        <row r="409">
          <cell r="T409" t="str">
            <v>CAROLINA CALDERON</v>
          </cell>
          <cell r="U409" t="str">
            <v>TRANSVERSAL  94D # 38-89  - QUIRIGUA</v>
          </cell>
          <cell r="V409" t="str">
            <v>Quirigua</v>
          </cell>
          <cell r="W409" t="str">
            <v>LEJANO</v>
          </cell>
          <cell r="X409">
            <v>3212020933</v>
          </cell>
          <cell r="Y409" t="str">
            <v>CENTRO</v>
          </cell>
          <cell r="Z409" t="str">
            <v>Quirigua</v>
          </cell>
          <cell r="AA409" t="str">
            <v>Bogota</v>
          </cell>
          <cell r="AB409" t="str">
            <v>San Jose</v>
          </cell>
          <cell r="AC409" t="str">
            <v>Cll. 10 # 18-75 piso 3</v>
          </cell>
          <cell r="AD409"/>
          <cell r="AE409">
            <v>17460</v>
          </cell>
          <cell r="AF409">
            <v>10000</v>
          </cell>
          <cell r="AG409">
            <v>16</v>
          </cell>
          <cell r="AH409">
            <v>30</v>
          </cell>
          <cell r="AI409">
            <v>20000</v>
          </cell>
          <cell r="AJ409">
            <v>18000</v>
          </cell>
          <cell r="AK409">
            <v>-8000</v>
          </cell>
          <cell r="AL409">
            <v>17460</v>
          </cell>
        </row>
        <row r="410">
          <cell r="T410" t="str">
            <v>CHIARI MARTINEZ ELSA CRISTINA</v>
          </cell>
          <cell r="U410" t="str">
            <v>CRA 118 #89B-51 CIUDADELA COLSUB</v>
          </cell>
          <cell r="V410" t="str">
            <v>ciudadela colsub</v>
          </cell>
          <cell r="W410" t="str">
            <v>CERCANO</v>
          </cell>
          <cell r="X410">
            <v>3115255380</v>
          </cell>
          <cell r="Y410" t="str">
            <v>CENTRO</v>
          </cell>
          <cell r="Z410" t="str">
            <v>ciudadela colsub</v>
          </cell>
          <cell r="AA410" t="str">
            <v>Bogota</v>
          </cell>
          <cell r="AB410" t="str">
            <v>Dorado</v>
          </cell>
          <cell r="AC410" t="str">
            <v>Diagonal 82 Bis # 85 - 90</v>
          </cell>
          <cell r="AD410"/>
          <cell r="AE410">
            <v>13095</v>
          </cell>
          <cell r="AF410">
            <v>8000</v>
          </cell>
          <cell r="AG410">
            <v>6</v>
          </cell>
          <cell r="AH410">
            <v>17</v>
          </cell>
          <cell r="AI410">
            <v>15000</v>
          </cell>
          <cell r="AJ410">
            <v>13500</v>
          </cell>
          <cell r="AK410">
            <v>-5500</v>
          </cell>
          <cell r="AL410">
            <v>13095</v>
          </cell>
        </row>
        <row r="411">
          <cell r="T411" t="str">
            <v>CINDY CONDE</v>
          </cell>
          <cell r="U411" t="str">
            <v xml:space="preserve">CALLE 57 R SUR # 63 - 45                      </v>
          </cell>
          <cell r="V411" t="str">
            <v>Portal de madelena</v>
          </cell>
          <cell r="W411" t="str">
            <v>LEJANO</v>
          </cell>
          <cell r="X411">
            <v>3133148475</v>
          </cell>
          <cell r="Y411" t="str">
            <v>CENTRO</v>
          </cell>
          <cell r="Z411" t="str">
            <v>Portal de madelena</v>
          </cell>
          <cell r="AA411" t="str">
            <v>Bogota</v>
          </cell>
          <cell r="AB411" t="str">
            <v>San Jose</v>
          </cell>
          <cell r="AC411" t="str">
            <v>Cll. 10 # 18-75 piso 3</v>
          </cell>
          <cell r="AD411"/>
          <cell r="AE411">
            <v>17460</v>
          </cell>
          <cell r="AF411">
            <v>10000</v>
          </cell>
          <cell r="AG411">
            <v>14</v>
          </cell>
          <cell r="AH411">
            <v>27</v>
          </cell>
          <cell r="AI411">
            <v>20000</v>
          </cell>
          <cell r="AJ411">
            <v>18000</v>
          </cell>
          <cell r="AK411">
            <v>-8000</v>
          </cell>
          <cell r="AL411">
            <v>17460</v>
          </cell>
        </row>
        <row r="412">
          <cell r="T412" t="str">
            <v>Daniela Hernandez</v>
          </cell>
          <cell r="U412" t="str">
            <v>CRA 96 B #19-60 PORTON DE HAYUELOS 2</v>
          </cell>
          <cell r="V412" t="str">
            <v>Hayuelos</v>
          </cell>
          <cell r="W412" t="str">
            <v>LEJANO</v>
          </cell>
          <cell r="X412" t="e">
            <v>#REF!</v>
          </cell>
          <cell r="Y412" t="str">
            <v>CENTRO</v>
          </cell>
          <cell r="Z412" t="str">
            <v>Hayuelos</v>
          </cell>
          <cell r="AA412" t="str">
            <v>Bogota</v>
          </cell>
          <cell r="AB412" t="str">
            <v>Dorado</v>
          </cell>
          <cell r="AC412" t="str">
            <v>Diagonal 82 Bis # 85 - 90</v>
          </cell>
          <cell r="AD412"/>
          <cell r="AE412">
            <v>17460</v>
          </cell>
          <cell r="AF412">
            <v>15000</v>
          </cell>
          <cell r="AG412">
            <v>11</v>
          </cell>
          <cell r="AH412">
            <v>22</v>
          </cell>
          <cell r="AI412" t="e">
            <v>#N/A</v>
          </cell>
          <cell r="AJ412">
            <v>18000</v>
          </cell>
          <cell r="AK412">
            <v>-3000</v>
          </cell>
          <cell r="AL412">
            <v>17460</v>
          </cell>
        </row>
        <row r="413">
          <cell r="T413" t="str">
            <v>DEICY HUERFANO</v>
          </cell>
          <cell r="U413" t="str">
            <v>DIAGONAL 51A # 11 - 15 SUR ESTE-santa rita sur oriente libertadores</v>
          </cell>
          <cell r="V413" t="str">
            <v>santa rita sur oriental libertadores</v>
          </cell>
          <cell r="W413" t="str">
            <v>LEJANO PERIFERIA DE BOGOTA SUR ORIENTE</v>
          </cell>
          <cell r="X413">
            <v>3144040532</v>
          </cell>
          <cell r="Y413" t="str">
            <v>CENTRO</v>
          </cell>
          <cell r="Z413" t="str">
            <v>santa rita sur oriental libertadores</v>
          </cell>
          <cell r="AA413" t="str">
            <v>Bogota</v>
          </cell>
          <cell r="AB413" t="str">
            <v>San Jose</v>
          </cell>
          <cell r="AC413" t="str">
            <v>Cll. 10 # 18-75 piso 3</v>
          </cell>
          <cell r="AD413"/>
          <cell r="AE413">
            <v>17460</v>
          </cell>
          <cell r="AF413">
            <v>10000</v>
          </cell>
          <cell r="AG413">
            <v>10</v>
          </cell>
          <cell r="AH413">
            <v>20</v>
          </cell>
          <cell r="AI413">
            <v>20000</v>
          </cell>
          <cell r="AJ413">
            <v>18000</v>
          </cell>
          <cell r="AK413">
            <v>-8000</v>
          </cell>
          <cell r="AL413">
            <v>17460</v>
          </cell>
        </row>
        <row r="414">
          <cell r="T414" t="str">
            <v>DIANA AMADO</v>
          </cell>
          <cell r="U414" t="str">
            <v>CARRERA 50 A # 22 - 26 SUR  - CIUDAD  MONTES PUENTE ARANDA</v>
          </cell>
          <cell r="V414" t="str">
            <v>ciudad montes</v>
          </cell>
          <cell r="W414" t="str">
            <v>CERCANO</v>
          </cell>
          <cell r="X414">
            <v>3505807676</v>
          </cell>
          <cell r="Y414" t="str">
            <v>CENTRO</v>
          </cell>
          <cell r="Z414" t="str">
            <v>ciudad montes</v>
          </cell>
          <cell r="AA414" t="str">
            <v>Bogota</v>
          </cell>
          <cell r="AB414" t="str">
            <v>San Jose</v>
          </cell>
          <cell r="AC414" t="str">
            <v>Cll. 10 # 18-75 piso 3</v>
          </cell>
          <cell r="AD414"/>
          <cell r="AE414">
            <v>13095</v>
          </cell>
          <cell r="AF414">
            <v>10000</v>
          </cell>
          <cell r="AG414">
            <v>6</v>
          </cell>
          <cell r="AH414">
            <v>17</v>
          </cell>
          <cell r="AI414">
            <v>15000</v>
          </cell>
          <cell r="AJ414">
            <v>13500</v>
          </cell>
          <cell r="AK414">
            <v>-3500</v>
          </cell>
          <cell r="AL414">
            <v>13095</v>
          </cell>
        </row>
        <row r="415">
          <cell r="T415" t="str">
            <v>DIANA ARCOS</v>
          </cell>
          <cell r="U415" t="str">
            <v xml:space="preserve">CARRERA 35 # 35 - 27         Soacha ciudad verde   </v>
          </cell>
          <cell r="V415" t="str">
            <v>CUIDAD VERDE SOACHA</v>
          </cell>
          <cell r="W415" t="str">
            <v>INTERMUNICIPAL</v>
          </cell>
          <cell r="X415" t="e">
            <v>#REF!</v>
          </cell>
          <cell r="Y415" t="str">
            <v>CENTRO</v>
          </cell>
          <cell r="Z415" t="str">
            <v>CUIDAD VERDE SOACHA</v>
          </cell>
          <cell r="AA415" t="str">
            <v>Bogota</v>
          </cell>
          <cell r="AB415" t="str">
            <v>San Jose</v>
          </cell>
          <cell r="AC415" t="str">
            <v>Cll. 10 # 18-75 piso 3</v>
          </cell>
          <cell r="AD415"/>
          <cell r="AE415">
            <v>61110</v>
          </cell>
          <cell r="AF415">
            <v>50000</v>
          </cell>
          <cell r="AG415">
            <v>21</v>
          </cell>
          <cell r="AH415">
            <v>38</v>
          </cell>
          <cell r="AI415" t="e">
            <v>#N/A</v>
          </cell>
          <cell r="AJ415">
            <v>63000</v>
          </cell>
          <cell r="AK415">
            <v>-13000</v>
          </cell>
          <cell r="AL415">
            <v>61110</v>
          </cell>
        </row>
        <row r="416">
          <cell r="T416" t="str">
            <v>Diana Bohorquez</v>
          </cell>
          <cell r="U416" t="str">
            <v xml:space="preserve">CRA 27 #63A-16 </v>
          </cell>
          <cell r="V416" t="str">
            <v>7 DE AGOSTO</v>
          </cell>
          <cell r="W416" t="str">
            <v>LEJANO</v>
          </cell>
          <cell r="X416" t="e">
            <v>#REF!</v>
          </cell>
          <cell r="Y416" t="str">
            <v>CENTRO</v>
          </cell>
          <cell r="Z416" t="str">
            <v>7 DE AGOSTO</v>
          </cell>
          <cell r="AA416" t="str">
            <v>Bogota</v>
          </cell>
          <cell r="AB416" t="str">
            <v>Dorado</v>
          </cell>
          <cell r="AC416" t="str">
            <v>Diagonal 82 Bis # 85 - 90</v>
          </cell>
          <cell r="AD416"/>
          <cell r="AE416">
            <v>17460</v>
          </cell>
          <cell r="AF416">
            <v>15000</v>
          </cell>
          <cell r="AG416">
            <v>10</v>
          </cell>
          <cell r="AH416">
            <v>18</v>
          </cell>
          <cell r="AI416" t="e">
            <v>#N/A</v>
          </cell>
          <cell r="AJ416">
            <v>18000</v>
          </cell>
          <cell r="AK416">
            <v>-3000</v>
          </cell>
          <cell r="AL416">
            <v>17460</v>
          </cell>
        </row>
        <row r="417">
          <cell r="T417" t="str">
            <v>Diana Marcela Melon Fonseca</v>
          </cell>
          <cell r="U417" t="str">
            <v>cra 85 L No. 63 B 42</v>
          </cell>
          <cell r="V417" t="str">
            <v>villaluz</v>
          </cell>
          <cell r="W417" t="str">
            <v>LEJANO</v>
          </cell>
          <cell r="X417">
            <v>3123683699</v>
          </cell>
          <cell r="Y417" t="str">
            <v>CENTRO</v>
          </cell>
          <cell r="Z417" t="str">
            <v>villaluz</v>
          </cell>
          <cell r="AA417" t="str">
            <v>BOGOTÁ</v>
          </cell>
          <cell r="AB417" t="str">
            <v>Occidente</v>
          </cell>
          <cell r="AC417" t="str">
            <v>Calle 5C No. 71C - 29 Torre B Piso 2 
Edificio Servicios Ambulatorios</v>
          </cell>
          <cell r="AD417"/>
          <cell r="AE417">
            <v>17460</v>
          </cell>
          <cell r="AF417">
            <v>12000</v>
          </cell>
          <cell r="AG417">
            <v>12</v>
          </cell>
          <cell r="AH417">
            <v>20</v>
          </cell>
          <cell r="AI417">
            <v>20000</v>
          </cell>
          <cell r="AJ417">
            <v>18000</v>
          </cell>
          <cell r="AK417">
            <v>-6000</v>
          </cell>
          <cell r="AL417">
            <v>17460</v>
          </cell>
        </row>
        <row r="418">
          <cell r="T418" t="str">
            <v>Diana Mayerli Florez Hernandez cll 5A # 62-28</v>
          </cell>
          <cell r="U418" t="str">
            <v>Calle 13 Bis Sur # 12 A – 04, Conjunto multifamiliar, Bloque D Apto 302, Barrio Ciudad Jardín Sur</v>
          </cell>
          <cell r="V418" t="str">
            <v>Ciudad Jardin sur</v>
          </cell>
          <cell r="W418" t="str">
            <v>LEJANO</v>
          </cell>
          <cell r="X418" t="e">
            <v>#REF!</v>
          </cell>
          <cell r="Y418" t="str">
            <v>CENTRO</v>
          </cell>
          <cell r="Z418" t="str">
            <v>Ciudad Jardin sur</v>
          </cell>
          <cell r="AA418" t="str">
            <v>Bogota</v>
          </cell>
          <cell r="AB418" t="str">
            <v>Fmexpress Bogotá</v>
          </cell>
          <cell r="AC418" t="str">
            <v>BOGOTA CLL 161 # 7G-36</v>
          </cell>
          <cell r="AD418"/>
          <cell r="AE418">
            <v>26675</v>
          </cell>
          <cell r="AF418">
            <v>22000</v>
          </cell>
          <cell r="AG418">
            <v>27</v>
          </cell>
          <cell r="AH418">
            <v>38</v>
          </cell>
          <cell r="AI418" t="e">
            <v>#N/A</v>
          </cell>
          <cell r="AJ418">
            <v>27500</v>
          </cell>
          <cell r="AK418">
            <v>-5500</v>
          </cell>
          <cell r="AL418">
            <v>26675</v>
          </cell>
        </row>
        <row r="419">
          <cell r="T419" t="str">
            <v>DRA Diana Melisa Molina</v>
          </cell>
          <cell r="U419" t="str">
            <v>cl22 b #58-60 apto 214</v>
          </cell>
          <cell r="V419" t="str">
            <v>salitre</v>
          </cell>
          <cell r="W419" t="str">
            <v>LEJANO</v>
          </cell>
          <cell r="X419">
            <v>3192522758</v>
          </cell>
          <cell r="Y419" t="str">
            <v>CENTRO</v>
          </cell>
          <cell r="Z419" t="str">
            <v>salitre</v>
          </cell>
          <cell r="AA419" t="str">
            <v>BOGOTÁ</v>
          </cell>
          <cell r="AB419" t="str">
            <v>Occidente</v>
          </cell>
          <cell r="AC419" t="str">
            <v>Calle 5C No. 71C - 29 Torre B Piso 2 
Edificio Servicios Ambulatorios</v>
          </cell>
          <cell r="AD419"/>
          <cell r="AE419">
            <v>17460</v>
          </cell>
          <cell r="AF419">
            <v>12000</v>
          </cell>
          <cell r="AG419">
            <v>7</v>
          </cell>
          <cell r="AH419">
            <v>17</v>
          </cell>
          <cell r="AI419">
            <v>20000</v>
          </cell>
          <cell r="AJ419">
            <v>18000</v>
          </cell>
          <cell r="AK419">
            <v>-6000</v>
          </cell>
          <cell r="AL419">
            <v>17460</v>
          </cell>
        </row>
        <row r="420">
          <cell r="T420" t="str">
            <v>Dr David Buitrago</v>
          </cell>
          <cell r="U420" t="str">
            <v>Carrera 71 B nro 72 B -07</v>
          </cell>
          <cell r="V420" t="str">
            <v>bonanza</v>
          </cell>
          <cell r="W420" t="str">
            <v>CERCANO</v>
          </cell>
          <cell r="X420">
            <v>3508257414</v>
          </cell>
          <cell r="Y420" t="str">
            <v>CENTRO</v>
          </cell>
          <cell r="Z420" t="str">
            <v>bonanza</v>
          </cell>
          <cell r="AA420" t="str">
            <v>Bogota</v>
          </cell>
          <cell r="AB420" t="str">
            <v>Cruz Roja</v>
          </cell>
          <cell r="AC420" t="str">
            <v>Av. Kra  68 # 68 B-31 Bloque 1 Piso 1</v>
          </cell>
          <cell r="AD420"/>
          <cell r="AE420">
            <v>13095</v>
          </cell>
          <cell r="AF420">
            <v>8000</v>
          </cell>
          <cell r="AG420">
            <v>4</v>
          </cell>
          <cell r="AH420">
            <v>10</v>
          </cell>
          <cell r="AI420">
            <v>15000</v>
          </cell>
          <cell r="AJ420">
            <v>13500</v>
          </cell>
          <cell r="AK420">
            <v>-5500</v>
          </cell>
          <cell r="AL420">
            <v>13095</v>
          </cell>
        </row>
        <row r="421">
          <cell r="T421" t="str">
            <v>Dra Eliana Brurgos</v>
          </cell>
          <cell r="U421" t="str">
            <v xml:space="preserve">Calle 75 B # 78 - 66 </v>
          </cell>
          <cell r="V421" t="str">
            <v>no refiere</v>
          </cell>
          <cell r="W421" t="str">
            <v>CERCANO</v>
          </cell>
          <cell r="X421">
            <v>3168215512</v>
          </cell>
          <cell r="Y421" t="str">
            <v>CENTRO</v>
          </cell>
          <cell r="Z421" t="str">
            <v>no refiere</v>
          </cell>
          <cell r="AA421" t="str">
            <v>Bogota</v>
          </cell>
          <cell r="AB421" t="str">
            <v>Cruz Roja</v>
          </cell>
          <cell r="AC421" t="str">
            <v>Av. Kra  68 # 68 B-31 Bloque 1 Piso 1</v>
          </cell>
          <cell r="AD421"/>
          <cell r="AE421">
            <v>13095</v>
          </cell>
          <cell r="AF421">
            <v>8000</v>
          </cell>
          <cell r="AG421">
            <v>6</v>
          </cell>
          <cell r="AH421">
            <v>13</v>
          </cell>
          <cell r="AI421">
            <v>15000</v>
          </cell>
          <cell r="AJ421">
            <v>13500</v>
          </cell>
          <cell r="AK421">
            <v>-5500</v>
          </cell>
          <cell r="AL421">
            <v>13095</v>
          </cell>
        </row>
        <row r="422">
          <cell r="T422" t="str">
            <v>Elver Pinzon Barajas</v>
          </cell>
          <cell r="U422" t="str">
            <v>Cra 4p N° 53-37 Sur DANUBIO AZUL</v>
          </cell>
          <cell r="V422" t="str">
            <v>DANUBIO AZUL</v>
          </cell>
          <cell r="W422" t="str">
            <v>LEJANO PERIFERIA AL SUR ORIENTE</v>
          </cell>
          <cell r="X422">
            <v>3218295455</v>
          </cell>
          <cell r="Y422" t="str">
            <v>CENTRO</v>
          </cell>
          <cell r="Z422" t="str">
            <v>DANUBIO AZUL</v>
          </cell>
          <cell r="AA422" t="str">
            <v>Bogota</v>
          </cell>
          <cell r="AB422" t="str">
            <v>San Jose</v>
          </cell>
          <cell r="AC422" t="str">
            <v>Cll. 10 # 18-75 piso 3</v>
          </cell>
          <cell r="AD422"/>
          <cell r="AE422">
            <v>17460</v>
          </cell>
          <cell r="AF422">
            <v>10000</v>
          </cell>
          <cell r="AG422">
            <v>13</v>
          </cell>
          <cell r="AH422">
            <v>25</v>
          </cell>
          <cell r="AI422">
            <v>20000</v>
          </cell>
          <cell r="AJ422">
            <v>18000</v>
          </cell>
          <cell r="AK422">
            <v>-8000</v>
          </cell>
          <cell r="AL422">
            <v>17460</v>
          </cell>
        </row>
        <row r="423">
          <cell r="T423" t="str">
            <v>ERIKA CEPEDA</v>
          </cell>
          <cell r="U423" t="str">
            <v>CARRERA 3RA # 45A -14 - nuevo colon entrada quintanares</v>
          </cell>
          <cell r="V423" t="str">
            <v>NUEVO COLON ENTRADA QUINTANARES</v>
          </cell>
          <cell r="W423" t="str">
            <v>INTERMUNICIPAL</v>
          </cell>
          <cell r="X423">
            <v>3134798160</v>
          </cell>
          <cell r="Y423" t="str">
            <v>CENTRO</v>
          </cell>
          <cell r="Z423" t="str">
            <v>NUEVO COLON ENTRADA QUINTANARES</v>
          </cell>
          <cell r="AA423" t="str">
            <v>Bogota</v>
          </cell>
          <cell r="AB423" t="str">
            <v>San Jose</v>
          </cell>
          <cell r="AC423" t="str">
            <v>Cll. 10 # 18-75 piso 3</v>
          </cell>
          <cell r="AD423"/>
          <cell r="AE423">
            <v>61110</v>
          </cell>
          <cell r="AF423">
            <v>50000</v>
          </cell>
          <cell r="AG423">
            <v>20</v>
          </cell>
          <cell r="AH423">
            <v>38</v>
          </cell>
          <cell r="AI423">
            <v>70000</v>
          </cell>
          <cell r="AJ423">
            <v>63000</v>
          </cell>
          <cell r="AK423">
            <v>-13000</v>
          </cell>
          <cell r="AL423">
            <v>61110</v>
          </cell>
        </row>
        <row r="424">
          <cell r="T424" t="str">
            <v>Estefani Mendoza</v>
          </cell>
          <cell r="U424" t="str">
            <v>calle 57c sur # 77 i - 90</v>
          </cell>
          <cell r="V424" t="str">
            <v>Nueva roma</v>
          </cell>
          <cell r="W424" t="str">
            <v>LEJANO</v>
          </cell>
          <cell r="X424" t="e">
            <v>#REF!</v>
          </cell>
          <cell r="Y424" t="str">
            <v>CENTRO</v>
          </cell>
          <cell r="Z424" t="str">
            <v>Nueva roma</v>
          </cell>
          <cell r="AA424" t="str">
            <v>Bogota</v>
          </cell>
          <cell r="AB424" t="str">
            <v>Cruz Roja</v>
          </cell>
          <cell r="AC424" t="str">
            <v>Av. Kra  68 # 68 B-31 Bloque 1 Piso 1</v>
          </cell>
          <cell r="AD424"/>
          <cell r="AE424">
            <v>17460</v>
          </cell>
          <cell r="AF424">
            <v>13000</v>
          </cell>
          <cell r="AG424">
            <v>29</v>
          </cell>
          <cell r="AH424">
            <v>16</v>
          </cell>
          <cell r="AI424" t="e">
            <v>#N/A</v>
          </cell>
          <cell r="AJ424">
            <v>18000</v>
          </cell>
          <cell r="AK424">
            <v>-5000</v>
          </cell>
          <cell r="AL424">
            <v>17460</v>
          </cell>
        </row>
        <row r="425">
          <cell r="T425" t="str">
            <v>FAJARDO TIRIATH MARIA SOLEDAD</v>
          </cell>
          <cell r="U425" t="str">
            <v>CALLE 74#110 A-04</v>
          </cell>
          <cell r="V425" t="str">
            <v>GARCES NAVAS</v>
          </cell>
          <cell r="W425" t="str">
            <v>CERCANO</v>
          </cell>
          <cell r="X425">
            <v>3212425960</v>
          </cell>
          <cell r="Y425" t="str">
            <v>CENTRO</v>
          </cell>
          <cell r="Z425" t="str">
            <v>GARCES NAVAS</v>
          </cell>
          <cell r="AA425" t="str">
            <v>Bogota</v>
          </cell>
          <cell r="AB425" t="str">
            <v>Dorado</v>
          </cell>
          <cell r="AC425" t="str">
            <v>Diagonal 82 Bis # 85 - 90</v>
          </cell>
          <cell r="AD425"/>
          <cell r="AE425">
            <v>13095</v>
          </cell>
          <cell r="AF425">
            <v>8000</v>
          </cell>
          <cell r="AG425">
            <v>8</v>
          </cell>
          <cell r="AH425">
            <v>19</v>
          </cell>
          <cell r="AI425">
            <v>15000</v>
          </cell>
          <cell r="AJ425">
            <v>13500</v>
          </cell>
          <cell r="AK425">
            <v>-5500</v>
          </cell>
          <cell r="AL425">
            <v>13095</v>
          </cell>
        </row>
        <row r="426">
          <cell r="T426" t="str">
            <v>FERNANDO BERMUDEZ</v>
          </cell>
          <cell r="U426" t="str">
            <v xml:space="preserve">CARRERA 99 BIS # 14 - 05  - fontibon        </v>
          </cell>
          <cell r="V426" t="str">
            <v>FONTIBON</v>
          </cell>
          <cell r="W426" t="str">
            <v>LEJANO</v>
          </cell>
          <cell r="X426">
            <v>3115643713</v>
          </cell>
          <cell r="Y426" t="str">
            <v>CENTRO</v>
          </cell>
          <cell r="Z426" t="str">
            <v>FONTIBON</v>
          </cell>
          <cell r="AA426" t="str">
            <v>Bogota</v>
          </cell>
          <cell r="AB426" t="str">
            <v>San Jose</v>
          </cell>
          <cell r="AC426" t="str">
            <v>Cll. 10 # 18-75 piso 3</v>
          </cell>
          <cell r="AD426"/>
          <cell r="AE426">
            <v>17460</v>
          </cell>
          <cell r="AF426">
            <v>10000</v>
          </cell>
          <cell r="AG426">
            <v>18</v>
          </cell>
          <cell r="AH426">
            <v>35</v>
          </cell>
          <cell r="AI426">
            <v>20000</v>
          </cell>
          <cell r="AJ426">
            <v>18000</v>
          </cell>
          <cell r="AK426">
            <v>-8000</v>
          </cell>
          <cell r="AL426">
            <v>17460</v>
          </cell>
        </row>
        <row r="427">
          <cell r="T427" t="str">
            <v>Ginna Marcela Corredor</v>
          </cell>
          <cell r="U427" t="str">
            <v>KR 111 A # 148-88 ,Barrio Suba Conjunto Residencial Caprini 2 apto 806, torre 2 </v>
          </cell>
          <cell r="V427" t="str">
            <v>SUBA</v>
          </cell>
          <cell r="W427" t="str">
            <v>LEJANO</v>
          </cell>
          <cell r="X427" t="str">
            <v>3124699095 - 3166945666</v>
          </cell>
          <cell r="Y427" t="str">
            <v>CENTRO</v>
          </cell>
          <cell r="Z427" t="str">
            <v>SUBA</v>
          </cell>
          <cell r="AA427" t="str">
            <v>Bogota</v>
          </cell>
          <cell r="AB427" t="str">
            <v>Fmexpress Bogotá</v>
          </cell>
          <cell r="AC427" t="str">
            <v>BOGOTA CLL 161 # 7G-36</v>
          </cell>
          <cell r="AD427"/>
          <cell r="AE427">
            <v>26190</v>
          </cell>
          <cell r="AF427">
            <v>22000</v>
          </cell>
          <cell r="AG427">
            <v>19</v>
          </cell>
          <cell r="AH427">
            <v>35</v>
          </cell>
          <cell r="AI427">
            <v>30000</v>
          </cell>
          <cell r="AJ427">
            <v>27000</v>
          </cell>
          <cell r="AK427">
            <v>-5000</v>
          </cell>
          <cell r="AL427">
            <v>26190</v>
          </cell>
        </row>
        <row r="428">
          <cell r="T428" t="str">
            <v>HEIDY JOHANA AMAYA</v>
          </cell>
          <cell r="U428" t="str">
            <v>CARRERA 11 ESTE # 22 A 41 Soacha</v>
          </cell>
          <cell r="V428" t="str">
            <v>Sohacha-Ricairte</v>
          </cell>
          <cell r="W428" t="str">
            <v>INTERMUNICIPAL</v>
          </cell>
          <cell r="X428">
            <v>3103180457</v>
          </cell>
          <cell r="Y428" t="str">
            <v>CENTRO</v>
          </cell>
          <cell r="Z428" t="str">
            <v>Sohacha-Ricairte</v>
          </cell>
          <cell r="AA428" t="str">
            <v>Bogota</v>
          </cell>
          <cell r="AB428" t="str">
            <v>San Jose</v>
          </cell>
          <cell r="AC428" t="str">
            <v>Cll. 10 # 18-75 piso 3</v>
          </cell>
          <cell r="AD428"/>
          <cell r="AE428">
            <v>61110</v>
          </cell>
          <cell r="AF428">
            <v>50000</v>
          </cell>
          <cell r="AG428">
            <v>20</v>
          </cell>
          <cell r="AH428">
            <v>38</v>
          </cell>
          <cell r="AI428">
            <v>70000</v>
          </cell>
          <cell r="AJ428">
            <v>63000</v>
          </cell>
          <cell r="AK428">
            <v>-13000</v>
          </cell>
          <cell r="AL428">
            <v>61110</v>
          </cell>
        </row>
        <row r="429">
          <cell r="T429" t="str">
            <v>JANNET ESPINOSA</v>
          </cell>
          <cell r="U429" t="str">
            <v>TRANSVERSAL 34A BIS # 40A - 10 SUR -villa mayor la nueva</v>
          </cell>
          <cell r="V429" t="str">
            <v>VILLA MAYOR LA NUEVA</v>
          </cell>
          <cell r="W429" t="str">
            <v>LEJANO</v>
          </cell>
          <cell r="X429">
            <v>3112202571</v>
          </cell>
          <cell r="Y429" t="str">
            <v>CENTRO</v>
          </cell>
          <cell r="Z429" t="str">
            <v>VILLA MAYOR LA NUEVA</v>
          </cell>
          <cell r="AA429" t="str">
            <v>Bogota</v>
          </cell>
          <cell r="AB429" t="str">
            <v>San Jose</v>
          </cell>
          <cell r="AC429" t="str">
            <v>Cll. 10 # 18-75 piso 3</v>
          </cell>
          <cell r="AD429"/>
          <cell r="AE429">
            <v>17460</v>
          </cell>
          <cell r="AF429">
            <v>10000</v>
          </cell>
          <cell r="AG429">
            <v>12</v>
          </cell>
          <cell r="AH429">
            <v>25</v>
          </cell>
          <cell r="AI429">
            <v>20000</v>
          </cell>
          <cell r="AJ429">
            <v>18000</v>
          </cell>
          <cell r="AK429">
            <v>-8000</v>
          </cell>
          <cell r="AL429">
            <v>17460</v>
          </cell>
        </row>
        <row r="430">
          <cell r="T430" t="str">
            <v>JENIFER ALARCON</v>
          </cell>
          <cell r="U430" t="str">
            <v>CALLE 20 # 12 -55          Soacha portalegre</v>
          </cell>
          <cell r="V430" t="str">
            <v xml:space="preserve">   SOACHA POTALEGRE</v>
          </cell>
          <cell r="W430" t="str">
            <v>INTERMUNICIPAL</v>
          </cell>
          <cell r="X430">
            <v>3102600712</v>
          </cell>
          <cell r="Y430" t="str">
            <v>CENTRO</v>
          </cell>
          <cell r="Z430" t="str">
            <v xml:space="preserve">   SOACHA POTALEGRE</v>
          </cell>
          <cell r="AA430" t="str">
            <v>Bogota</v>
          </cell>
          <cell r="AB430" t="str">
            <v>San Jose</v>
          </cell>
          <cell r="AC430" t="str">
            <v>Cll. 10 # 18-75 piso 3</v>
          </cell>
          <cell r="AD430"/>
          <cell r="AE430">
            <v>61110</v>
          </cell>
          <cell r="AF430">
            <v>50000</v>
          </cell>
          <cell r="AG430">
            <v>20</v>
          </cell>
          <cell r="AH430">
            <v>38</v>
          </cell>
          <cell r="AI430">
            <v>70000</v>
          </cell>
          <cell r="AJ430">
            <v>63000</v>
          </cell>
          <cell r="AK430">
            <v>-13000</v>
          </cell>
          <cell r="AL430">
            <v>61110</v>
          </cell>
        </row>
        <row r="431">
          <cell r="T431" t="str">
            <v>JHOANNA BETANCOURTH</v>
          </cell>
          <cell r="U431" t="str">
            <v xml:space="preserve">CALLE 38 B # 90D 43 SUR       - fontibon  </v>
          </cell>
          <cell r="V431" t="str">
            <v>rosario fontibon</v>
          </cell>
          <cell r="W431" t="str">
            <v>LEJANO</v>
          </cell>
          <cell r="X431">
            <v>3013906135</v>
          </cell>
          <cell r="Y431" t="str">
            <v>CENTRO</v>
          </cell>
          <cell r="Z431" t="str">
            <v>rosario fontibon</v>
          </cell>
          <cell r="AA431" t="str">
            <v>Bogota</v>
          </cell>
          <cell r="AB431" t="str">
            <v>San Jose</v>
          </cell>
          <cell r="AC431" t="str">
            <v>Cll. 10 # 18-75 piso 3</v>
          </cell>
          <cell r="AD431"/>
          <cell r="AE431">
            <v>17460</v>
          </cell>
          <cell r="AF431">
            <v>10000</v>
          </cell>
          <cell r="AG431">
            <v>13</v>
          </cell>
          <cell r="AH431">
            <v>25</v>
          </cell>
          <cell r="AI431">
            <v>20000</v>
          </cell>
          <cell r="AJ431">
            <v>18000</v>
          </cell>
          <cell r="AK431">
            <v>-8000</v>
          </cell>
          <cell r="AL431">
            <v>17460</v>
          </cell>
        </row>
        <row r="432">
          <cell r="T432" t="str">
            <v>JHOANNA OLIVARES</v>
          </cell>
          <cell r="U432" t="str">
            <v xml:space="preserve">CARRERA 13 # 44 - 34  -chapinero   </v>
          </cell>
          <cell r="V432" t="str">
            <v>CHAPINERO</v>
          </cell>
          <cell r="W432" t="str">
            <v>CERCANO</v>
          </cell>
          <cell r="X432">
            <v>3006764775</v>
          </cell>
          <cell r="Y432" t="str">
            <v>CENTRO</v>
          </cell>
          <cell r="Z432" t="str">
            <v>CHAPINERO</v>
          </cell>
          <cell r="AA432" t="str">
            <v>Bogota</v>
          </cell>
          <cell r="AB432" t="str">
            <v>San Jose</v>
          </cell>
          <cell r="AC432" t="str">
            <v>Cll. 10 # 18-75 piso 3</v>
          </cell>
          <cell r="AD432"/>
          <cell r="AE432">
            <v>13095</v>
          </cell>
          <cell r="AF432">
            <v>10000</v>
          </cell>
          <cell r="AG432">
            <v>6</v>
          </cell>
          <cell r="AH432">
            <v>17</v>
          </cell>
          <cell r="AI432">
            <v>15000</v>
          </cell>
          <cell r="AJ432">
            <v>13500</v>
          </cell>
          <cell r="AK432">
            <v>-3500</v>
          </cell>
          <cell r="AL432">
            <v>13095</v>
          </cell>
        </row>
        <row r="433">
          <cell r="T433" t="str">
            <v>Judy Marcela Murillo Sanchez</v>
          </cell>
          <cell r="U433" t="str">
            <v>Calle 45 Sur N° 72 n 69 Boita</v>
          </cell>
          <cell r="V433" t="str">
            <v>BOITA</v>
          </cell>
          <cell r="W433" t="str">
            <v>LEJANO</v>
          </cell>
          <cell r="X433" t="e">
            <v>#REF!</v>
          </cell>
          <cell r="Y433" t="str">
            <v>CENTRO</v>
          </cell>
          <cell r="Z433" t="str">
            <v>BOITA</v>
          </cell>
          <cell r="AA433" t="str">
            <v>Bogota</v>
          </cell>
          <cell r="AB433" t="str">
            <v>San Jose</v>
          </cell>
          <cell r="AC433" t="str">
            <v>Cll. 10 # 18-75 piso 3</v>
          </cell>
          <cell r="AD433"/>
          <cell r="AE433">
            <v>17460</v>
          </cell>
          <cell r="AF433">
            <v>10000</v>
          </cell>
          <cell r="AG433">
            <v>12</v>
          </cell>
          <cell r="AH433">
            <v>20</v>
          </cell>
          <cell r="AI433" t="e">
            <v>#N/A</v>
          </cell>
          <cell r="AJ433">
            <v>18000</v>
          </cell>
          <cell r="AK433">
            <v>-8000</v>
          </cell>
          <cell r="AL433">
            <v>17460</v>
          </cell>
        </row>
        <row r="434">
          <cell r="T434" t="str">
            <v>Karol Tarazona</v>
          </cell>
          <cell r="U434" t="str">
            <v>Calle 73 # 69 K 08</v>
          </cell>
          <cell r="V434" t="str">
            <v>las ferias</v>
          </cell>
          <cell r="W434" t="str">
            <v>CERCANO</v>
          </cell>
          <cell r="X434">
            <v>3208619760</v>
          </cell>
          <cell r="Y434" t="str">
            <v>CENTRO</v>
          </cell>
          <cell r="Z434" t="str">
            <v>las ferias</v>
          </cell>
          <cell r="AA434" t="str">
            <v>Bogota</v>
          </cell>
          <cell r="AB434" t="str">
            <v>Cruz Roja</v>
          </cell>
          <cell r="AC434" t="str">
            <v>Av. Kra  68 # 68 B-31 Bloque 1 Piso 1</v>
          </cell>
          <cell r="AD434"/>
          <cell r="AE434">
            <v>13095</v>
          </cell>
          <cell r="AF434">
            <v>8000</v>
          </cell>
          <cell r="AG434">
            <v>4</v>
          </cell>
          <cell r="AH434">
            <v>9</v>
          </cell>
          <cell r="AI434">
            <v>15000</v>
          </cell>
          <cell r="AJ434">
            <v>13500</v>
          </cell>
          <cell r="AK434">
            <v>-5500</v>
          </cell>
          <cell r="AL434">
            <v>13095</v>
          </cell>
        </row>
        <row r="435">
          <cell r="T435" t="str">
            <v>KATHERINE PRADILLA</v>
          </cell>
          <cell r="U435" t="str">
            <v xml:space="preserve">CARRERA 77 # 19-87 -la felicidad          </v>
          </cell>
          <cell r="V435" t="str">
            <v>la felicidad</v>
          </cell>
          <cell r="W435" t="str">
            <v>LEJANO</v>
          </cell>
          <cell r="X435">
            <v>3133238477</v>
          </cell>
          <cell r="Y435" t="str">
            <v>CENTRO</v>
          </cell>
          <cell r="Z435" t="str">
            <v>la felicidad</v>
          </cell>
          <cell r="AA435" t="str">
            <v>Bogota</v>
          </cell>
          <cell r="AB435" t="str">
            <v>San Jose</v>
          </cell>
          <cell r="AC435" t="str">
            <v>Cll. 10 # 18-75 piso 3</v>
          </cell>
          <cell r="AD435"/>
          <cell r="AE435">
            <v>17460</v>
          </cell>
          <cell r="AF435">
            <v>10000</v>
          </cell>
          <cell r="AG435">
            <v>13</v>
          </cell>
          <cell r="AH435">
            <v>25</v>
          </cell>
          <cell r="AI435">
            <v>20000</v>
          </cell>
          <cell r="AJ435">
            <v>18000</v>
          </cell>
          <cell r="AK435">
            <v>-8000</v>
          </cell>
          <cell r="AL435">
            <v>17460</v>
          </cell>
        </row>
        <row r="436">
          <cell r="T436" t="str">
            <v>Kelly Guzmán</v>
          </cell>
          <cell r="U436" t="str">
            <v>Cra 89ª bis# 81-48</v>
          </cell>
          <cell r="V436" t="str">
            <v>ccial primavera</v>
          </cell>
          <cell r="W436" t="str">
            <v>CERCANO</v>
          </cell>
          <cell r="X436" t="str">
            <v>318 7953121</v>
          </cell>
          <cell r="Y436" t="str">
            <v>CENTRO</v>
          </cell>
          <cell r="Z436" t="str">
            <v>ccial primavera</v>
          </cell>
          <cell r="AA436" t="str">
            <v>Bogota</v>
          </cell>
          <cell r="AB436" t="str">
            <v>Dorado</v>
          </cell>
          <cell r="AC436" t="str">
            <v>Diagonal 82 Bis # 85 - 90</v>
          </cell>
          <cell r="AD436"/>
          <cell r="AE436">
            <v>10670</v>
          </cell>
          <cell r="AF436">
            <v>8000</v>
          </cell>
          <cell r="AG436">
            <v>2</v>
          </cell>
          <cell r="AH436">
            <v>6</v>
          </cell>
          <cell r="AI436">
            <v>11000</v>
          </cell>
          <cell r="AJ436">
            <v>11000</v>
          </cell>
          <cell r="AK436">
            <v>-3000</v>
          </cell>
          <cell r="AL436">
            <v>10670</v>
          </cell>
        </row>
        <row r="437">
          <cell r="T437" t="str">
            <v>laura Galvis Barreto</v>
          </cell>
          <cell r="U437" t="str">
            <v>ca 69b # 23c - 36 apt 504 torre 2</v>
          </cell>
          <cell r="V437" t="str">
            <v>ciudad salitre</v>
          </cell>
          <cell r="W437" t="str">
            <v>CERCANO</v>
          </cell>
          <cell r="X437">
            <v>3005583222</v>
          </cell>
          <cell r="Y437" t="str">
            <v>CENTRO</v>
          </cell>
          <cell r="Z437" t="str">
            <v>ciudad salitre</v>
          </cell>
          <cell r="AA437" t="str">
            <v>BOGOTÁ</v>
          </cell>
          <cell r="AB437" t="str">
            <v>Occidente</v>
          </cell>
          <cell r="AC437" t="str">
            <v>Calle 5C No. 71C - 29 Torre B Piso 2 
Edificio Servicios Ambulatorios</v>
          </cell>
          <cell r="AD437"/>
          <cell r="AE437">
            <v>13095</v>
          </cell>
          <cell r="AF437">
            <v>8000</v>
          </cell>
          <cell r="AG437">
            <v>7</v>
          </cell>
          <cell r="AH437">
            <v>17</v>
          </cell>
          <cell r="AI437">
            <v>15000</v>
          </cell>
          <cell r="AJ437">
            <v>13500</v>
          </cell>
          <cell r="AK437">
            <v>-5500</v>
          </cell>
          <cell r="AL437">
            <v>13095</v>
          </cell>
        </row>
        <row r="438">
          <cell r="T438" t="str">
            <v>Leidy Janeht Rey Bello</v>
          </cell>
          <cell r="U438" t="str">
            <v>Cra 1 # 7A 49 Soacha - Cundinamarca (San Humberto)</v>
          </cell>
          <cell r="V438" t="str">
            <v>Soacha cien familias</v>
          </cell>
          <cell r="W438" t="str">
            <v>INTERMUNICIPAL</v>
          </cell>
          <cell r="X438">
            <v>3016173462</v>
          </cell>
          <cell r="Y438" t="str">
            <v>CENTRO</v>
          </cell>
          <cell r="Z438" t="str">
            <v>Soacha cien familias</v>
          </cell>
          <cell r="AA438" t="str">
            <v>BOGOTÁ</v>
          </cell>
          <cell r="AB438" t="str">
            <v>Occidente</v>
          </cell>
          <cell r="AC438" t="str">
            <v>Calle 5C No. 71C - 29 Torre B Piso 2 
Edificio Servicios Ambulatorios</v>
          </cell>
          <cell r="AD438"/>
          <cell r="AE438">
            <v>61110</v>
          </cell>
          <cell r="AF438">
            <v>50000</v>
          </cell>
          <cell r="AG438">
            <v>14</v>
          </cell>
          <cell r="AH438">
            <v>27</v>
          </cell>
          <cell r="AI438">
            <v>70000</v>
          </cell>
          <cell r="AJ438">
            <v>63000</v>
          </cell>
          <cell r="AK438">
            <v>-13000</v>
          </cell>
          <cell r="AL438">
            <v>61110</v>
          </cell>
        </row>
        <row r="439">
          <cell r="T439" t="str">
            <v>LEIDY RINCON</v>
          </cell>
          <cell r="U439" t="str">
            <v>TRANSVERSAL 5 I  # 48 B 83 SUR-bochica sur molinos</v>
          </cell>
          <cell r="V439" t="str">
            <v xml:space="preserve">BOCHICA SUR  MOLINOS   </v>
          </cell>
          <cell r="W439" t="str">
            <v>LEJANO</v>
          </cell>
          <cell r="X439" t="e">
            <v>#REF!</v>
          </cell>
          <cell r="Y439" t="str">
            <v>CENTRO</v>
          </cell>
          <cell r="Z439" t="str">
            <v xml:space="preserve">BOCHICA SUR  MOLINOS   </v>
          </cell>
          <cell r="AA439" t="str">
            <v>Bogota</v>
          </cell>
          <cell r="AB439" t="str">
            <v>San Jose</v>
          </cell>
          <cell r="AC439" t="str">
            <v>Cll. 10 # 18-75 piso 3</v>
          </cell>
          <cell r="AD439"/>
          <cell r="AE439">
            <v>17460</v>
          </cell>
          <cell r="AF439">
            <v>10000</v>
          </cell>
          <cell r="AG439">
            <v>10</v>
          </cell>
          <cell r="AH439">
            <v>24</v>
          </cell>
          <cell r="AI439" t="e">
            <v>#N/A</v>
          </cell>
          <cell r="AJ439">
            <v>18000</v>
          </cell>
          <cell r="AK439">
            <v>-8000</v>
          </cell>
          <cell r="AL439">
            <v>17460</v>
          </cell>
        </row>
        <row r="440">
          <cell r="T440" t="str">
            <v>LINDA ORTIZ</v>
          </cell>
          <cell r="U440" t="str">
            <v xml:space="preserve">CALLE 27A SUR # 13 - 46                 </v>
          </cell>
          <cell r="V440" t="str">
            <v>gustavo restrepo</v>
          </cell>
          <cell r="W440" t="str">
            <v>CERCANO</v>
          </cell>
          <cell r="X440" t="e">
            <v>#REF!</v>
          </cell>
          <cell r="Y440" t="str">
            <v>CENTRO</v>
          </cell>
          <cell r="Z440" t="str">
            <v>gustavo restrepo</v>
          </cell>
          <cell r="AA440" t="str">
            <v>Bogota</v>
          </cell>
          <cell r="AB440" t="str">
            <v>San Jose</v>
          </cell>
          <cell r="AC440" t="str">
            <v>Cll. 10 # 18-75 piso 3</v>
          </cell>
          <cell r="AD440"/>
          <cell r="AE440">
            <v>13095</v>
          </cell>
          <cell r="AF440">
            <v>10000</v>
          </cell>
          <cell r="AG440">
            <v>6</v>
          </cell>
          <cell r="AH440">
            <v>17</v>
          </cell>
          <cell r="AI440" t="e">
            <v>#N/A</v>
          </cell>
          <cell r="AJ440">
            <v>13500</v>
          </cell>
          <cell r="AK440">
            <v>-3500</v>
          </cell>
          <cell r="AL440">
            <v>13095</v>
          </cell>
        </row>
        <row r="441">
          <cell r="T441" t="str">
            <v>Lucero Tapiero</v>
          </cell>
          <cell r="U441" t="str">
            <v>Cra 90 Bis # 75 - 77</v>
          </cell>
          <cell r="V441" t="str">
            <v>santa rosita</v>
          </cell>
          <cell r="W441" t="str">
            <v>LEJANO</v>
          </cell>
          <cell r="X441">
            <v>3142803047</v>
          </cell>
          <cell r="Y441" t="str">
            <v>CENTRO</v>
          </cell>
          <cell r="Z441" t="str">
            <v>santa rosita</v>
          </cell>
          <cell r="AA441" t="str">
            <v>Bogota</v>
          </cell>
          <cell r="AB441" t="str">
            <v>Cruz Roja</v>
          </cell>
          <cell r="AC441" t="str">
            <v>Av. Kra  68 # 68 B-31 Bloque 1 Piso 1</v>
          </cell>
          <cell r="AD441"/>
          <cell r="AE441">
            <v>17460</v>
          </cell>
          <cell r="AF441">
            <v>15000</v>
          </cell>
          <cell r="AG441">
            <v>7</v>
          </cell>
          <cell r="AH441">
            <v>20</v>
          </cell>
          <cell r="AI441">
            <v>20000</v>
          </cell>
          <cell r="AJ441">
            <v>18000</v>
          </cell>
          <cell r="AK441">
            <v>-3000</v>
          </cell>
          <cell r="AL441">
            <v>17460</v>
          </cell>
        </row>
        <row r="442">
          <cell r="T442" t="str">
            <v>Luz Dary Calvo Cáceres</v>
          </cell>
          <cell r="U442" t="str">
            <v>Calle 4 # 36-55 apto 513 Barrio Galán</v>
          </cell>
          <cell r="V442" t="str">
            <v>GALAN</v>
          </cell>
          <cell r="W442" t="str">
            <v>LEJANO</v>
          </cell>
          <cell r="X442">
            <v>3164782913</v>
          </cell>
          <cell r="Y442" t="str">
            <v>CENTRO</v>
          </cell>
          <cell r="Z442" t="str">
            <v>GALAN</v>
          </cell>
          <cell r="AA442" t="str">
            <v>Bogota</v>
          </cell>
          <cell r="AB442" t="str">
            <v>Fmexpress Bogotá</v>
          </cell>
          <cell r="AC442" t="str">
            <v>BOGOTA CLL 161 # 7G-36</v>
          </cell>
          <cell r="AD442"/>
          <cell r="AE442">
            <v>26190</v>
          </cell>
          <cell r="AF442">
            <v>22000</v>
          </cell>
          <cell r="AG442">
            <v>21</v>
          </cell>
          <cell r="AH442">
            <v>31</v>
          </cell>
          <cell r="AI442">
            <v>30000</v>
          </cell>
          <cell r="AJ442">
            <v>27000</v>
          </cell>
          <cell r="AK442">
            <v>-5000</v>
          </cell>
          <cell r="AL442">
            <v>26190</v>
          </cell>
        </row>
        <row r="443">
          <cell r="T443" t="str">
            <v>Luz Marina Guerrero Rojas</v>
          </cell>
          <cell r="U443" t="str">
            <v>Cra 73 # 1 - 38 Bogotá Américas Occidental</v>
          </cell>
          <cell r="V443" t="str">
            <v xml:space="preserve">americas occidental </v>
          </cell>
          <cell r="W443" t="str">
            <v>CERCANO</v>
          </cell>
          <cell r="X443" t="str">
            <v>317-6581455</v>
          </cell>
          <cell r="Y443" t="str">
            <v>CENTRO</v>
          </cell>
          <cell r="Z443" t="str">
            <v xml:space="preserve">americas occidental </v>
          </cell>
          <cell r="AA443" t="str">
            <v>BOGOTÁ</v>
          </cell>
          <cell r="AB443" t="str">
            <v>Occidente</v>
          </cell>
          <cell r="AC443" t="str">
            <v>Calle 5C No. 71C - 29 Torre B Piso 2 
Edificio Servicios Ambulatorios</v>
          </cell>
          <cell r="AD443"/>
          <cell r="AE443">
            <v>10670</v>
          </cell>
          <cell r="AF443">
            <v>8000</v>
          </cell>
          <cell r="AG443">
            <v>3</v>
          </cell>
          <cell r="AH443">
            <v>9</v>
          </cell>
          <cell r="AI443">
            <v>11000</v>
          </cell>
          <cell r="AJ443">
            <v>11000</v>
          </cell>
          <cell r="AK443">
            <v>-3000</v>
          </cell>
          <cell r="AL443">
            <v>10670</v>
          </cell>
        </row>
        <row r="444">
          <cell r="T444" t="str">
            <v>Madeleine Cardona Rincon</v>
          </cell>
          <cell r="U444" t="str">
            <v>CRA 54 NUM 46-41 SUR BARRIO VENECIA-BOGOTA</v>
          </cell>
          <cell r="V444" t="str">
            <v>Venecia</v>
          </cell>
          <cell r="W444" t="str">
            <v>LEJANO</v>
          </cell>
          <cell r="X444">
            <v>3058956041</v>
          </cell>
          <cell r="Y444" t="str">
            <v>CENTRO</v>
          </cell>
          <cell r="Z444" t="str">
            <v>Venecia</v>
          </cell>
          <cell r="AA444" t="str">
            <v>BOGOTÁ</v>
          </cell>
          <cell r="AB444" t="str">
            <v>Occidente</v>
          </cell>
          <cell r="AC444" t="str">
            <v>Calle 5C No. 71C - 29 Torre B Piso 2 
Edificio Servicios Ambulatorios</v>
          </cell>
          <cell r="AD444"/>
          <cell r="AE444">
            <v>17460</v>
          </cell>
          <cell r="AF444">
            <v>12000</v>
          </cell>
          <cell r="AG444">
            <v>8</v>
          </cell>
          <cell r="AH444">
            <v>14</v>
          </cell>
          <cell r="AI444">
            <v>20000</v>
          </cell>
          <cell r="AJ444">
            <v>18000</v>
          </cell>
          <cell r="AK444">
            <v>-6000</v>
          </cell>
          <cell r="AL444">
            <v>17460</v>
          </cell>
        </row>
        <row r="445">
          <cell r="T445" t="str">
            <v>Maria Angelica Losada</v>
          </cell>
          <cell r="U445" t="str">
            <v xml:space="preserve">cll 22 # 29 a-44 usatama </v>
          </cell>
          <cell r="V445" t="str">
            <v>usatama</v>
          </cell>
          <cell r="W445" t="str">
            <v>LEJANO</v>
          </cell>
          <cell r="X445">
            <v>3184936544</v>
          </cell>
          <cell r="Y445" t="str">
            <v>CENTRO</v>
          </cell>
          <cell r="Z445" t="str">
            <v>usatama</v>
          </cell>
          <cell r="AA445" t="str">
            <v>BOGOTÁ</v>
          </cell>
          <cell r="AB445" t="str">
            <v>Occidente</v>
          </cell>
          <cell r="AC445" t="str">
            <v>Calle 5C No. 71C - 29 Torre B Piso 2 
Edificio Servicios Ambulatorios</v>
          </cell>
          <cell r="AD445"/>
          <cell r="AE445">
            <v>17460</v>
          </cell>
          <cell r="AF445">
            <v>12000</v>
          </cell>
          <cell r="AG445">
            <v>7</v>
          </cell>
          <cell r="AH445">
            <v>18</v>
          </cell>
          <cell r="AI445">
            <v>20000</v>
          </cell>
          <cell r="AJ445">
            <v>18000</v>
          </cell>
          <cell r="AK445">
            <v>-6000</v>
          </cell>
          <cell r="AL445">
            <v>17460</v>
          </cell>
        </row>
        <row r="446">
          <cell r="T446" t="str">
            <v>Maria Isabel Lara Bedoya</v>
          </cell>
          <cell r="U446" t="str">
            <v>Cra 82A # 6-16 APTO 504 INT 1</v>
          </cell>
          <cell r="V446" t="str">
            <v xml:space="preserve">americas occidental </v>
          </cell>
          <cell r="W446" t="str">
            <v>CERCANO</v>
          </cell>
          <cell r="X446" t="str">
            <v>320-3305284</v>
          </cell>
          <cell r="Y446" t="str">
            <v>CENTRO</v>
          </cell>
          <cell r="Z446" t="str">
            <v xml:space="preserve">americas occidental </v>
          </cell>
          <cell r="AA446" t="str">
            <v>BOGOTÁ</v>
          </cell>
          <cell r="AB446" t="str">
            <v>Occidente</v>
          </cell>
          <cell r="AC446" t="str">
            <v>Calle 5C No. 71C - 29 Torre B Piso 2 
Edificio Servicios Ambulatorios</v>
          </cell>
          <cell r="AD446"/>
          <cell r="AE446">
            <v>10670</v>
          </cell>
          <cell r="AF446">
            <v>8000</v>
          </cell>
          <cell r="AG446">
            <v>4</v>
          </cell>
          <cell r="AH446">
            <v>10</v>
          </cell>
          <cell r="AI446">
            <v>11000</v>
          </cell>
          <cell r="AJ446">
            <v>11000</v>
          </cell>
          <cell r="AK446">
            <v>-3000</v>
          </cell>
          <cell r="AL446">
            <v>10670</v>
          </cell>
        </row>
        <row r="447">
          <cell r="T447" t="str">
            <v>MARILU PIRAZAN</v>
          </cell>
          <cell r="U447" t="str">
            <v xml:space="preserve">CALLE 6TA  A # 94 A - 26                  </v>
          </cell>
          <cell r="V447">
            <v>0</v>
          </cell>
          <cell r="W447" t="str">
            <v>LEJANO</v>
          </cell>
          <cell r="X447">
            <v>3133288887</v>
          </cell>
          <cell r="Y447" t="str">
            <v>CENTRO</v>
          </cell>
          <cell r="Z447">
            <v>0</v>
          </cell>
          <cell r="AA447" t="str">
            <v>Bogota</v>
          </cell>
          <cell r="AB447" t="str">
            <v>San Jose</v>
          </cell>
          <cell r="AC447" t="str">
            <v>Cll. 10 # 18-75 piso 3</v>
          </cell>
          <cell r="AD447"/>
          <cell r="AE447">
            <v>17460</v>
          </cell>
          <cell r="AF447">
            <v>10000</v>
          </cell>
          <cell r="AG447">
            <v>13</v>
          </cell>
          <cell r="AH447">
            <v>28</v>
          </cell>
          <cell r="AI447">
            <v>20000</v>
          </cell>
          <cell r="AJ447">
            <v>18000</v>
          </cell>
          <cell r="AK447">
            <v>-8000</v>
          </cell>
          <cell r="AL447">
            <v>17460</v>
          </cell>
        </row>
        <row r="448">
          <cell r="T448" t="str">
            <v>Maritza Quintero</v>
          </cell>
          <cell r="U448" t="str">
            <v xml:space="preserve"> CLL 131 # 126-82 Conjunto Alamedade Suba 1, torre 33 apto 201</v>
          </cell>
          <cell r="V448" t="str">
            <v>SUBA</v>
          </cell>
          <cell r="W448" t="str">
            <v>LEJANO</v>
          </cell>
          <cell r="X448" t="str">
            <v>3176491266-9243878</v>
          </cell>
          <cell r="Y448" t="str">
            <v>CENTRO</v>
          </cell>
          <cell r="Z448" t="str">
            <v>SUBA</v>
          </cell>
          <cell r="AA448" t="str">
            <v>Bogota</v>
          </cell>
          <cell r="AB448" t="str">
            <v>Fmexpress Bogotá</v>
          </cell>
          <cell r="AC448" t="str">
            <v>BOGOTA CLL 161 # 7G-36</v>
          </cell>
          <cell r="AD448"/>
          <cell r="AE448">
            <v>26190</v>
          </cell>
          <cell r="AF448">
            <v>22000</v>
          </cell>
          <cell r="AG448">
            <v>12</v>
          </cell>
          <cell r="AH448">
            <v>20</v>
          </cell>
          <cell r="AI448">
            <v>15000</v>
          </cell>
          <cell r="AJ448">
            <v>15000</v>
          </cell>
          <cell r="AK448">
            <v>7000</v>
          </cell>
          <cell r="AL448">
            <v>14550</v>
          </cell>
        </row>
        <row r="449">
          <cell r="T449" t="str">
            <v>Monica Paez</v>
          </cell>
          <cell r="U449" t="str">
            <v>Cara 73 Bis # 81  - 54 Minuto de Dios</v>
          </cell>
          <cell r="V449" t="str">
            <v>Minuto de Dios</v>
          </cell>
          <cell r="W449" t="str">
            <v>CERCANO</v>
          </cell>
          <cell r="X449" t="e">
            <v>#REF!</v>
          </cell>
          <cell r="Y449" t="str">
            <v>CENTRO</v>
          </cell>
          <cell r="Z449" t="str">
            <v>Minuto de Dios</v>
          </cell>
          <cell r="AA449" t="str">
            <v>Bogota</v>
          </cell>
          <cell r="AB449" t="str">
            <v>Cruz Roja</v>
          </cell>
          <cell r="AC449" t="str">
            <v>Av. Kra  68 # 68 B-31 Bloque 1 Piso 1</v>
          </cell>
          <cell r="AD449"/>
          <cell r="AE449">
            <v>13095</v>
          </cell>
          <cell r="AF449">
            <v>8000</v>
          </cell>
          <cell r="AG449">
            <v>6</v>
          </cell>
          <cell r="AH449">
            <v>15</v>
          </cell>
          <cell r="AI449" t="e">
            <v>#N/A</v>
          </cell>
          <cell r="AJ449">
            <v>13500</v>
          </cell>
          <cell r="AK449">
            <v>-5500</v>
          </cell>
          <cell r="AL449">
            <v>13095</v>
          </cell>
        </row>
        <row r="450">
          <cell r="T450" t="str">
            <v>MORENO RODRIGUEZ OLIVA</v>
          </cell>
          <cell r="U450" t="str">
            <v>CALLE 18 N 109-20 Fontibon</v>
          </cell>
          <cell r="V450" t="str">
            <v>fontibon</v>
          </cell>
          <cell r="W450" t="str">
            <v>LEJANO</v>
          </cell>
          <cell r="X450">
            <v>3125083180</v>
          </cell>
          <cell r="Y450" t="str">
            <v>CENTRO</v>
          </cell>
          <cell r="Z450" t="str">
            <v>fontibon</v>
          </cell>
          <cell r="AA450" t="str">
            <v>Bogota</v>
          </cell>
          <cell r="AB450" t="str">
            <v>Dorado</v>
          </cell>
          <cell r="AC450" t="str">
            <v>Diagonal 82 Bis # 85 - 90</v>
          </cell>
          <cell r="AD450"/>
          <cell r="AE450">
            <v>17460</v>
          </cell>
          <cell r="AF450">
            <v>15000</v>
          </cell>
          <cell r="AG450">
            <v>13</v>
          </cell>
          <cell r="AH450">
            <v>25</v>
          </cell>
          <cell r="AI450">
            <v>20000</v>
          </cell>
          <cell r="AJ450">
            <v>18000</v>
          </cell>
          <cell r="AK450">
            <v>-3000</v>
          </cell>
          <cell r="AL450">
            <v>17460</v>
          </cell>
        </row>
        <row r="451">
          <cell r="T451" t="str">
            <v>Natalia Chipatecua</v>
          </cell>
          <cell r="U451" t="str">
            <v>calle 69 F # 3 B 30 sur- Barrio Aurora 2- Bogotá</v>
          </cell>
          <cell r="V451" t="str">
            <v>aurora 2 bogota</v>
          </cell>
          <cell r="W451" t="str">
            <v>LEJANO PERIFERIA AL SUR</v>
          </cell>
          <cell r="X451" t="e">
            <v>#REF!</v>
          </cell>
          <cell r="Y451" t="str">
            <v>CENTRO</v>
          </cell>
          <cell r="Z451" t="str">
            <v>aurora 2 bogota</v>
          </cell>
          <cell r="AA451" t="str">
            <v>BOGOTÁ</v>
          </cell>
          <cell r="AB451" t="str">
            <v>Occidente</v>
          </cell>
          <cell r="AC451" t="str">
            <v>Calle 5C No. 71C - 29 Torre B Piso 2 
Edificio Servicios Ambulatorios</v>
          </cell>
          <cell r="AD451"/>
          <cell r="AE451">
            <v>26190</v>
          </cell>
          <cell r="AF451">
            <v>22000</v>
          </cell>
          <cell r="AG451">
            <v>16</v>
          </cell>
          <cell r="AH451">
            <v>30</v>
          </cell>
          <cell r="AI451" t="e">
            <v>#N/A</v>
          </cell>
          <cell r="AJ451">
            <v>27000</v>
          </cell>
          <cell r="AK451">
            <v>-5000</v>
          </cell>
          <cell r="AL451">
            <v>26190</v>
          </cell>
        </row>
        <row r="452">
          <cell r="T452" t="str">
            <v>NELSON FERNANDO GONZALEZ</v>
          </cell>
          <cell r="U452" t="str">
            <v>CRA 12D#14-40 CIUDAD JARDIN SUR</v>
          </cell>
          <cell r="V452" t="str">
            <v>ciudad jardin sur</v>
          </cell>
          <cell r="W452" t="str">
            <v>LEJANO</v>
          </cell>
          <cell r="X452">
            <v>3138392033</v>
          </cell>
          <cell r="Y452" t="str">
            <v>CENTRO</v>
          </cell>
          <cell r="Z452" t="str">
            <v>ciudad jardin sur</v>
          </cell>
          <cell r="AA452" t="str">
            <v>Bogota</v>
          </cell>
          <cell r="AB452" t="str">
            <v>Dorado</v>
          </cell>
          <cell r="AC452" t="str">
            <v>Diagonal 82 Bis # 85 - 90</v>
          </cell>
          <cell r="AD452"/>
          <cell r="AE452">
            <v>26190</v>
          </cell>
          <cell r="AF452">
            <v>22000</v>
          </cell>
          <cell r="AG452">
            <v>19</v>
          </cell>
          <cell r="AH452">
            <v>35</v>
          </cell>
          <cell r="AI452">
            <v>30000</v>
          </cell>
          <cell r="AJ452">
            <v>27000</v>
          </cell>
          <cell r="AK452">
            <v>-5000</v>
          </cell>
          <cell r="AL452">
            <v>26190</v>
          </cell>
        </row>
        <row r="453">
          <cell r="T453" t="str">
            <v>NORMA PINEDA</v>
          </cell>
          <cell r="U453" t="str">
            <v xml:space="preserve">CARRERA 5TA # 22C- 04 SUR    - 20 de julio      </v>
          </cell>
          <cell r="V453" t="str">
            <v>20 de julio</v>
          </cell>
          <cell r="W453" t="str">
            <v>LEJANO</v>
          </cell>
          <cell r="X453">
            <v>3132212459</v>
          </cell>
          <cell r="Y453" t="str">
            <v>CENTRO</v>
          </cell>
          <cell r="Z453" t="str">
            <v>20 de julio</v>
          </cell>
          <cell r="AA453" t="str">
            <v>Bogota</v>
          </cell>
          <cell r="AB453" t="str">
            <v>San Jose</v>
          </cell>
          <cell r="AC453" t="str">
            <v>Cll. 10 # 18-75 piso 3</v>
          </cell>
          <cell r="AD453"/>
          <cell r="AE453">
            <v>17460</v>
          </cell>
          <cell r="AF453">
            <v>10000</v>
          </cell>
          <cell r="AG453">
            <v>10</v>
          </cell>
          <cell r="AH453">
            <v>20</v>
          </cell>
          <cell r="AI453">
            <v>20000</v>
          </cell>
          <cell r="AJ453">
            <v>18000</v>
          </cell>
          <cell r="AK453">
            <v>-8000</v>
          </cell>
          <cell r="AL453">
            <v>17460</v>
          </cell>
        </row>
        <row r="454">
          <cell r="T454" t="str">
            <v>Olga Lucia Pachon</v>
          </cell>
          <cell r="U454" t="str">
            <v xml:space="preserve">Cra 92 # 73 a -49 </v>
          </cell>
          <cell r="V454" t="str">
            <v>SANTA ROSITA</v>
          </cell>
          <cell r="W454" t="str">
            <v>LEJANO</v>
          </cell>
          <cell r="X454">
            <v>3053957658</v>
          </cell>
          <cell r="Y454" t="str">
            <v>CENTRO</v>
          </cell>
          <cell r="Z454" t="str">
            <v>SANTA ROSITA</v>
          </cell>
          <cell r="AA454" t="str">
            <v>Bogota</v>
          </cell>
          <cell r="AB454" t="str">
            <v>Horizonte</v>
          </cell>
          <cell r="AC454" t="str">
            <v>Av. Cll 134 # 7b- 83 Edificio el Bosque piso 2 Consultorio 2018</v>
          </cell>
          <cell r="AD454"/>
          <cell r="AE454">
            <v>17460</v>
          </cell>
          <cell r="AF454">
            <v>12000</v>
          </cell>
          <cell r="AG454">
            <v>14</v>
          </cell>
          <cell r="AH454">
            <v>27</v>
          </cell>
          <cell r="AI454">
            <v>20000</v>
          </cell>
          <cell r="AJ454">
            <v>18000</v>
          </cell>
          <cell r="AK454">
            <v>-6000</v>
          </cell>
          <cell r="AL454">
            <v>17460</v>
          </cell>
        </row>
        <row r="455">
          <cell r="T455" t="str">
            <v>Omaira Muñoz</v>
          </cell>
          <cell r="U455" t="str">
            <v>CLL72a #87-39 los pinos</v>
          </cell>
          <cell r="V455" t="str">
            <v>los pinos</v>
          </cell>
          <cell r="W455" t="str">
            <v>CERCANO</v>
          </cell>
          <cell r="X455" t="str">
            <v>320 2394841</v>
          </cell>
          <cell r="Y455" t="str">
            <v>CENTRO</v>
          </cell>
          <cell r="Z455" t="str">
            <v>los pinos</v>
          </cell>
          <cell r="AA455" t="str">
            <v>BOGOTÁ</v>
          </cell>
          <cell r="AB455" t="str">
            <v>Occidente</v>
          </cell>
          <cell r="AC455" t="str">
            <v>Calle 5C No. 71C - 29 Torre B Piso 2 
Edificio Servicios Ambulatorios</v>
          </cell>
          <cell r="AD455"/>
          <cell r="AE455">
            <v>10670</v>
          </cell>
          <cell r="AF455">
            <v>8000</v>
          </cell>
          <cell r="AG455">
            <v>3</v>
          </cell>
          <cell r="AH455">
            <v>9</v>
          </cell>
          <cell r="AI455">
            <v>11000</v>
          </cell>
          <cell r="AJ455">
            <v>11000</v>
          </cell>
          <cell r="AK455">
            <v>-3000</v>
          </cell>
          <cell r="AL455">
            <v>10670</v>
          </cell>
        </row>
        <row r="456">
          <cell r="T456" t="str">
            <v>Paola Chaustre</v>
          </cell>
          <cell r="U456" t="str">
            <v>Calle 51 # 3 - 52</v>
          </cell>
          <cell r="V456" t="str">
            <v>chapinero alto</v>
          </cell>
          <cell r="W456" t="str">
            <v>LEJANO</v>
          </cell>
          <cell r="X456">
            <v>3184668897</v>
          </cell>
          <cell r="Y456" t="str">
            <v>CENTRO</v>
          </cell>
          <cell r="Z456" t="str">
            <v>chapinero alto</v>
          </cell>
          <cell r="AA456" t="str">
            <v>Bogota</v>
          </cell>
          <cell r="AB456" t="str">
            <v>Cruz Roja</v>
          </cell>
          <cell r="AC456" t="str">
            <v>Av. Kra  68 # 68 B-31 Bloque 1 Piso 1</v>
          </cell>
          <cell r="AD456"/>
          <cell r="AE456">
            <v>17460</v>
          </cell>
          <cell r="AF456">
            <v>13000</v>
          </cell>
          <cell r="AG456">
            <v>8</v>
          </cell>
          <cell r="AH456">
            <v>19</v>
          </cell>
          <cell r="AI456">
            <v>20000</v>
          </cell>
          <cell r="AJ456">
            <v>18000</v>
          </cell>
          <cell r="AK456">
            <v>-5000</v>
          </cell>
          <cell r="AL456">
            <v>17460</v>
          </cell>
        </row>
        <row r="457">
          <cell r="T457" t="str">
            <v>PAOLA KATHERINE RODRIGUEZ</v>
          </cell>
          <cell r="U457" t="str">
            <v>calle42 sur #6-01 Este la victoria</v>
          </cell>
          <cell r="V457" t="str">
            <v>la victoria</v>
          </cell>
          <cell r="W457" t="str">
            <v>LEJANO PERIFERIA AL SUR ORIENTE</v>
          </cell>
          <cell r="X457" t="e">
            <v>#REF!</v>
          </cell>
          <cell r="Y457" t="str">
            <v>CENTRO</v>
          </cell>
          <cell r="Z457" t="str">
            <v>la victoria</v>
          </cell>
          <cell r="AA457" t="str">
            <v>BOGOTÁ</v>
          </cell>
          <cell r="AB457" t="str">
            <v>Occidente</v>
          </cell>
          <cell r="AC457" t="str">
            <v>Calle 5C No. 71C - 29 Torre B Piso 2 
Edificio Servicios Ambulatorios</v>
          </cell>
          <cell r="AD457"/>
          <cell r="AE457">
            <v>26190</v>
          </cell>
          <cell r="AF457">
            <v>22000</v>
          </cell>
          <cell r="AG457">
            <v>16</v>
          </cell>
          <cell r="AH457">
            <v>30</v>
          </cell>
          <cell r="AI457" t="e">
            <v>#N/A</v>
          </cell>
          <cell r="AJ457">
            <v>27000</v>
          </cell>
          <cell r="AK457">
            <v>-5000</v>
          </cell>
          <cell r="AL457">
            <v>26190</v>
          </cell>
        </row>
        <row r="458">
          <cell r="T458" t="str">
            <v>ROCHA PINTO KATHERINE</v>
          </cell>
          <cell r="U458" t="str">
            <v>CRA88#72A-29 LOS PINOS</v>
          </cell>
          <cell r="V458" t="str">
            <v>los pinos</v>
          </cell>
          <cell r="W458" t="str">
            <v>CERCANO</v>
          </cell>
          <cell r="X458">
            <v>3005149329</v>
          </cell>
          <cell r="Y458" t="str">
            <v>CENTRO</v>
          </cell>
          <cell r="Z458" t="str">
            <v>los pinos</v>
          </cell>
          <cell r="AA458" t="str">
            <v>Bogota</v>
          </cell>
          <cell r="AB458" t="str">
            <v>Dorado</v>
          </cell>
          <cell r="AC458" t="str">
            <v>Diagonal 82 Bis # 85 - 90</v>
          </cell>
          <cell r="AD458"/>
          <cell r="AE458">
            <v>10670</v>
          </cell>
          <cell r="AF458">
            <v>8000</v>
          </cell>
          <cell r="AG458">
            <v>3</v>
          </cell>
          <cell r="AH458">
            <v>9</v>
          </cell>
          <cell r="AI458">
            <v>11000</v>
          </cell>
          <cell r="AJ458">
            <v>11000</v>
          </cell>
          <cell r="AK458">
            <v>-3000</v>
          </cell>
          <cell r="AL458">
            <v>10670</v>
          </cell>
        </row>
        <row r="459">
          <cell r="T459" t="str">
            <v>ROSAURA PATRON</v>
          </cell>
          <cell r="U459" t="str">
            <v>carrera 77 este Nro. 107-20 sur puerta llano</v>
          </cell>
          <cell r="V459" t="str">
            <v>PUERTA LLANO</v>
          </cell>
          <cell r="W459" t="str">
            <v>LEJANO PERIFERIA AL SUR ORIENTE</v>
          </cell>
          <cell r="X459">
            <v>3108019852</v>
          </cell>
          <cell r="Y459" t="str">
            <v>CENTRO</v>
          </cell>
          <cell r="Z459" t="str">
            <v>PUERTA LLANO</v>
          </cell>
          <cell r="AA459" t="str">
            <v>Bogota</v>
          </cell>
          <cell r="AB459" t="str">
            <v>San Jose</v>
          </cell>
          <cell r="AC459" t="str">
            <v>Cll. 10 # 18-75 piso 3</v>
          </cell>
          <cell r="AD459"/>
          <cell r="AE459">
            <v>17460</v>
          </cell>
          <cell r="AF459">
            <v>10000</v>
          </cell>
          <cell r="AG459">
            <v>13</v>
          </cell>
          <cell r="AH459">
            <v>25</v>
          </cell>
          <cell r="AI459">
            <v>20000</v>
          </cell>
          <cell r="AJ459">
            <v>18000</v>
          </cell>
          <cell r="AK459">
            <v>-8000</v>
          </cell>
          <cell r="AL459">
            <v>17460</v>
          </cell>
        </row>
        <row r="460">
          <cell r="T460" t="str">
            <v>Sandra Milena Cuta</v>
          </cell>
          <cell r="U460" t="str">
            <v>Cra 39c #26-43</v>
          </cell>
          <cell r="V460" t="str">
            <v>la guaca</v>
          </cell>
          <cell r="W460" t="str">
            <v>CERCANO</v>
          </cell>
          <cell r="X460" t="str">
            <v>318 7569329</v>
          </cell>
          <cell r="Y460" t="str">
            <v>CENTRO</v>
          </cell>
          <cell r="Z460" t="str">
            <v>la guaca</v>
          </cell>
          <cell r="AA460" t="str">
            <v>Bogota</v>
          </cell>
          <cell r="AB460" t="str">
            <v>Dorado</v>
          </cell>
          <cell r="AC460" t="str">
            <v>Diagonal 82 Bis # 85 - 90</v>
          </cell>
          <cell r="AD460"/>
          <cell r="AE460">
            <v>10670</v>
          </cell>
          <cell r="AF460">
            <v>8000</v>
          </cell>
          <cell r="AG460">
            <v>2</v>
          </cell>
          <cell r="AH460">
            <v>6</v>
          </cell>
          <cell r="AI460">
            <v>11000</v>
          </cell>
          <cell r="AJ460">
            <v>11000</v>
          </cell>
          <cell r="AK460">
            <v>-3000</v>
          </cell>
          <cell r="AL460">
            <v>10670</v>
          </cell>
        </row>
        <row r="461">
          <cell r="T461" t="str">
            <v>Sandra Rodriguez</v>
          </cell>
          <cell r="U461" t="str">
            <v>Cra 83 # 145 - 21 Suba</v>
          </cell>
          <cell r="V461" t="str">
            <v>suba</v>
          </cell>
          <cell r="W461" t="str">
            <v>LEJANO</v>
          </cell>
          <cell r="X461">
            <v>3175014880</v>
          </cell>
          <cell r="Y461" t="str">
            <v>CENTRO</v>
          </cell>
          <cell r="Z461" t="str">
            <v>suba</v>
          </cell>
          <cell r="AA461" t="str">
            <v>Bogota</v>
          </cell>
          <cell r="AB461" t="str">
            <v>Cruz Roja</v>
          </cell>
          <cell r="AC461" t="str">
            <v>Av. Kra  68 # 68 B-31 Bloque 1 Piso 1</v>
          </cell>
          <cell r="AD461"/>
          <cell r="AE461">
            <v>17460</v>
          </cell>
          <cell r="AF461">
            <v>15000</v>
          </cell>
          <cell r="AG461">
            <v>12</v>
          </cell>
          <cell r="AH461">
            <v>25</v>
          </cell>
          <cell r="AI461">
            <v>20000</v>
          </cell>
          <cell r="AJ461">
            <v>18000</v>
          </cell>
          <cell r="AK461">
            <v>-3000</v>
          </cell>
          <cell r="AL461">
            <v>17460</v>
          </cell>
        </row>
        <row r="462">
          <cell r="T462" t="str">
            <v>Sarahay Galarraga</v>
          </cell>
          <cell r="U462" t="str">
            <v>Carrera 24 # 11 – 36 Barrio Ricaurte</v>
          </cell>
          <cell r="V462" t="str">
            <v>ricaurte</v>
          </cell>
          <cell r="W462" t="str">
            <v>LEJANO</v>
          </cell>
          <cell r="X462">
            <v>3005419378</v>
          </cell>
          <cell r="Y462" t="str">
            <v>CENTRO</v>
          </cell>
          <cell r="Z462" t="str">
            <v>ricaurte</v>
          </cell>
          <cell r="AA462" t="str">
            <v>BOGOTÁ</v>
          </cell>
          <cell r="AB462" t="str">
            <v>Occidente</v>
          </cell>
          <cell r="AC462" t="str">
            <v>Calle 5C No. 71C - 29 Torre B Piso 2 
Edificio Servicios Ambulatorios</v>
          </cell>
          <cell r="AD462"/>
          <cell r="AE462">
            <v>17460</v>
          </cell>
          <cell r="AF462">
            <v>12000</v>
          </cell>
          <cell r="AG462">
            <v>8</v>
          </cell>
          <cell r="AH462">
            <v>19</v>
          </cell>
          <cell r="AI462">
            <v>20000</v>
          </cell>
          <cell r="AJ462">
            <v>18000</v>
          </cell>
          <cell r="AK462">
            <v>-6000</v>
          </cell>
          <cell r="AL462">
            <v>17460</v>
          </cell>
        </row>
        <row r="463">
          <cell r="T463" t="str">
            <v>Sergio Andrés Gómez</v>
          </cell>
          <cell r="U463" t="str">
            <v>Carrera 38 # 13 - 126 (Ciudad Verde)</v>
          </cell>
          <cell r="V463" t="str">
            <v>ciudad verde</v>
          </cell>
          <cell r="W463" t="str">
            <v>INTERMUNICIPAL</v>
          </cell>
          <cell r="X463">
            <v>3136549097</v>
          </cell>
          <cell r="Y463" t="str">
            <v>CENTRO</v>
          </cell>
          <cell r="Z463" t="str">
            <v>ciudad verde</v>
          </cell>
          <cell r="AA463" t="str">
            <v>Bogota</v>
          </cell>
          <cell r="AB463" t="str">
            <v>Cruz Roja</v>
          </cell>
          <cell r="AC463" t="str">
            <v>Av. Kra  68 # 68 B-31 Bloque 1 Piso 1</v>
          </cell>
          <cell r="AD463"/>
          <cell r="AE463">
            <v>61110</v>
          </cell>
          <cell r="AF463">
            <v>50000</v>
          </cell>
          <cell r="AG463">
            <v>26</v>
          </cell>
          <cell r="AH463">
            <v>45</v>
          </cell>
          <cell r="AI463">
            <v>70000</v>
          </cell>
          <cell r="AJ463">
            <v>63000</v>
          </cell>
          <cell r="AK463">
            <v>-13000</v>
          </cell>
          <cell r="AL463">
            <v>61110</v>
          </cell>
        </row>
        <row r="464">
          <cell r="T464" t="str">
            <v>Stephanie Andrea Suarez</v>
          </cell>
          <cell r="U464" t="str">
            <v>cra 18 A #  182-58</v>
          </cell>
          <cell r="V464" t="str">
            <v>no aplica</v>
          </cell>
          <cell r="W464" t="str">
            <v>LEJANO</v>
          </cell>
          <cell r="X464" t="e">
            <v>#REF!</v>
          </cell>
          <cell r="Y464" t="str">
            <v>CENTRO</v>
          </cell>
          <cell r="Z464" t="str">
            <v>no aplica</v>
          </cell>
          <cell r="AA464" t="str">
            <v>BOGOTÁ</v>
          </cell>
          <cell r="AB464" t="str">
            <v>Occidente</v>
          </cell>
          <cell r="AC464" t="str">
            <v>Calle 5C No. 71C - 29 Torre B Piso 2 
Edificio Servicios Ambulatorios</v>
          </cell>
          <cell r="AD464"/>
          <cell r="AE464">
            <v>26190</v>
          </cell>
          <cell r="AF464">
            <v>22000</v>
          </cell>
          <cell r="AG464">
            <v>23</v>
          </cell>
          <cell r="AH464">
            <v>42</v>
          </cell>
          <cell r="AI464" t="e">
            <v>#N/A</v>
          </cell>
          <cell r="AJ464">
            <v>27000</v>
          </cell>
          <cell r="AK464">
            <v>-5000</v>
          </cell>
          <cell r="AL464">
            <v>26190</v>
          </cell>
        </row>
        <row r="465">
          <cell r="T465" t="str">
            <v>Susana vargas</v>
          </cell>
          <cell r="U465" t="str">
            <v>TV 4 #52 B-64 CHAPINERO</v>
          </cell>
          <cell r="V465" t="str">
            <v>chapinero</v>
          </cell>
          <cell r="W465" t="str">
            <v>LEJANO</v>
          </cell>
          <cell r="X465" t="e">
            <v>#REF!</v>
          </cell>
          <cell r="Y465" t="str">
            <v>CENTRO</v>
          </cell>
          <cell r="Z465" t="str">
            <v>chapinero</v>
          </cell>
          <cell r="AA465" t="str">
            <v>Bogota</v>
          </cell>
          <cell r="AB465" t="str">
            <v>Dorado</v>
          </cell>
          <cell r="AC465" t="str">
            <v>Diagonal 82 Bis # 85 - 90</v>
          </cell>
          <cell r="AD465"/>
          <cell r="AE465">
            <v>17460</v>
          </cell>
          <cell r="AF465">
            <v>15000</v>
          </cell>
          <cell r="AG465">
            <v>12</v>
          </cell>
          <cell r="AH465">
            <v>23</v>
          </cell>
          <cell r="AI465" t="e">
            <v>#N/A</v>
          </cell>
          <cell r="AJ465">
            <v>18000</v>
          </cell>
          <cell r="AK465">
            <v>-3000</v>
          </cell>
          <cell r="AL465">
            <v>17460</v>
          </cell>
        </row>
        <row r="466">
          <cell r="T466" t="str">
            <v>Vanessa Bojaca CLL 161 # 7g-36</v>
          </cell>
          <cell r="U466" t="str">
            <v>Calle 70 # 118 B -07</v>
          </cell>
          <cell r="V466" t="str">
            <v>Engativa barrio la fadena</v>
          </cell>
          <cell r="W466" t="str">
            <v>LEJANO</v>
          </cell>
          <cell r="X466" t="e">
            <v>#REF!</v>
          </cell>
          <cell r="Y466" t="str">
            <v>CENTRO</v>
          </cell>
          <cell r="Z466" t="str">
            <v>Engativa barrio la fadena</v>
          </cell>
          <cell r="AA466" t="str">
            <v>Bogota</v>
          </cell>
          <cell r="AB466" t="str">
            <v>Fmexpress Bogotá</v>
          </cell>
          <cell r="AC466" t="str">
            <v>BOGOTA CLL 161 # 7G-36</v>
          </cell>
          <cell r="AD466"/>
          <cell r="AE466">
            <v>26675</v>
          </cell>
          <cell r="AF466">
            <v>22000</v>
          </cell>
          <cell r="AG466">
            <v>14</v>
          </cell>
          <cell r="AH466">
            <v>24</v>
          </cell>
          <cell r="AI466" t="e">
            <v>#N/A</v>
          </cell>
          <cell r="AJ466">
            <v>27500</v>
          </cell>
          <cell r="AK466">
            <v>-5500</v>
          </cell>
          <cell r="AL466">
            <v>26675</v>
          </cell>
        </row>
        <row r="467">
          <cell r="T467" t="str">
            <v>VILLAMIL DUEÑAS KATERINE</v>
          </cell>
          <cell r="U467" t="str">
            <v>CARRERA 90A #46-51 SUR CONJUNTO CASTELO NUEVA CASTILLA</v>
          </cell>
          <cell r="V467" t="str">
            <v>nueva castilla</v>
          </cell>
          <cell r="W467" t="str">
            <v>LEJANO</v>
          </cell>
          <cell r="X467">
            <v>3202267643</v>
          </cell>
          <cell r="Y467" t="str">
            <v>CENTRO</v>
          </cell>
          <cell r="Z467" t="str">
            <v>nueva castilla</v>
          </cell>
          <cell r="AA467" t="str">
            <v>Bogota</v>
          </cell>
          <cell r="AB467" t="str">
            <v>Dorado</v>
          </cell>
          <cell r="AC467" t="str">
            <v>Diagonal 82 Bis # 85 - 90</v>
          </cell>
          <cell r="AD467"/>
          <cell r="AE467">
            <v>26190</v>
          </cell>
          <cell r="AF467">
            <v>22000</v>
          </cell>
          <cell r="AG467">
            <v>17</v>
          </cell>
          <cell r="AH467">
            <v>32</v>
          </cell>
          <cell r="AI467">
            <v>30000</v>
          </cell>
          <cell r="AJ467">
            <v>27000</v>
          </cell>
          <cell r="AK467">
            <v>-5000</v>
          </cell>
          <cell r="AL467">
            <v>26190</v>
          </cell>
        </row>
        <row r="468">
          <cell r="T468" t="str">
            <v>Yadira Malagón</v>
          </cell>
          <cell r="U468" t="str">
            <v>Cra 70 D # 79 - 40</v>
          </cell>
          <cell r="V468" t="str">
            <v>bonanza</v>
          </cell>
          <cell r="W468" t="str">
            <v>CERCANO</v>
          </cell>
          <cell r="X468">
            <v>3143422803</v>
          </cell>
          <cell r="Y468" t="str">
            <v>CENTRO</v>
          </cell>
          <cell r="Z468" t="str">
            <v>bonanza</v>
          </cell>
          <cell r="AA468" t="str">
            <v>Bogota</v>
          </cell>
          <cell r="AB468" t="str">
            <v>Cruz Roja</v>
          </cell>
          <cell r="AC468" t="str">
            <v>Av. Kra  68 # 68 B-31 Bloque 1 Piso 1</v>
          </cell>
          <cell r="AD468"/>
          <cell r="AE468">
            <v>13095</v>
          </cell>
          <cell r="AF468">
            <v>8000</v>
          </cell>
          <cell r="AG468">
            <v>3</v>
          </cell>
          <cell r="AH468">
            <v>9</v>
          </cell>
          <cell r="AI468">
            <v>15000</v>
          </cell>
          <cell r="AJ468">
            <v>13500</v>
          </cell>
          <cell r="AK468">
            <v>-5500</v>
          </cell>
          <cell r="AL468">
            <v>13095</v>
          </cell>
        </row>
        <row r="469">
          <cell r="T469" t="str">
            <v>Yadira Suárez</v>
          </cell>
          <cell r="U469" t="str">
            <v>Calle  77 B # 119 - 40 (Gran Granada)</v>
          </cell>
          <cell r="V469" t="str">
            <v xml:space="preserve">GRAN GRANADA </v>
          </cell>
          <cell r="W469" t="str">
            <v>LEJANO</v>
          </cell>
          <cell r="X469">
            <v>3185793538</v>
          </cell>
          <cell r="Y469" t="str">
            <v>CENTRO</v>
          </cell>
          <cell r="Z469" t="str">
            <v xml:space="preserve">GRAN GRANADA </v>
          </cell>
          <cell r="AA469" t="str">
            <v>Bogota</v>
          </cell>
          <cell r="AB469" t="str">
            <v>Cruz Roja</v>
          </cell>
          <cell r="AC469" t="str">
            <v>Av. Kra  68 # 68 B-31 Bloque 1 Piso 1</v>
          </cell>
          <cell r="AD469"/>
          <cell r="AE469">
            <v>17460</v>
          </cell>
          <cell r="AF469">
            <v>15000</v>
          </cell>
          <cell r="AG469">
            <v>11</v>
          </cell>
          <cell r="AH469">
            <v>22</v>
          </cell>
          <cell r="AI469">
            <v>20000</v>
          </cell>
          <cell r="AJ469">
            <v>18000</v>
          </cell>
          <cell r="AK469">
            <v>-3000</v>
          </cell>
          <cell r="AL469">
            <v>17460</v>
          </cell>
        </row>
        <row r="470">
          <cell r="T470" t="str">
            <v>YAMILE SIERRA</v>
          </cell>
          <cell r="U470" t="str">
            <v xml:space="preserve">CALLE 36 SUR # 35-13-villa mayor antigua                      </v>
          </cell>
          <cell r="V470" t="str">
            <v>villa mayor antigua</v>
          </cell>
          <cell r="W470" t="str">
            <v>CERCANO</v>
          </cell>
          <cell r="X470">
            <v>3148870857</v>
          </cell>
          <cell r="Y470" t="str">
            <v>CENTRO</v>
          </cell>
          <cell r="Z470" t="str">
            <v>villa mayor antigua</v>
          </cell>
          <cell r="AA470" t="str">
            <v>Bogota</v>
          </cell>
          <cell r="AB470" t="str">
            <v>San Jose</v>
          </cell>
          <cell r="AC470" t="str">
            <v>Cll. 10 # 18-75 piso 3</v>
          </cell>
          <cell r="AD470"/>
          <cell r="AE470">
            <v>13095</v>
          </cell>
          <cell r="AF470">
            <v>10000</v>
          </cell>
          <cell r="AG470">
            <v>6</v>
          </cell>
          <cell r="AH470">
            <v>17</v>
          </cell>
          <cell r="AI470">
            <v>15000</v>
          </cell>
          <cell r="AJ470">
            <v>13500</v>
          </cell>
          <cell r="AK470">
            <v>-3500</v>
          </cell>
          <cell r="AL470">
            <v>13095</v>
          </cell>
        </row>
        <row r="471">
          <cell r="T471" t="str">
            <v>Yholeima Fuentes</v>
          </cell>
          <cell r="U471" t="str">
            <v>Diag 99 sur # 6 - 65 Este  Alfonso López</v>
          </cell>
          <cell r="V471" t="str">
            <v>alfonso lopez</v>
          </cell>
          <cell r="W471" t="str">
            <v>LEJANO PERIFERIA AL SUR ORIENTE</v>
          </cell>
          <cell r="X471">
            <v>3118877103</v>
          </cell>
          <cell r="Y471" t="str">
            <v>CENTRO</v>
          </cell>
          <cell r="Z471" t="str">
            <v>alfonso lopez</v>
          </cell>
          <cell r="AA471" t="str">
            <v>Bogota</v>
          </cell>
          <cell r="AB471" t="str">
            <v>Cruz Roja</v>
          </cell>
          <cell r="AC471" t="str">
            <v>Av. Kra  68 # 68 B-31 Bloque 1 Piso 1</v>
          </cell>
          <cell r="AD471"/>
          <cell r="AE471">
            <v>26190</v>
          </cell>
          <cell r="AF471">
            <v>22000</v>
          </cell>
          <cell r="AG471">
            <v>28</v>
          </cell>
          <cell r="AH471">
            <v>45</v>
          </cell>
          <cell r="AI471">
            <v>30000</v>
          </cell>
          <cell r="AJ471">
            <v>27000</v>
          </cell>
          <cell r="AK471">
            <v>-5000</v>
          </cell>
          <cell r="AL471">
            <v>26190</v>
          </cell>
        </row>
        <row r="472">
          <cell r="T472" t="str">
            <v xml:space="preserve"> DR PEDRO VILLAN</v>
          </cell>
          <cell r="U472" t="str">
            <v>CLL 64 A # 52-53</v>
          </cell>
          <cell r="V472" t="str">
            <v>Modelo Norte</v>
          </cell>
          <cell r="W472" t="str">
            <v>LEJANO</v>
          </cell>
          <cell r="X472" t="e">
            <v>#REF!</v>
          </cell>
          <cell r="Y472" t="str">
            <v>CENTRO</v>
          </cell>
          <cell r="Z472" t="str">
            <v>Modelo Norte</v>
          </cell>
          <cell r="AA472" t="str">
            <v>BOGOTÁ</v>
          </cell>
          <cell r="AB472" t="str">
            <v>Occidente</v>
          </cell>
          <cell r="AC472" t="str">
            <v>Calle 5C No. 71C - 29 Torre B Piso 2 
Edificio Servicios Ambulatorios</v>
          </cell>
          <cell r="AD472"/>
          <cell r="AE472">
            <v>17460</v>
          </cell>
          <cell r="AF472">
            <v>12000</v>
          </cell>
          <cell r="AG472">
            <v>11</v>
          </cell>
          <cell r="AH472">
            <v>22</v>
          </cell>
          <cell r="AI472" t="e">
            <v>#N/A</v>
          </cell>
          <cell r="AJ472">
            <v>18000</v>
          </cell>
          <cell r="AK472">
            <v>-6000</v>
          </cell>
          <cell r="AL472">
            <v>17460</v>
          </cell>
        </row>
        <row r="473">
          <cell r="T473" t="str">
            <v>Madeleine Cardona Rincon</v>
          </cell>
          <cell r="U473" t="str">
            <v>CRA 54 NUM 46-41 SUR BARRIO VENECIA-BOGOTA</v>
          </cell>
          <cell r="V473" t="str">
            <v>Venecia</v>
          </cell>
          <cell r="W473" t="str">
            <v>LEJANO</v>
          </cell>
          <cell r="X473">
            <v>3058956041</v>
          </cell>
          <cell r="Y473" t="str">
            <v>CENTRO</v>
          </cell>
          <cell r="Z473" t="str">
            <v>Venecia</v>
          </cell>
          <cell r="AA473" t="str">
            <v>BOGOTÁ</v>
          </cell>
          <cell r="AB473" t="str">
            <v>Occidente</v>
          </cell>
          <cell r="AC473" t="str">
            <v>Calle 5C No. 71C - 29 Torre B Piso 2 
Edificio Servicios Ambulatorios</v>
          </cell>
          <cell r="AD473"/>
          <cell r="AE473">
            <v>17460</v>
          </cell>
          <cell r="AF473">
            <v>15000</v>
          </cell>
          <cell r="AG473">
            <v>8</v>
          </cell>
          <cell r="AH473">
            <v>14</v>
          </cell>
          <cell r="AI473">
            <v>20000</v>
          </cell>
          <cell r="AJ473">
            <v>18000</v>
          </cell>
          <cell r="AK473">
            <v>-3000</v>
          </cell>
          <cell r="AL473">
            <v>17460</v>
          </cell>
        </row>
        <row r="474">
          <cell r="T474" t="str">
            <v>Madeleine Cardona Rincon</v>
          </cell>
          <cell r="U474" t="str">
            <v>CRA 54 NUM 46-41 SUR BARRIO VENECIA-BOGOTA</v>
          </cell>
          <cell r="V474" t="str">
            <v>Venecia</v>
          </cell>
          <cell r="W474" t="str">
            <v>LEJANO</v>
          </cell>
          <cell r="X474">
            <v>3058956041</v>
          </cell>
          <cell r="Y474" t="str">
            <v>CENTRO</v>
          </cell>
          <cell r="Z474" t="str">
            <v>Venecia</v>
          </cell>
          <cell r="AA474" t="str">
            <v>Bogota</v>
          </cell>
          <cell r="AB474" t="str">
            <v>San Jose</v>
          </cell>
          <cell r="AC474" t="str">
            <v>Cll. 10 # 18-75 piso 3</v>
          </cell>
          <cell r="AD474"/>
          <cell r="AE474">
            <v>17460</v>
          </cell>
          <cell r="AF474">
            <v>10000</v>
          </cell>
          <cell r="AG474">
            <v>8</v>
          </cell>
          <cell r="AH474">
            <v>14</v>
          </cell>
          <cell r="AI474">
            <v>20000</v>
          </cell>
          <cell r="AJ474">
            <v>18000</v>
          </cell>
          <cell r="AK474">
            <v>-8000</v>
          </cell>
          <cell r="AL474">
            <v>17460</v>
          </cell>
        </row>
        <row r="475">
          <cell r="T475" t="str">
            <v>LIZETH CASTILLO BAEZ</v>
          </cell>
          <cell r="U475" t="str">
            <v>CARRERA 91C N. 5A-45 SUR</v>
          </cell>
          <cell r="V475" t="str">
            <v>PRIMAVERA EL TINTAL ETAPA 3</v>
          </cell>
          <cell r="W475" t="str">
            <v>LEJANO</v>
          </cell>
          <cell r="X475" t="e">
            <v>#REF!</v>
          </cell>
          <cell r="Y475" t="str">
            <v>CENTRO</v>
          </cell>
          <cell r="Z475" t="str">
            <v>PRIMAVERA EL TINTAL ETAPA 3</v>
          </cell>
          <cell r="AA475" t="str">
            <v>Bogota</v>
          </cell>
          <cell r="AB475" t="str">
            <v>San Jose</v>
          </cell>
          <cell r="AC475" t="str">
            <v>Cll. 10 # 18-75 piso 3</v>
          </cell>
          <cell r="AD475"/>
          <cell r="AE475">
            <v>17460</v>
          </cell>
          <cell r="AF475">
            <v>10000</v>
          </cell>
          <cell r="AG475">
            <v>13</v>
          </cell>
          <cell r="AH475">
            <v>24</v>
          </cell>
          <cell r="AI475" t="e">
            <v>#N/A</v>
          </cell>
          <cell r="AJ475">
            <v>18000</v>
          </cell>
          <cell r="AK475">
            <v>-8000</v>
          </cell>
          <cell r="AL475">
            <v>17460</v>
          </cell>
        </row>
        <row r="476">
          <cell r="T476" t="str">
            <v>GERMAN AUGUSTO CASTRO GARZON</v>
          </cell>
          <cell r="U476" t="str">
            <v>Calle 151c#115-45 Barrio suba compartir</v>
          </cell>
          <cell r="V476" t="str">
            <v>suba compartir</v>
          </cell>
          <cell r="W476" t="str">
            <v>LEJANO</v>
          </cell>
          <cell r="X476" t="e">
            <v>#REF!</v>
          </cell>
          <cell r="Y476" t="str">
            <v>CENTRO</v>
          </cell>
          <cell r="Z476" t="str">
            <v>suba compartir</v>
          </cell>
          <cell r="AA476" t="str">
            <v>BOGOTÁ</v>
          </cell>
          <cell r="AB476" t="str">
            <v>Occidente</v>
          </cell>
          <cell r="AC476" t="str">
            <v>Calle 5C No. 71C - 29 Torre B Piso 2 
Edificio Servicios Ambulatorios</v>
          </cell>
          <cell r="AD476"/>
          <cell r="AE476">
            <v>26190</v>
          </cell>
          <cell r="AF476">
            <v>22000</v>
          </cell>
          <cell r="AG476">
            <v>20</v>
          </cell>
          <cell r="AH476">
            <v>31</v>
          </cell>
          <cell r="AI476" t="e">
            <v>#N/A</v>
          </cell>
          <cell r="AJ476">
            <v>27000</v>
          </cell>
          <cell r="AK476">
            <v>-5000</v>
          </cell>
          <cell r="AL476">
            <v>26190</v>
          </cell>
        </row>
        <row r="477">
          <cell r="T477" t="str">
            <v>Matha Niño</v>
          </cell>
          <cell r="U477" t="str">
            <v>Calle 146 # 7f -45</v>
          </cell>
          <cell r="V477" t="str">
            <v>cedritos</v>
          </cell>
          <cell r="W477" t="str">
            <v>LEJANO</v>
          </cell>
          <cell r="X477">
            <v>3115807186</v>
          </cell>
          <cell r="Y477" t="str">
            <v>CENTRO</v>
          </cell>
          <cell r="Z477" t="str">
            <v>cedritos</v>
          </cell>
          <cell r="AA477" t="str">
            <v>Bogota</v>
          </cell>
          <cell r="AB477" t="str">
            <v>Horizonte</v>
          </cell>
          <cell r="AC477" t="str">
            <v>Av. Cll 134 # 7b- 83 Edificio el Bosque piso 2 Consultorio 2018</v>
          </cell>
          <cell r="AD477"/>
          <cell r="AE477">
            <v>17460</v>
          </cell>
          <cell r="AF477">
            <v>12000</v>
          </cell>
          <cell r="AG477">
            <v>18</v>
          </cell>
          <cell r="AH477">
            <v>25</v>
          </cell>
          <cell r="AI477">
            <v>20000</v>
          </cell>
          <cell r="AJ477">
            <v>18000</v>
          </cell>
          <cell r="AK477">
            <v>-6000</v>
          </cell>
          <cell r="AL477">
            <v>17460</v>
          </cell>
        </row>
        <row r="478">
          <cell r="T478" t="str">
            <v>Adriana María Cardona Barrera</v>
          </cell>
          <cell r="U478" t="str">
            <v xml:space="preserve">Municipio La Estrella </v>
          </cell>
          <cell r="V478" t="str">
            <v>Municipio la estrella</v>
          </cell>
          <cell r="W478" t="str">
            <v>INTERMUNICIPAL</v>
          </cell>
          <cell r="X478">
            <v>3196625014</v>
          </cell>
          <cell r="Y478" t="str">
            <v>SUROCCIDENTE</v>
          </cell>
          <cell r="Z478" t="str">
            <v>Municipio la estrella</v>
          </cell>
          <cell r="AA478" t="str">
            <v xml:space="preserve">Medellin </v>
          </cell>
          <cell r="AB478" t="str">
            <v>Bello</v>
          </cell>
          <cell r="AC478" t="str">
            <v>Dg.  50A # 41 - 74</v>
          </cell>
          <cell r="AD478"/>
          <cell r="AE478">
            <v>39285</v>
          </cell>
          <cell r="AF478">
            <v>38000</v>
          </cell>
          <cell r="AG478">
            <v>26</v>
          </cell>
          <cell r="AH478">
            <v>30</v>
          </cell>
          <cell r="AI478">
            <v>45000</v>
          </cell>
          <cell r="AJ478">
            <v>40500</v>
          </cell>
          <cell r="AK478">
            <v>-2500</v>
          </cell>
          <cell r="AL478">
            <v>39285</v>
          </cell>
        </row>
        <row r="479">
          <cell r="T479" t="str">
            <v>AMANDA CORDOBA</v>
          </cell>
          <cell r="U479" t="str">
            <v>CALLE 39N 26D-18 LA MILAGROSA</v>
          </cell>
          <cell r="V479" t="str">
            <v>La Milagrosa</v>
          </cell>
          <cell r="W479" t="str">
            <v>ORDEN PUBLICO</v>
          </cell>
          <cell r="X479">
            <v>3114184754</v>
          </cell>
          <cell r="Y479" t="str">
            <v>SUROCCIDENTE</v>
          </cell>
          <cell r="Z479" t="str">
            <v>La Milagrosa</v>
          </cell>
          <cell r="AA479" t="str">
            <v>Medellin</v>
          </cell>
          <cell r="AB479" t="str">
            <v>Las Américas</v>
          </cell>
          <cell r="AC479" t="str">
            <v xml:space="preserve">Dg.75B # 2 A - 80 piso 3 </v>
          </cell>
          <cell r="AD479"/>
          <cell r="AE479">
            <v>21825</v>
          </cell>
          <cell r="AF479">
            <v>13000</v>
          </cell>
          <cell r="AG479" t="str">
            <v>6 km</v>
          </cell>
          <cell r="AH479" t="str">
            <v>15 min</v>
          </cell>
          <cell r="AI479">
            <v>25000</v>
          </cell>
          <cell r="AJ479">
            <v>22500</v>
          </cell>
          <cell r="AK479">
            <v>-9500</v>
          </cell>
          <cell r="AL479">
            <v>21825</v>
          </cell>
        </row>
        <row r="480">
          <cell r="T480" t="str">
            <v>Andrea del Pilar Builes Clavijo</v>
          </cell>
          <cell r="U480" t="str">
            <v>CRA 6° N 5-15 GUARINOCITO</v>
          </cell>
          <cell r="V480" t="str">
            <v>guarinocito</v>
          </cell>
          <cell r="W480" t="str">
            <v>INTERMUNICIPAL</v>
          </cell>
          <cell r="X480">
            <v>3136464176</v>
          </cell>
          <cell r="Y480" t="str">
            <v>CENTRO</v>
          </cell>
          <cell r="Z480" t="str">
            <v>guarinocito</v>
          </cell>
          <cell r="AA480" t="str">
            <v>Honda</v>
          </cell>
          <cell r="AB480" t="str">
            <v>Honda</v>
          </cell>
          <cell r="AC480" t="str">
            <v>Calle 9 No. 16-38 Av Centenario Hospital San Juan de Dios Honda</v>
          </cell>
          <cell r="AD480"/>
          <cell r="AE480">
            <v>52380</v>
          </cell>
          <cell r="AF480">
            <v>50000</v>
          </cell>
          <cell r="AG480" t="str">
            <v>21 KM</v>
          </cell>
          <cell r="AH480" t="str">
            <v>25 MIN</v>
          </cell>
          <cell r="AI480">
            <v>60000</v>
          </cell>
          <cell r="AJ480">
            <v>54000</v>
          </cell>
          <cell r="AK480">
            <v>-4000</v>
          </cell>
          <cell r="AL480">
            <v>52380</v>
          </cell>
        </row>
        <row r="481">
          <cell r="T481" t="str">
            <v>ANDREA JARAMILLO</v>
          </cell>
          <cell r="U481" t="str">
            <v>CALLE 54 CARRERA 17 CAICEDO CASA 17 A 20</v>
          </cell>
          <cell r="V481" t="str">
            <v>BARRIO CAICEDO, COMUNA 8 PARTE MEDIO ALTA</v>
          </cell>
          <cell r="W481" t="str">
            <v>ORDEN PUBLICO</v>
          </cell>
          <cell r="X481">
            <v>3053392035</v>
          </cell>
          <cell r="Y481" t="str">
            <v>SUROCCIDENTE</v>
          </cell>
          <cell r="Z481" t="str">
            <v>BARRIO CAICEDO, COMUNA 8 PARTE MEDIO ALTA</v>
          </cell>
          <cell r="AA481" t="str">
            <v>Medellin</v>
          </cell>
          <cell r="AB481" t="str">
            <v>Hosp. San Vicente de Paúl</v>
          </cell>
          <cell r="AC481" t="str">
            <v>Cll. 64 # 51 D - 70 HSVP</v>
          </cell>
          <cell r="AD481"/>
          <cell r="AE481">
            <v>24250</v>
          </cell>
          <cell r="AF481">
            <v>12000</v>
          </cell>
          <cell r="AG481" t="str">
            <v>5 KM</v>
          </cell>
          <cell r="AH481" t="str">
            <v>13 MIN</v>
          </cell>
          <cell r="AI481">
            <v>20000</v>
          </cell>
          <cell r="AJ481">
            <v>20000</v>
          </cell>
          <cell r="AK481">
            <v>-8000</v>
          </cell>
          <cell r="AL481">
            <v>19400</v>
          </cell>
        </row>
        <row r="482">
          <cell r="T482" t="str">
            <v xml:space="preserve">ARLEY ESQUIVEL </v>
          </cell>
          <cell r="U482" t="str">
            <v>CALLE 36 E SUR # 28-25</v>
          </cell>
          <cell r="V482" t="str">
            <v>Envigado</v>
          </cell>
          <cell r="W482" t="str">
            <v>LEJANO</v>
          </cell>
          <cell r="X482">
            <v>3135977720</v>
          </cell>
          <cell r="Y482" t="str">
            <v>SUROCCIDENTE</v>
          </cell>
          <cell r="Z482" t="str">
            <v>Envigado</v>
          </cell>
          <cell r="AA482" t="str">
            <v>Medellin</v>
          </cell>
          <cell r="AB482" t="str">
            <v>Envigado</v>
          </cell>
          <cell r="AC482" t="str">
            <v>Dg. 31 # 36 A Sur - 80</v>
          </cell>
          <cell r="AD482"/>
          <cell r="AE482">
            <v>19400</v>
          </cell>
          <cell r="AF482">
            <v>9000</v>
          </cell>
          <cell r="AG482" t="str">
            <v>13 km</v>
          </cell>
          <cell r="AH482" t="str">
            <v>20 min</v>
          </cell>
          <cell r="AI482" t="e">
            <v>#N/A</v>
          </cell>
          <cell r="AJ482">
            <v>20000</v>
          </cell>
          <cell r="AK482">
            <v>-11000</v>
          </cell>
          <cell r="AL482">
            <v>19400</v>
          </cell>
        </row>
        <row r="483">
          <cell r="T483" t="str">
            <v xml:space="preserve">Arnold Estupiñan Fuentes </v>
          </cell>
          <cell r="U483" t="str">
            <v xml:space="preserve">Cra 50 D # 65-29 La candelaria </v>
          </cell>
          <cell r="V483" t="str">
            <v>La candelaria</v>
          </cell>
          <cell r="W483" t="str">
            <v>CERCANO</v>
          </cell>
          <cell r="X483">
            <v>3209737252</v>
          </cell>
          <cell r="Y483" t="str">
            <v>SUROCCIDENTE</v>
          </cell>
          <cell r="Z483" t="str">
            <v>La candelaria</v>
          </cell>
          <cell r="AA483" t="str">
            <v>Medellin</v>
          </cell>
          <cell r="AB483" t="str">
            <v>Hosp. San Vicente de Paúl</v>
          </cell>
          <cell r="AC483" t="str">
            <v>Cll. 64 # 51 D - 70 HSVP</v>
          </cell>
          <cell r="AD483"/>
          <cell r="AE483">
            <v>13095</v>
          </cell>
          <cell r="AF483">
            <v>9000</v>
          </cell>
          <cell r="AG483" t="str">
            <v>1 km</v>
          </cell>
          <cell r="AH483" t="str">
            <v>5 MIN</v>
          </cell>
          <cell r="AI483">
            <v>15000</v>
          </cell>
          <cell r="AJ483">
            <v>13500</v>
          </cell>
          <cell r="AK483">
            <v>-4500</v>
          </cell>
          <cell r="AL483">
            <v>13095</v>
          </cell>
        </row>
        <row r="484">
          <cell r="T484" t="str">
            <v xml:space="preserve">BEATRIZ ELANA CANO BUILES </v>
          </cell>
          <cell r="U484" t="str">
            <v>KRA. 87B NRO.  45B35</v>
          </cell>
          <cell r="V484">
            <v>0</v>
          </cell>
          <cell r="W484" t="str">
            <v>LEJANO</v>
          </cell>
          <cell r="X484" t="str">
            <v>3007697318 y 3053104299</v>
          </cell>
          <cell r="Y484" t="str">
            <v>SUROCCIDENTE</v>
          </cell>
          <cell r="Z484">
            <v>0</v>
          </cell>
          <cell r="AA484" t="str">
            <v>Medellin</v>
          </cell>
          <cell r="AB484" t="str">
            <v>Envigado</v>
          </cell>
          <cell r="AC484" t="str">
            <v>Dg. 31 # 36 A Sur - 80</v>
          </cell>
          <cell r="AD484"/>
          <cell r="AE484">
            <v>19400</v>
          </cell>
          <cell r="AF484">
            <v>9000</v>
          </cell>
          <cell r="AG484" t="str">
            <v>15 KM</v>
          </cell>
          <cell r="AH484" t="str">
            <v>25 MIN</v>
          </cell>
          <cell r="AI484" t="e">
            <v>#N/A</v>
          </cell>
          <cell r="AJ484">
            <v>20000</v>
          </cell>
          <cell r="AK484">
            <v>-11000</v>
          </cell>
          <cell r="AL484">
            <v>19400</v>
          </cell>
        </row>
        <row r="485">
          <cell r="T485" t="str">
            <v xml:space="preserve">Blacina Ordoñez </v>
          </cell>
          <cell r="U485" t="str">
            <v xml:space="preserve">Cll77 c sur # 45-37 Edificio Recinto Del trapiche Sabaneta </v>
          </cell>
          <cell r="V485" t="str">
            <v>Sabaneta</v>
          </cell>
          <cell r="W485" t="str">
            <v>INTERMUNICIPAL</v>
          </cell>
          <cell r="X485">
            <v>3188381123</v>
          </cell>
          <cell r="Y485" t="str">
            <v>SUROCCIDENTE</v>
          </cell>
          <cell r="Z485" t="str">
            <v>Sabaneta</v>
          </cell>
          <cell r="AA485" t="str">
            <v>Medellin</v>
          </cell>
          <cell r="AB485" t="str">
            <v>Hosp. San Vicente de Paúl</v>
          </cell>
          <cell r="AC485" t="str">
            <v>Cll. 64 # 51 D - 70 HSVP</v>
          </cell>
          <cell r="AD485"/>
          <cell r="AE485">
            <v>48500</v>
          </cell>
          <cell r="AF485">
            <v>30000</v>
          </cell>
          <cell r="AG485" t="str">
            <v>20 km</v>
          </cell>
          <cell r="AH485" t="str">
            <v>25 min</v>
          </cell>
          <cell r="AI485">
            <v>40000</v>
          </cell>
          <cell r="AJ485">
            <v>40000</v>
          </cell>
          <cell r="AK485">
            <v>-10000</v>
          </cell>
          <cell r="AL485">
            <v>38800</v>
          </cell>
        </row>
        <row r="486">
          <cell r="T486" t="str">
            <v>CARLOS CALLEJAS</v>
          </cell>
          <cell r="U486" t="str">
            <v>MANRIQUE</v>
          </cell>
          <cell r="V486" t="str">
            <v>MANRIQUE</v>
          </cell>
          <cell r="W486" t="str">
            <v>ORDEN PUBLICO</v>
          </cell>
          <cell r="X486">
            <v>3016140875</v>
          </cell>
          <cell r="Y486" t="str">
            <v>SUROCCIDENTE</v>
          </cell>
          <cell r="Z486" t="str">
            <v>MANRIQUE</v>
          </cell>
          <cell r="AA486" t="str">
            <v>Medellin</v>
          </cell>
          <cell r="AB486" t="str">
            <v>Envigado</v>
          </cell>
          <cell r="AC486" t="str">
            <v>Dg. 31 # 36 A Sur - 80</v>
          </cell>
          <cell r="AD486"/>
          <cell r="AE486">
            <v>19400</v>
          </cell>
          <cell r="AF486">
            <v>16000</v>
          </cell>
          <cell r="AG486" t="str">
            <v>15 KM</v>
          </cell>
          <cell r="AH486" t="str">
            <v>22 MIN</v>
          </cell>
          <cell r="AI486" t="e">
            <v>#N/A</v>
          </cell>
          <cell r="AJ486">
            <v>20000</v>
          </cell>
          <cell r="AK486">
            <v>-4000</v>
          </cell>
          <cell r="AL486">
            <v>19400</v>
          </cell>
        </row>
        <row r="487">
          <cell r="T487" t="str">
            <v>Claudia Botero</v>
          </cell>
          <cell r="U487" t="str">
            <v>Guarne</v>
          </cell>
          <cell r="V487" t="str">
            <v>Guarne</v>
          </cell>
          <cell r="W487" t="str">
            <v>INTERMUNICIPAL</v>
          </cell>
          <cell r="X487" t="e">
            <v>#REF!</v>
          </cell>
          <cell r="Y487" t="str">
            <v>SUROCCIDENTE</v>
          </cell>
          <cell r="Z487" t="str">
            <v>Guarne</v>
          </cell>
          <cell r="AA487" t="str">
            <v xml:space="preserve">RIONEGRO </v>
          </cell>
          <cell r="AB487" t="str">
            <v>Clinica somer</v>
          </cell>
          <cell r="AC487" t="str">
            <v>Cll. 38 # 54 A - 35 piso 4 Rionegro</v>
          </cell>
          <cell r="AD487"/>
          <cell r="AE487">
            <v>87300</v>
          </cell>
          <cell r="AF487">
            <v>38000</v>
          </cell>
          <cell r="AG487" t="str">
            <v>25 km</v>
          </cell>
          <cell r="AH487" t="str">
            <v>30 min</v>
          </cell>
          <cell r="AI487">
            <v>100000</v>
          </cell>
          <cell r="AJ487">
            <v>90000</v>
          </cell>
          <cell r="AK487">
            <v>-52000</v>
          </cell>
          <cell r="AL487">
            <v>87300</v>
          </cell>
        </row>
        <row r="488">
          <cell r="T488" t="str">
            <v>Claudia Patricia  Londoño</v>
          </cell>
          <cell r="U488" t="str">
            <v>Cra 39 # 68 - 38 Manrique Oriental</v>
          </cell>
          <cell r="V488" t="str">
            <v>BARRIO MANRIQUE COMUNA 3</v>
          </cell>
          <cell r="W488" t="str">
            <v>ORDEN PUBLICO</v>
          </cell>
          <cell r="X488">
            <v>3136954667</v>
          </cell>
          <cell r="Y488" t="str">
            <v>SUROCCIDENTE</v>
          </cell>
          <cell r="Z488" t="str">
            <v>BARRIO MANRIQUE COMUNA 3</v>
          </cell>
          <cell r="AA488" t="str">
            <v xml:space="preserve">Medellin </v>
          </cell>
          <cell r="AB488" t="str">
            <v>Belen</v>
          </cell>
          <cell r="AC488" t="str">
            <v>Cra 65B No. 30  - 95 Torre médica, piso 5</v>
          </cell>
          <cell r="AD488"/>
          <cell r="AE488">
            <v>24250</v>
          </cell>
          <cell r="AF488">
            <v>15000</v>
          </cell>
          <cell r="AG488">
            <v>6</v>
          </cell>
          <cell r="AH488">
            <v>16</v>
          </cell>
          <cell r="AI488">
            <v>25000</v>
          </cell>
          <cell r="AJ488">
            <v>25000</v>
          </cell>
          <cell r="AK488">
            <v>-10000</v>
          </cell>
          <cell r="AL488">
            <v>24250</v>
          </cell>
        </row>
        <row r="489">
          <cell r="T489" t="str">
            <v>CONTRERAS SANDOVAL KATIUSCA</v>
          </cell>
          <cell r="U489" t="str">
            <v>Cra 42C # 45C Sur 59 Urb Villas del prado - Envigado</v>
          </cell>
          <cell r="V489" t="str">
            <v>Envigado</v>
          </cell>
          <cell r="W489" t="str">
            <v>LEJANO</v>
          </cell>
          <cell r="X489">
            <v>3043674343</v>
          </cell>
          <cell r="Y489" t="str">
            <v>SUROCCIDENTE</v>
          </cell>
          <cell r="Z489" t="str">
            <v>Envigado</v>
          </cell>
          <cell r="AA489" t="str">
            <v>Medellin</v>
          </cell>
          <cell r="AB489" t="str">
            <v>Las Américas</v>
          </cell>
          <cell r="AC489" t="str">
            <v xml:space="preserve">Dg.75B # 2 A - 80 piso 3 </v>
          </cell>
          <cell r="AD489"/>
          <cell r="AE489">
            <v>17460</v>
          </cell>
          <cell r="AF489">
            <v>13000</v>
          </cell>
          <cell r="AG489" t="str">
            <v>12 km</v>
          </cell>
          <cell r="AH489" t="str">
            <v>20 min</v>
          </cell>
          <cell r="AI489">
            <v>20000</v>
          </cell>
          <cell r="AJ489">
            <v>18000</v>
          </cell>
          <cell r="AK489">
            <v>-5000</v>
          </cell>
          <cell r="AL489">
            <v>17460</v>
          </cell>
        </row>
        <row r="490">
          <cell r="T490" t="str">
            <v>Cristian Camilo Cruz Devia</v>
          </cell>
          <cell r="U490" t="str">
            <v>Diagonal 14 18-25</v>
          </cell>
          <cell r="V490">
            <v>0</v>
          </cell>
          <cell r="W490" t="str">
            <v>CERCANO</v>
          </cell>
          <cell r="X490" t="e">
            <v>#REF!</v>
          </cell>
          <cell r="Y490" t="str">
            <v>CENTRO</v>
          </cell>
          <cell r="Z490">
            <v>0</v>
          </cell>
          <cell r="AA490" t="str">
            <v>Honda</v>
          </cell>
          <cell r="AB490" t="str">
            <v>Honda</v>
          </cell>
          <cell r="AC490" t="str">
            <v>Calle 9 No. 16-38 Av Centenario Hospital San Juan de Dios Honda</v>
          </cell>
          <cell r="AD490"/>
          <cell r="AE490">
            <v>13095</v>
          </cell>
          <cell r="AF490">
            <v>9000</v>
          </cell>
          <cell r="AG490" t="str">
            <v>5 KM</v>
          </cell>
          <cell r="AH490" t="str">
            <v>8 MIN</v>
          </cell>
          <cell r="AI490">
            <v>15000</v>
          </cell>
          <cell r="AJ490">
            <v>13500</v>
          </cell>
          <cell r="AK490">
            <v>-4500</v>
          </cell>
          <cell r="AL490">
            <v>13095</v>
          </cell>
        </row>
        <row r="491">
          <cell r="T491" t="str">
            <v>Daniela Fernanda Cabrera</v>
          </cell>
          <cell r="U491" t="str">
            <v>Cra 7 # 23-53 B. La Aurora</v>
          </cell>
          <cell r="V491" t="str">
            <v>LA AURORA</v>
          </cell>
          <cell r="W491" t="str">
            <v>CERCANO</v>
          </cell>
          <cell r="X491" t="e">
            <v>#REF!</v>
          </cell>
          <cell r="Y491" t="str">
            <v>CENTRO</v>
          </cell>
          <cell r="Z491" t="str">
            <v>LA AURORA</v>
          </cell>
          <cell r="AA491" t="str">
            <v>Honda</v>
          </cell>
          <cell r="AB491" t="str">
            <v>Honda</v>
          </cell>
          <cell r="AC491" t="str">
            <v>Calle 9 No. 16-38 Av Centenario Hospital San Juan de Dios Honda</v>
          </cell>
          <cell r="AD491"/>
          <cell r="AE491">
            <v>13095</v>
          </cell>
          <cell r="AF491">
            <v>9000</v>
          </cell>
          <cell r="AG491" t="str">
            <v>5 KM</v>
          </cell>
          <cell r="AH491" t="str">
            <v>9 MIN</v>
          </cell>
          <cell r="AI491">
            <v>15000</v>
          </cell>
          <cell r="AJ491">
            <v>13500</v>
          </cell>
          <cell r="AK491">
            <v>-4500</v>
          </cell>
          <cell r="AL491">
            <v>13095</v>
          </cell>
        </row>
        <row r="492">
          <cell r="T492" t="str">
            <v xml:space="preserve">Diana Gomez </v>
          </cell>
          <cell r="U492" t="str">
            <v>Cra82#48-37 Edificio Complejo de Calazan</v>
          </cell>
          <cell r="V492" t="str">
            <v>BARRIO CALAZANS PARTE ALTA</v>
          </cell>
          <cell r="W492" t="str">
            <v>ORDEN PUBLICO</v>
          </cell>
          <cell r="X492">
            <v>3122880826</v>
          </cell>
          <cell r="Y492" t="str">
            <v>SUROCCIDENTE</v>
          </cell>
          <cell r="Z492" t="str">
            <v>BARRIO CALAZANS PARTE ALTA</v>
          </cell>
          <cell r="AA492" t="str">
            <v>Medellin</v>
          </cell>
          <cell r="AB492" t="str">
            <v>Hosp. San Vicente de Paúl</v>
          </cell>
          <cell r="AC492" t="str">
            <v>Cll. 64 # 51 D - 70 HSVP</v>
          </cell>
          <cell r="AD492"/>
          <cell r="AE492">
            <v>17460</v>
          </cell>
          <cell r="AF492">
            <v>13000</v>
          </cell>
          <cell r="AG492" t="str">
            <v>6 KM</v>
          </cell>
          <cell r="AH492" t="str">
            <v>15 MIN</v>
          </cell>
          <cell r="AI492">
            <v>20000</v>
          </cell>
          <cell r="AJ492">
            <v>18000</v>
          </cell>
          <cell r="AK492">
            <v>-5000</v>
          </cell>
          <cell r="AL492">
            <v>17460</v>
          </cell>
        </row>
        <row r="493">
          <cell r="T493" t="str">
            <v>DIDIER LOAIZA</v>
          </cell>
          <cell r="U493" t="str">
            <v>CALLE 31 NO.81 A 51</v>
          </cell>
          <cell r="V493">
            <v>0</v>
          </cell>
          <cell r="W493" t="str">
            <v>LEJANO</v>
          </cell>
          <cell r="X493" t="e">
            <v>#REF!</v>
          </cell>
          <cell r="Y493" t="str">
            <v>SUROCCIDENTE</v>
          </cell>
          <cell r="Z493">
            <v>0</v>
          </cell>
          <cell r="AA493" t="str">
            <v>Medellin</v>
          </cell>
          <cell r="AB493" t="str">
            <v>Envigado</v>
          </cell>
          <cell r="AC493" t="str">
            <v>Dg. 31 # 36 A Sur - 80</v>
          </cell>
          <cell r="AD493"/>
          <cell r="AE493">
            <v>19400</v>
          </cell>
          <cell r="AF493">
            <v>9000</v>
          </cell>
          <cell r="AG493">
            <v>12</v>
          </cell>
          <cell r="AH493">
            <v>19</v>
          </cell>
          <cell r="AI493" t="e">
            <v>#N/A</v>
          </cell>
          <cell r="AJ493">
            <v>20000</v>
          </cell>
          <cell r="AK493">
            <v>-11000</v>
          </cell>
          <cell r="AL493">
            <v>19400</v>
          </cell>
        </row>
        <row r="494">
          <cell r="T494" t="str">
            <v>DINA MARRIAGA PADILLA</v>
          </cell>
          <cell r="U494" t="str">
            <v>CALLE 19 #40 MZ G LOTE 7 B. Mandala</v>
          </cell>
          <cell r="V494" t="str">
            <v>MANDALA</v>
          </cell>
          <cell r="W494" t="str">
            <v>CERCANO</v>
          </cell>
          <cell r="X494" t="e">
            <v>#REF!</v>
          </cell>
          <cell r="Y494" t="str">
            <v>NORTE</v>
          </cell>
          <cell r="Z494" t="str">
            <v>MANDALA</v>
          </cell>
          <cell r="AA494" t="str">
            <v>Monteria</v>
          </cell>
          <cell r="AB494" t="str">
            <v>Monteria</v>
          </cell>
          <cell r="AC494" t="str">
            <v>Cra. 9 # 27-27 Edificio Cenecor</v>
          </cell>
          <cell r="AD494"/>
          <cell r="AE494">
            <v>10670</v>
          </cell>
          <cell r="AF494">
            <v>9000</v>
          </cell>
          <cell r="AG494">
            <v>0</v>
          </cell>
          <cell r="AH494">
            <v>0</v>
          </cell>
          <cell r="AI494">
            <v>11000</v>
          </cell>
          <cell r="AJ494">
            <v>11000</v>
          </cell>
          <cell r="AK494">
            <v>-2000</v>
          </cell>
          <cell r="AL494">
            <v>10670</v>
          </cell>
        </row>
        <row r="495">
          <cell r="T495" t="str">
            <v xml:space="preserve">Dora Luz Alcaraz </v>
          </cell>
          <cell r="U495" t="str">
            <v xml:space="preserve">Barrio Mirador </v>
          </cell>
          <cell r="V495" t="str">
            <v xml:space="preserve">Barrio Mirador </v>
          </cell>
          <cell r="W495" t="str">
            <v>CERCANO</v>
          </cell>
          <cell r="X495" t="str">
            <v>3108973697/3107034595</v>
          </cell>
          <cell r="Y495" t="str">
            <v>SUROCCIDENTE</v>
          </cell>
          <cell r="Z495" t="str">
            <v xml:space="preserve">Barrio Mirador </v>
          </cell>
          <cell r="AA495" t="str">
            <v>Medellin</v>
          </cell>
          <cell r="AB495" t="str">
            <v>Hosp. San Vicente de Paúl</v>
          </cell>
          <cell r="AC495" t="str">
            <v>Cll. 64 # 51 D - 70 HSVP</v>
          </cell>
          <cell r="AD495"/>
          <cell r="AE495">
            <v>14550</v>
          </cell>
          <cell r="AF495">
            <v>12000</v>
          </cell>
          <cell r="AG495">
            <v>0</v>
          </cell>
          <cell r="AH495">
            <v>0</v>
          </cell>
          <cell r="AI495" t="e">
            <v>#N/A</v>
          </cell>
          <cell r="AJ495">
            <v>0</v>
          </cell>
          <cell r="AK495">
            <v>12000</v>
          </cell>
          <cell r="AL495">
            <v>0</v>
          </cell>
        </row>
        <row r="496">
          <cell r="T496" t="str">
            <v xml:space="preserve">Dora Luz Alcaraz </v>
          </cell>
          <cell r="U496" t="str">
            <v>Cra 56A 66-53</v>
          </cell>
          <cell r="V496" t="str">
            <v>BARRIO MIRADOR/urbano parte alta</v>
          </cell>
          <cell r="W496" t="str">
            <v>LEJANO</v>
          </cell>
          <cell r="X496" t="str">
            <v>3108973697/3107034595</v>
          </cell>
          <cell r="Y496" t="str">
            <v>SUROCCIDENTE</v>
          </cell>
          <cell r="Z496" t="str">
            <v>BARRIO MIRADOR/urbano parte alta</v>
          </cell>
          <cell r="AA496" t="str">
            <v xml:space="preserve">Medellin </v>
          </cell>
          <cell r="AB496" t="str">
            <v>Bello</v>
          </cell>
          <cell r="AC496" t="str">
            <v>Dg.  50A # 41 - 74</v>
          </cell>
          <cell r="AD496"/>
          <cell r="AE496">
            <v>17460</v>
          </cell>
          <cell r="AF496">
            <v>13000</v>
          </cell>
          <cell r="AG496" t="str">
            <v>12 km</v>
          </cell>
          <cell r="AH496" t="str">
            <v>17 min</v>
          </cell>
          <cell r="AI496">
            <v>20000</v>
          </cell>
          <cell r="AJ496">
            <v>18000</v>
          </cell>
          <cell r="AK496">
            <v>-5000</v>
          </cell>
          <cell r="AL496">
            <v>17460</v>
          </cell>
        </row>
        <row r="497">
          <cell r="T497" t="str">
            <v>EDER MENDOZA BERROCAL</v>
          </cell>
          <cell r="U497" t="str">
            <v>DG 9 TRV 11#9-12 B. P5</v>
          </cell>
          <cell r="V497">
            <v>0</v>
          </cell>
          <cell r="W497" t="str">
            <v>CERCANO</v>
          </cell>
          <cell r="X497" t="e">
            <v>#REF!</v>
          </cell>
          <cell r="Y497" t="str">
            <v>NORTE</v>
          </cell>
          <cell r="Z497">
            <v>0</v>
          </cell>
          <cell r="AA497" t="str">
            <v>Monteria</v>
          </cell>
          <cell r="AB497" t="str">
            <v>Monteria</v>
          </cell>
          <cell r="AC497" t="str">
            <v>Cra. 9 # 27-27 Edificio Cenecor</v>
          </cell>
          <cell r="AD497"/>
          <cell r="AE497">
            <v>10670</v>
          </cell>
          <cell r="AF497">
            <v>9000</v>
          </cell>
          <cell r="AG497">
            <v>0</v>
          </cell>
          <cell r="AH497">
            <v>0</v>
          </cell>
          <cell r="AI497">
            <v>11000</v>
          </cell>
          <cell r="AJ497">
            <v>11000</v>
          </cell>
          <cell r="AK497">
            <v>-2000</v>
          </cell>
          <cell r="AL497">
            <v>10670</v>
          </cell>
        </row>
        <row r="498">
          <cell r="T498" t="str">
            <v>EDICELI PEREZ</v>
          </cell>
          <cell r="U498" t="str">
            <v xml:space="preserve">CALLE 97 · No, 76 - 143 CASTILLLA </v>
          </cell>
          <cell r="V498" t="str">
            <v>CASTILLA</v>
          </cell>
          <cell r="W498" t="str">
            <v>ORDEN PUBLICO</v>
          </cell>
          <cell r="X498">
            <v>3116024359</v>
          </cell>
          <cell r="Y498" t="str">
            <v>SUROCCIDENTE</v>
          </cell>
          <cell r="Z498" t="str">
            <v>CASTILLA</v>
          </cell>
          <cell r="AA498" t="str">
            <v>Medellin</v>
          </cell>
          <cell r="AB498" t="str">
            <v>Hosp. San Vicente de Paúl</v>
          </cell>
          <cell r="AC498" t="str">
            <v>Cll. 64 # 51 D - 70 HSVP</v>
          </cell>
          <cell r="AD498"/>
          <cell r="AE498">
            <v>19400</v>
          </cell>
          <cell r="AF498">
            <v>15000</v>
          </cell>
          <cell r="AG498" t="str">
            <v>7 KM</v>
          </cell>
          <cell r="AH498" t="str">
            <v>17 MIN</v>
          </cell>
          <cell r="AI498">
            <v>20000</v>
          </cell>
          <cell r="AJ498">
            <v>20000</v>
          </cell>
          <cell r="AK498">
            <v>-5000</v>
          </cell>
          <cell r="AL498">
            <v>19400</v>
          </cell>
        </row>
        <row r="499">
          <cell r="T499" t="str">
            <v xml:space="preserve">Edilma Casas </v>
          </cell>
          <cell r="U499" t="str">
            <v xml:space="preserve">Cra53#23-25 Bello </v>
          </cell>
          <cell r="V499" t="str">
            <v>Bello</v>
          </cell>
          <cell r="W499" t="str">
            <v>INTERMUNICIPAL</v>
          </cell>
          <cell r="X499">
            <v>3046273619</v>
          </cell>
          <cell r="Y499" t="str">
            <v>SUROCCIDENTE</v>
          </cell>
          <cell r="Z499" t="str">
            <v>Bello</v>
          </cell>
          <cell r="AA499" t="str">
            <v>Medellin</v>
          </cell>
          <cell r="AB499" t="str">
            <v>Hosp. San Vicente de Paúl</v>
          </cell>
          <cell r="AC499" t="str">
            <v>Cll. 64 # 51 D - 70 HSVP</v>
          </cell>
          <cell r="AD499"/>
          <cell r="AE499">
            <v>29100</v>
          </cell>
          <cell r="AF499">
            <v>13000</v>
          </cell>
          <cell r="AG499" t="str">
            <v>12 km</v>
          </cell>
          <cell r="AH499" t="str">
            <v>20 min</v>
          </cell>
          <cell r="AI499">
            <v>30000</v>
          </cell>
          <cell r="AJ499">
            <v>30000</v>
          </cell>
          <cell r="AK499">
            <v>-17000</v>
          </cell>
          <cell r="AL499">
            <v>29100</v>
          </cell>
        </row>
        <row r="500">
          <cell r="T500" t="str">
            <v>EDITH GRACIANO</v>
          </cell>
          <cell r="U500" t="str">
            <v>CARRERA 29 No, 73 SUR - 106 SABANETA VDA LA DOCTORA</v>
          </cell>
          <cell r="V500" t="str">
            <v>La doctora- sabaneta</v>
          </cell>
          <cell r="W500" t="str">
            <v>INTERMUNICIPAL</v>
          </cell>
          <cell r="X500">
            <v>3218458694</v>
          </cell>
          <cell r="Y500" t="str">
            <v>SUROCCIDENTE</v>
          </cell>
          <cell r="Z500" t="str">
            <v>La doctora- sabaneta</v>
          </cell>
          <cell r="AA500" t="str">
            <v>Medellin</v>
          </cell>
          <cell r="AB500" t="str">
            <v>Hosp. San Vicente de Paúl</v>
          </cell>
          <cell r="AC500" t="str">
            <v>Cll. 64 # 51 D - 70 HSVP</v>
          </cell>
          <cell r="AD500"/>
          <cell r="AE500">
            <v>58200</v>
          </cell>
          <cell r="AF500">
            <v>30000</v>
          </cell>
          <cell r="AG500" t="str">
            <v>25 km</v>
          </cell>
          <cell r="AH500" t="str">
            <v>30 min</v>
          </cell>
          <cell r="AI500">
            <v>40000</v>
          </cell>
          <cell r="AJ500">
            <v>36000</v>
          </cell>
          <cell r="AK500">
            <v>-6000</v>
          </cell>
          <cell r="AL500">
            <v>34920</v>
          </cell>
        </row>
        <row r="501">
          <cell r="T501" t="str">
            <v>Elianeth Arevalo</v>
          </cell>
          <cell r="U501" t="str">
            <v>Calle 59 # 42 - 13 Barrio Prado Centro. Edificio Luz de Oriente</v>
          </cell>
          <cell r="V501" t="str">
            <v>BARRIO PRADO CENTRO</v>
          </cell>
          <cell r="W501" t="str">
            <v>CERCANO</v>
          </cell>
          <cell r="X501">
            <v>3004322159</v>
          </cell>
          <cell r="Y501" t="str">
            <v>SUROCCIDENTE</v>
          </cell>
          <cell r="Z501" t="str">
            <v>BARRIO PRADO CENTRO</v>
          </cell>
          <cell r="AA501" t="str">
            <v xml:space="preserve">Medellin </v>
          </cell>
          <cell r="AB501" t="str">
            <v>Belen</v>
          </cell>
          <cell r="AC501" t="str">
            <v>Cra 65B No. 30  - 95 Torre médica, piso 5</v>
          </cell>
          <cell r="AD501"/>
          <cell r="AE501">
            <v>13095</v>
          </cell>
          <cell r="AF501">
            <v>9000</v>
          </cell>
          <cell r="AG501" t="str">
            <v>7 KM</v>
          </cell>
          <cell r="AH501" t="str">
            <v>15 MIN</v>
          </cell>
          <cell r="AI501">
            <v>15000</v>
          </cell>
          <cell r="AJ501">
            <v>13500</v>
          </cell>
          <cell r="AK501">
            <v>-4500</v>
          </cell>
          <cell r="AL501">
            <v>13095</v>
          </cell>
        </row>
        <row r="502">
          <cell r="T502" t="str">
            <v>ELICHERILL RIVAS ASPRILLA</v>
          </cell>
          <cell r="U502" t="str">
            <v>CALLE 90 AA # 65 EE 62</v>
          </cell>
          <cell r="V502">
            <v>0</v>
          </cell>
          <cell r="W502" t="str">
            <v>ORDEN PUBLICO</v>
          </cell>
          <cell r="X502" t="e">
            <v>#REF!</v>
          </cell>
          <cell r="Y502" t="str">
            <v>SUROCCIDENTE</v>
          </cell>
          <cell r="Z502">
            <v>0</v>
          </cell>
          <cell r="AA502" t="str">
            <v>Medellin</v>
          </cell>
          <cell r="AB502" t="str">
            <v>Envigado</v>
          </cell>
          <cell r="AC502" t="str">
            <v>Dg. 31 # 36 A Sur - 80</v>
          </cell>
          <cell r="AD502"/>
          <cell r="AE502">
            <v>19400</v>
          </cell>
          <cell r="AF502">
            <v>16000</v>
          </cell>
          <cell r="AG502">
            <v>16</v>
          </cell>
          <cell r="AH502">
            <v>22</v>
          </cell>
          <cell r="AI502" t="e">
            <v>#N/A</v>
          </cell>
          <cell r="AJ502">
            <v>20000</v>
          </cell>
          <cell r="AK502">
            <v>-4000</v>
          </cell>
          <cell r="AL502">
            <v>19400</v>
          </cell>
        </row>
        <row r="503">
          <cell r="T503" t="str">
            <v>Fabricio Marín</v>
          </cell>
          <cell r="U503" t="str">
            <v>Calle 16B # 23 - 17 Poblado / Cra 80B # 32E - 34 Laureles</v>
          </cell>
          <cell r="V503" t="str">
            <v>BARRIO EL POBLADO</v>
          </cell>
          <cell r="W503" t="str">
            <v>CERCANO</v>
          </cell>
          <cell r="X503">
            <v>3136860100</v>
          </cell>
          <cell r="Y503" t="str">
            <v>SUROCCIDENTE</v>
          </cell>
          <cell r="Z503" t="str">
            <v>BARRIO EL POBLADO</v>
          </cell>
          <cell r="AA503" t="str">
            <v xml:space="preserve">Medellin </v>
          </cell>
          <cell r="AB503" t="str">
            <v>Belen</v>
          </cell>
          <cell r="AC503" t="str">
            <v>Cra 65B No. 30  - 95 Torre médica, piso 5</v>
          </cell>
          <cell r="AD503"/>
          <cell r="AE503">
            <v>13095</v>
          </cell>
          <cell r="AF503">
            <v>9000</v>
          </cell>
          <cell r="AG503" t="str">
            <v>9 KM</v>
          </cell>
          <cell r="AH503" t="str">
            <v>15 MIN</v>
          </cell>
          <cell r="AI503">
            <v>15000</v>
          </cell>
          <cell r="AJ503">
            <v>13500</v>
          </cell>
          <cell r="AK503">
            <v>-4500</v>
          </cell>
          <cell r="AL503">
            <v>13095</v>
          </cell>
        </row>
        <row r="504">
          <cell r="T504" t="str">
            <v>FORERO HERNANDEZ KAREN PATRICIA</v>
          </cell>
          <cell r="U504" t="str">
            <v>Tranv 35 Sur # 30-02 Conjunto Terranova Sebastiana -Envigado</v>
          </cell>
          <cell r="V504" t="str">
            <v>Envigado</v>
          </cell>
          <cell r="W504" t="str">
            <v>LEJANO</v>
          </cell>
          <cell r="X504">
            <v>3008736368</v>
          </cell>
          <cell r="Y504" t="str">
            <v>SUROCCIDENTE</v>
          </cell>
          <cell r="Z504" t="str">
            <v>Envigado</v>
          </cell>
          <cell r="AA504" t="str">
            <v>Medellin</v>
          </cell>
          <cell r="AB504" t="str">
            <v>Las Américas</v>
          </cell>
          <cell r="AC504" t="str">
            <v xml:space="preserve">Dg.75B # 2 A - 80 piso 3 </v>
          </cell>
          <cell r="AD504"/>
          <cell r="AE504">
            <v>17460</v>
          </cell>
          <cell r="AF504">
            <v>13000</v>
          </cell>
          <cell r="AG504" t="str">
            <v>12 km</v>
          </cell>
          <cell r="AH504" t="str">
            <v>20 min</v>
          </cell>
          <cell r="AI504">
            <v>20000</v>
          </cell>
          <cell r="AJ504">
            <v>18000</v>
          </cell>
          <cell r="AK504">
            <v>-5000</v>
          </cell>
          <cell r="AL504">
            <v>17460</v>
          </cell>
        </row>
        <row r="505">
          <cell r="T505" t="str">
            <v>Francis Vargas</v>
          </cell>
          <cell r="U505" t="str">
            <v>Calle 20 Sur # 39 A - 72 Barrio el Poblado La Frontera</v>
          </cell>
          <cell r="V505" t="str">
            <v>barrio el poblado la frontera</v>
          </cell>
          <cell r="W505" t="str">
            <v>CERCANO</v>
          </cell>
          <cell r="X505" t="e">
            <v>#REF!</v>
          </cell>
          <cell r="Y505" t="str">
            <v>SUROCCIDENTE</v>
          </cell>
          <cell r="Z505" t="str">
            <v>barrio el poblado la frontera</v>
          </cell>
          <cell r="AA505" t="str">
            <v xml:space="preserve">Medellin </v>
          </cell>
          <cell r="AB505" t="str">
            <v>Belen</v>
          </cell>
          <cell r="AC505" t="str">
            <v>Cra 65B No. 30  - 95 Torre médica, piso 5</v>
          </cell>
          <cell r="AD505"/>
          <cell r="AE505">
            <v>13095</v>
          </cell>
          <cell r="AF505">
            <v>9000</v>
          </cell>
          <cell r="AG505">
            <v>9</v>
          </cell>
          <cell r="AH505">
            <v>14</v>
          </cell>
          <cell r="AI505" t="e">
            <v>#N/A</v>
          </cell>
          <cell r="AJ505">
            <v>13500</v>
          </cell>
          <cell r="AK505">
            <v>-4500</v>
          </cell>
          <cell r="AL505">
            <v>13095</v>
          </cell>
        </row>
        <row r="506">
          <cell r="T506" t="str">
            <v xml:space="preserve">Fredy Zapata Zapata </v>
          </cell>
          <cell r="U506" t="str">
            <v xml:space="preserve">Barrio Niquia - Bello </v>
          </cell>
          <cell r="V506" t="str">
            <v>BARRIO NIQUIA</v>
          </cell>
          <cell r="W506" t="str">
            <v>LEJANO</v>
          </cell>
          <cell r="X506">
            <v>3122594746</v>
          </cell>
          <cell r="Y506" t="str">
            <v>SUROCCIDENTE</v>
          </cell>
          <cell r="Z506" t="str">
            <v>BARRIO NIQUIA</v>
          </cell>
          <cell r="AA506" t="str">
            <v xml:space="preserve">Medellin </v>
          </cell>
          <cell r="AB506" t="str">
            <v>Bello</v>
          </cell>
          <cell r="AC506" t="str">
            <v>Dg.  50A # 41 - 74</v>
          </cell>
          <cell r="AD506"/>
          <cell r="AE506">
            <v>17460</v>
          </cell>
          <cell r="AF506">
            <v>13000</v>
          </cell>
          <cell r="AG506" t="str">
            <v>12 KM</v>
          </cell>
          <cell r="AH506" t="str">
            <v>20 MIN</v>
          </cell>
          <cell r="AI506">
            <v>20000</v>
          </cell>
          <cell r="AJ506">
            <v>18000</v>
          </cell>
          <cell r="AK506">
            <v>-5000</v>
          </cell>
          <cell r="AL506">
            <v>17460</v>
          </cell>
        </row>
        <row r="507">
          <cell r="T507" t="str">
            <v>GARCIA YEPES CILENIA MARIA</v>
          </cell>
          <cell r="U507" t="str">
            <v>Cra 25 A # 40-205 Cataluña ladrillos - la milagrosa</v>
          </cell>
          <cell r="V507" t="str">
            <v>La Milagrosa</v>
          </cell>
          <cell r="W507" t="str">
            <v>ORDEN PUBLICO</v>
          </cell>
          <cell r="X507">
            <v>3017259862</v>
          </cell>
          <cell r="Y507" t="str">
            <v>SUROCCIDENTE</v>
          </cell>
          <cell r="Z507" t="str">
            <v>La Milagrosa</v>
          </cell>
          <cell r="AA507" t="str">
            <v>Medellin</v>
          </cell>
          <cell r="AB507" t="str">
            <v>Las Américas</v>
          </cell>
          <cell r="AC507" t="str">
            <v xml:space="preserve">Dg.75B # 2 A - 80 piso 3 </v>
          </cell>
          <cell r="AD507"/>
          <cell r="AE507">
            <v>17460</v>
          </cell>
          <cell r="AF507">
            <v>13000</v>
          </cell>
          <cell r="AG507" t="str">
            <v>6 km</v>
          </cell>
          <cell r="AH507" t="str">
            <v>15 min</v>
          </cell>
          <cell r="AI507">
            <v>20000</v>
          </cell>
          <cell r="AJ507">
            <v>18000</v>
          </cell>
          <cell r="AK507">
            <v>-5000</v>
          </cell>
          <cell r="AL507">
            <v>17460</v>
          </cell>
        </row>
        <row r="508">
          <cell r="T508" t="str">
            <v xml:space="preserve">Genny del Socorro David Murillo </v>
          </cell>
          <cell r="U508" t="str">
            <v xml:space="preserve">Barrio El Salvador </v>
          </cell>
          <cell r="V508" t="str">
            <v>BARRIO EL SALVADOR COMUNA 9</v>
          </cell>
          <cell r="W508" t="str">
            <v>ORDEN PUBLICO</v>
          </cell>
          <cell r="X508">
            <v>3155094216</v>
          </cell>
          <cell r="Y508" t="str">
            <v>SUROCCIDENTE</v>
          </cell>
          <cell r="Z508" t="str">
            <v>BARRIO EL SALVADOR COMUNA 9</v>
          </cell>
          <cell r="AA508" t="str">
            <v xml:space="preserve">Medellin </v>
          </cell>
          <cell r="AB508" t="str">
            <v>Bello</v>
          </cell>
          <cell r="AC508" t="str">
            <v>Dg.  50A # 41 - 74</v>
          </cell>
          <cell r="AD508"/>
          <cell r="AE508">
            <v>17460</v>
          </cell>
          <cell r="AF508">
            <v>13000</v>
          </cell>
          <cell r="AG508" t="str">
            <v>14 km</v>
          </cell>
          <cell r="AH508" t="str">
            <v>25 min</v>
          </cell>
          <cell r="AI508">
            <v>20000</v>
          </cell>
          <cell r="AJ508">
            <v>18000</v>
          </cell>
          <cell r="AK508">
            <v>-5000</v>
          </cell>
          <cell r="AL508">
            <v>17460</v>
          </cell>
        </row>
        <row r="509">
          <cell r="T509" t="str">
            <v xml:space="preserve">Gloria Mosquera </v>
          </cell>
          <cell r="U509" t="str">
            <v xml:space="preserve">Cra.70c #94a -20 Robledo </v>
          </cell>
          <cell r="V509" t="str">
            <v>BARRIO ROBLEDO PARTE ALTA COMUNA 7</v>
          </cell>
          <cell r="W509" t="str">
            <v>ORDEN PUBLICO</v>
          </cell>
          <cell r="X509">
            <v>3024370223</v>
          </cell>
          <cell r="Y509" t="str">
            <v>SUROCCIDENTE</v>
          </cell>
          <cell r="Z509" t="str">
            <v>BARRIO ROBLEDO PARTE ALTA COMUNA 7</v>
          </cell>
          <cell r="AA509" t="str">
            <v>Medellin</v>
          </cell>
          <cell r="AB509" t="str">
            <v>Hosp. San Vicente de Paúl</v>
          </cell>
          <cell r="AC509" t="str">
            <v>Cll. 64 # 51 D - 70 HSVP</v>
          </cell>
          <cell r="AD509"/>
          <cell r="AE509">
            <v>17460</v>
          </cell>
          <cell r="AF509">
            <v>13000</v>
          </cell>
          <cell r="AG509" t="str">
            <v>6 km</v>
          </cell>
          <cell r="AH509" t="str">
            <v>15 MIN</v>
          </cell>
          <cell r="AI509">
            <v>20000</v>
          </cell>
          <cell r="AJ509">
            <v>18000</v>
          </cell>
          <cell r="AK509">
            <v>-5000</v>
          </cell>
          <cell r="AL509">
            <v>17460</v>
          </cell>
        </row>
        <row r="510">
          <cell r="T510" t="str">
            <v>GOMEZ CADAVID ALEXANDRA</v>
          </cell>
          <cell r="U510" t="str">
            <v>Calle 32C # 28 A 65 Ciudadela Antares Loreto-la milagrosa</v>
          </cell>
          <cell r="V510" t="str">
            <v>La Milagrosa</v>
          </cell>
          <cell r="W510" t="str">
            <v>ORDEN PUBLICO</v>
          </cell>
          <cell r="X510">
            <v>3205370999</v>
          </cell>
          <cell r="Y510" t="str">
            <v>SUROCCIDENTE</v>
          </cell>
          <cell r="Z510" t="str">
            <v>La Milagrosa</v>
          </cell>
          <cell r="AA510" t="str">
            <v>Medellin</v>
          </cell>
          <cell r="AB510" t="str">
            <v>Las Américas</v>
          </cell>
          <cell r="AC510" t="str">
            <v xml:space="preserve">Dg.75B # 2 A - 80 piso 3 </v>
          </cell>
          <cell r="AD510"/>
          <cell r="AE510">
            <v>17460</v>
          </cell>
          <cell r="AF510">
            <v>13000</v>
          </cell>
          <cell r="AG510" t="str">
            <v>6 km</v>
          </cell>
          <cell r="AH510" t="str">
            <v>15 min</v>
          </cell>
          <cell r="AI510">
            <v>20000</v>
          </cell>
          <cell r="AJ510">
            <v>18000</v>
          </cell>
          <cell r="AK510">
            <v>-5000</v>
          </cell>
          <cell r="AL510">
            <v>17460</v>
          </cell>
        </row>
        <row r="511">
          <cell r="T511" t="str">
            <v xml:space="preserve">HECTOR MONTOYA </v>
          </cell>
          <cell r="U511" t="str">
            <v xml:space="preserve">ROBLEDO </v>
          </cell>
          <cell r="V511" t="str">
            <v>ROBLEDO</v>
          </cell>
          <cell r="W511" t="str">
            <v>ORDEN PUBLICO</v>
          </cell>
          <cell r="X511" t="e">
            <v>#REF!</v>
          </cell>
          <cell r="Y511" t="str">
            <v>SUROCCIDENTE</v>
          </cell>
          <cell r="Z511" t="str">
            <v>ROBLEDO</v>
          </cell>
          <cell r="AA511" t="str">
            <v>Medellin</v>
          </cell>
          <cell r="AB511" t="str">
            <v>Envigado</v>
          </cell>
          <cell r="AC511" t="str">
            <v>Dg. 31 # 36 A Sur - 80</v>
          </cell>
          <cell r="AD511"/>
          <cell r="AE511">
            <v>19400</v>
          </cell>
          <cell r="AF511">
            <v>16000</v>
          </cell>
          <cell r="AG511">
            <v>15</v>
          </cell>
          <cell r="AH511">
            <v>20</v>
          </cell>
          <cell r="AI511" t="e">
            <v>#N/A</v>
          </cell>
          <cell r="AJ511">
            <v>20000</v>
          </cell>
          <cell r="AK511">
            <v>-4000</v>
          </cell>
          <cell r="AL511">
            <v>19400</v>
          </cell>
        </row>
        <row r="512">
          <cell r="T512" t="str">
            <v>HENRY PEINADO</v>
          </cell>
          <cell r="U512" t="str">
            <v>Bello bucaros</v>
          </cell>
          <cell r="V512" t="str">
            <v>Bucaros</v>
          </cell>
          <cell r="W512" t="str">
            <v>INTERMUNICIPAL</v>
          </cell>
          <cell r="X512">
            <v>3003638666</v>
          </cell>
          <cell r="Y512" t="str">
            <v>SUROCCIDENTE</v>
          </cell>
          <cell r="Z512" t="str">
            <v>Bucaros</v>
          </cell>
          <cell r="AA512" t="str">
            <v>Medellin</v>
          </cell>
          <cell r="AB512" t="str">
            <v>Envigado</v>
          </cell>
          <cell r="AC512" t="str">
            <v>Dg. 31 # 36 A Sur - 80</v>
          </cell>
          <cell r="AD512"/>
          <cell r="AE512">
            <v>34920</v>
          </cell>
          <cell r="AF512">
            <v>30000</v>
          </cell>
          <cell r="AG512" t="str">
            <v>26 km</v>
          </cell>
          <cell r="AH512" t="str">
            <v>35 Min</v>
          </cell>
          <cell r="AI512">
            <v>40000</v>
          </cell>
          <cell r="AJ512">
            <v>36000</v>
          </cell>
          <cell r="AK512">
            <v>-6000</v>
          </cell>
          <cell r="AL512">
            <v>34920</v>
          </cell>
        </row>
        <row r="513">
          <cell r="T513" t="str">
            <v xml:space="preserve">Ilonka Tatiana Cantillo Mendoza </v>
          </cell>
          <cell r="U513" t="str">
            <v xml:space="preserve">Barrio La Camila Machado </v>
          </cell>
          <cell r="V513" t="str">
            <v>BARRIO MACHADO</v>
          </cell>
          <cell r="W513" t="str">
            <v>LEJANO</v>
          </cell>
          <cell r="X513">
            <v>3192642779</v>
          </cell>
          <cell r="Y513" t="str">
            <v>SUROCCIDENTE</v>
          </cell>
          <cell r="Z513" t="str">
            <v>BARRIO MACHADO</v>
          </cell>
          <cell r="AA513" t="str">
            <v xml:space="preserve">Medellin </v>
          </cell>
          <cell r="AB513" t="str">
            <v>Bello</v>
          </cell>
          <cell r="AC513" t="str">
            <v>Dg.  50A # 41 - 74</v>
          </cell>
          <cell r="AD513"/>
          <cell r="AE513">
            <v>17460</v>
          </cell>
          <cell r="AF513">
            <v>13000</v>
          </cell>
          <cell r="AG513" t="str">
            <v>12 KM</v>
          </cell>
          <cell r="AH513" t="str">
            <v>20 MIN</v>
          </cell>
          <cell r="AI513">
            <v>20000</v>
          </cell>
          <cell r="AJ513">
            <v>18000</v>
          </cell>
          <cell r="AK513">
            <v>-5000</v>
          </cell>
          <cell r="AL513">
            <v>17460</v>
          </cell>
        </row>
        <row r="514">
          <cell r="T514" t="str">
            <v xml:space="preserve">Jaime Alberto Manrique Hidalgo </v>
          </cell>
          <cell r="U514" t="str">
            <v xml:space="preserve">Barrio Niquia - Bello </v>
          </cell>
          <cell r="V514" t="str">
            <v>Barrio Niquia</v>
          </cell>
          <cell r="W514" t="str">
            <v>LEJANO</v>
          </cell>
          <cell r="X514">
            <v>3153831619</v>
          </cell>
          <cell r="Y514" t="str">
            <v>SUROCCIDENTE</v>
          </cell>
          <cell r="Z514" t="str">
            <v>Barrio Niquia</v>
          </cell>
          <cell r="AA514" t="str">
            <v xml:space="preserve">Medellin </v>
          </cell>
          <cell r="AB514" t="str">
            <v>Bello</v>
          </cell>
          <cell r="AC514" t="str">
            <v>Dg.  50A # 41 - 74</v>
          </cell>
          <cell r="AD514"/>
          <cell r="AE514">
            <v>17460</v>
          </cell>
          <cell r="AF514">
            <v>13000</v>
          </cell>
          <cell r="AG514" t="str">
            <v>12 km</v>
          </cell>
          <cell r="AH514" t="str">
            <v>20 min</v>
          </cell>
          <cell r="AI514">
            <v>20000</v>
          </cell>
          <cell r="AJ514">
            <v>18000</v>
          </cell>
          <cell r="AK514">
            <v>-5000</v>
          </cell>
          <cell r="AL514">
            <v>17460</v>
          </cell>
        </row>
        <row r="515">
          <cell r="T515" t="str">
            <v xml:space="preserve">Jairo Torres </v>
          </cell>
          <cell r="U515" t="str">
            <v xml:space="preserve">Cra.52 a #39-09 Barrio Ensenillas Rionegro </v>
          </cell>
          <cell r="V515" t="str">
            <v>Ensenillas</v>
          </cell>
          <cell r="W515" t="str">
            <v>INTERMUNICIPAL</v>
          </cell>
          <cell r="X515">
            <v>3185561883</v>
          </cell>
          <cell r="Y515" t="str">
            <v>SUROCCIDENTE</v>
          </cell>
          <cell r="Z515" t="str">
            <v>Ensenillas</v>
          </cell>
          <cell r="AA515" t="str">
            <v>Medellin</v>
          </cell>
          <cell r="AB515" t="str">
            <v>Hosp. San Vicente de Paúl</v>
          </cell>
          <cell r="AC515" t="str">
            <v>Cll. 64 # 51 D - 70 HSVP</v>
          </cell>
          <cell r="AD515"/>
          <cell r="AE515">
            <v>48015</v>
          </cell>
          <cell r="AF515">
            <v>30000</v>
          </cell>
          <cell r="AG515" t="str">
            <v>40 km</v>
          </cell>
          <cell r="AH515" t="str">
            <v>50 min</v>
          </cell>
          <cell r="AI515">
            <v>55000</v>
          </cell>
          <cell r="AJ515">
            <v>49500</v>
          </cell>
          <cell r="AK515">
            <v>-19500</v>
          </cell>
          <cell r="AL515">
            <v>48015</v>
          </cell>
        </row>
        <row r="516">
          <cell r="T516" t="str">
            <v xml:space="preserve">Jasbleidis Cantillo Salas </v>
          </cell>
          <cell r="U516" t="str">
            <v xml:space="preserve">Cra 50 D # 65-29 La candelaria </v>
          </cell>
          <cell r="V516" t="str">
            <v xml:space="preserve">BARRIO PRADO CENTRO </v>
          </cell>
          <cell r="W516" t="str">
            <v>CERCANO</v>
          </cell>
          <cell r="X516">
            <v>3007724525</v>
          </cell>
          <cell r="Y516" t="str">
            <v>SUROCCIDENTE</v>
          </cell>
          <cell r="Z516" t="str">
            <v xml:space="preserve">BARRIO PRADO CENTRO </v>
          </cell>
          <cell r="AA516" t="str">
            <v>Medellin</v>
          </cell>
          <cell r="AB516" t="str">
            <v>Hosp. San Vicente de Paúl</v>
          </cell>
          <cell r="AC516" t="str">
            <v>Cll. 64 # 51 D - 70 HSVP</v>
          </cell>
          <cell r="AD516"/>
          <cell r="AE516">
            <v>13095</v>
          </cell>
          <cell r="AF516">
            <v>12000</v>
          </cell>
          <cell r="AG516" t="str">
            <v>1 km</v>
          </cell>
          <cell r="AH516" t="str">
            <v>5 MIN</v>
          </cell>
          <cell r="AI516">
            <v>15000</v>
          </cell>
          <cell r="AJ516">
            <v>13500</v>
          </cell>
          <cell r="AK516">
            <v>-1500</v>
          </cell>
          <cell r="AL516">
            <v>13095</v>
          </cell>
        </row>
        <row r="517">
          <cell r="T517" t="str">
            <v>Jessica Paola Mahecha Galvis</v>
          </cell>
          <cell r="U517" t="str">
            <v>CALLE 133 # 8-61 CONJUNTO VERACRUZ</v>
          </cell>
          <cell r="V517" t="str">
            <v>VERACRUZ</v>
          </cell>
          <cell r="W517" t="str">
            <v>CERCANO</v>
          </cell>
          <cell r="X517">
            <v>3219789924</v>
          </cell>
          <cell r="Y517" t="str">
            <v>CENTRO</v>
          </cell>
          <cell r="Z517" t="str">
            <v>VERACRUZ</v>
          </cell>
          <cell r="AA517" t="str">
            <v>Honda</v>
          </cell>
          <cell r="AB517" t="str">
            <v>Honda</v>
          </cell>
          <cell r="AC517" t="str">
            <v>Calle 9 No. 16-38 Av Centenario Hospital San Juan de Dios Honda</v>
          </cell>
          <cell r="AD517"/>
          <cell r="AE517">
            <v>13095</v>
          </cell>
          <cell r="AF517">
            <v>9000</v>
          </cell>
          <cell r="AG517" t="str">
            <v>5 KM</v>
          </cell>
          <cell r="AH517" t="str">
            <v>8 MIN</v>
          </cell>
          <cell r="AI517">
            <v>15000</v>
          </cell>
          <cell r="AJ517">
            <v>13500</v>
          </cell>
          <cell r="AK517">
            <v>-4500</v>
          </cell>
          <cell r="AL517">
            <v>13095</v>
          </cell>
        </row>
        <row r="518">
          <cell r="T518" t="str">
            <v>JHON FREDY RUIZ RESTREPO</v>
          </cell>
          <cell r="U518" t="str">
            <v xml:space="preserve">BOSTON MEDELLIN </v>
          </cell>
          <cell r="V518" t="str">
            <v xml:space="preserve">BOSTON MEDELLIN </v>
          </cell>
          <cell r="W518" t="str">
            <v>LEJANO</v>
          </cell>
          <cell r="X518" t="e">
            <v>#REF!</v>
          </cell>
          <cell r="Y518" t="str">
            <v>SUROCCIDENTE</v>
          </cell>
          <cell r="Z518" t="str">
            <v xml:space="preserve">BOSTON MEDELLIN </v>
          </cell>
          <cell r="AA518" t="str">
            <v>Medellin</v>
          </cell>
          <cell r="AB518" t="str">
            <v>Envigado</v>
          </cell>
          <cell r="AC518" t="str">
            <v>Dg. 31 # 36 A Sur - 80</v>
          </cell>
          <cell r="AD518"/>
          <cell r="AE518">
            <v>19400</v>
          </cell>
          <cell r="AF518">
            <v>9000</v>
          </cell>
          <cell r="AG518" t="str">
            <v>12 km</v>
          </cell>
          <cell r="AH518" t="str">
            <v>20 Min</v>
          </cell>
          <cell r="AI518" t="e">
            <v>#N/A</v>
          </cell>
          <cell r="AJ518">
            <v>20000</v>
          </cell>
          <cell r="AK518">
            <v>-11000</v>
          </cell>
          <cell r="AL518">
            <v>19400</v>
          </cell>
        </row>
        <row r="519">
          <cell r="T519" t="str">
            <v>Jhonathan Duque</v>
          </cell>
          <cell r="U519" t="str">
            <v xml:space="preserve">Cra 46b#46 sus 40 envigado </v>
          </cell>
          <cell r="V519" t="str">
            <v>Envigado</v>
          </cell>
          <cell r="W519" t="str">
            <v>INTERMUNICIPAL</v>
          </cell>
          <cell r="X519" t="e">
            <v>#REF!</v>
          </cell>
          <cell r="Y519" t="str">
            <v>SUROCCIDENTE</v>
          </cell>
          <cell r="Z519" t="str">
            <v>Envigado</v>
          </cell>
          <cell r="AA519" t="str">
            <v>Medellin</v>
          </cell>
          <cell r="AB519" t="str">
            <v>Hosp. San Vicente de Paúl</v>
          </cell>
          <cell r="AC519" t="str">
            <v>Cll. 64 # 51 D - 70 HSVP</v>
          </cell>
          <cell r="AD519"/>
          <cell r="AE519">
            <v>19400</v>
          </cell>
          <cell r="AF519">
            <v>15000</v>
          </cell>
          <cell r="AG519" t="str">
            <v>16 KM</v>
          </cell>
          <cell r="AH519" t="str">
            <v>25 MIN</v>
          </cell>
          <cell r="AI519" t="e">
            <v>#N/A</v>
          </cell>
          <cell r="AJ519">
            <v>20000</v>
          </cell>
          <cell r="AK519">
            <v>-5000</v>
          </cell>
          <cell r="AL519">
            <v>19400</v>
          </cell>
        </row>
        <row r="520">
          <cell r="T520" t="str">
            <v>Johana Echverry</v>
          </cell>
          <cell r="U520" t="str">
            <v>Vereda Ojo de Agua</v>
          </cell>
          <cell r="V520" t="str">
            <v>Vereda Ojo de agua</v>
          </cell>
          <cell r="W520" t="str">
            <v>INTERMUNICIPAL</v>
          </cell>
          <cell r="X520" t="e">
            <v>#REF!</v>
          </cell>
          <cell r="Y520" t="str">
            <v>SUROCCIDENTE</v>
          </cell>
          <cell r="Z520" t="str">
            <v>Vereda Ojo de agua</v>
          </cell>
          <cell r="AA520" t="str">
            <v xml:space="preserve">RIONEGRO </v>
          </cell>
          <cell r="AB520" t="str">
            <v>Clinica somer</v>
          </cell>
          <cell r="AC520" t="str">
            <v>Cll. 38 # 54 A - 35 piso 4 Rionegro</v>
          </cell>
          <cell r="AD520"/>
          <cell r="AE520">
            <v>52380</v>
          </cell>
          <cell r="AF520">
            <v>38000</v>
          </cell>
          <cell r="AG520">
            <v>15</v>
          </cell>
          <cell r="AH520">
            <v>20</v>
          </cell>
          <cell r="AI520">
            <v>60000</v>
          </cell>
          <cell r="AJ520">
            <v>54000</v>
          </cell>
          <cell r="AK520">
            <v>-16000</v>
          </cell>
          <cell r="AL520">
            <v>52380</v>
          </cell>
        </row>
        <row r="521">
          <cell r="T521" t="str">
            <v xml:space="preserve">Katerine Marin </v>
          </cell>
          <cell r="U521" t="str">
            <v xml:space="preserve">Cra 43 #78-48 Segundo Piso 2020 Manrique Central </v>
          </cell>
          <cell r="V521" t="str">
            <v>BARRIO MANRRIQUE COMUNA 3</v>
          </cell>
          <cell r="W521" t="str">
            <v>ORDEN PUBLICO</v>
          </cell>
          <cell r="X521">
            <v>3185453945</v>
          </cell>
          <cell r="Y521" t="str">
            <v>SUROCCIDENTE</v>
          </cell>
          <cell r="Z521" t="str">
            <v>BARRIO MANRRIQUE COMUNA 3</v>
          </cell>
          <cell r="AA521" t="str">
            <v>Medellin</v>
          </cell>
          <cell r="AB521" t="str">
            <v>Hosp. San Vicente de Paúl</v>
          </cell>
          <cell r="AC521" t="str">
            <v>Cll. 64 # 51 D - 70 HSVP</v>
          </cell>
          <cell r="AD521"/>
          <cell r="AE521">
            <v>17460</v>
          </cell>
          <cell r="AF521">
            <v>13000</v>
          </cell>
          <cell r="AG521" t="str">
            <v>3 km</v>
          </cell>
          <cell r="AH521" t="str">
            <v>10 MIN</v>
          </cell>
          <cell r="AI521">
            <v>20000</v>
          </cell>
          <cell r="AJ521">
            <v>18000</v>
          </cell>
          <cell r="AK521">
            <v>-5000</v>
          </cell>
          <cell r="AL521">
            <v>17460</v>
          </cell>
        </row>
        <row r="522">
          <cell r="T522" t="str">
            <v>Katherine Burbano</v>
          </cell>
          <cell r="U522" t="str">
            <v>Cll 10A sur 19A-111 B/o doña luz</v>
          </cell>
          <cell r="V522" t="str">
            <v>doña luz</v>
          </cell>
          <cell r="W522" t="str">
            <v>CERCANO</v>
          </cell>
          <cell r="X522" t="e">
            <v>#REF!</v>
          </cell>
          <cell r="Y522" t="str">
            <v>CENTRO</v>
          </cell>
          <cell r="Z522" t="str">
            <v>doña luz</v>
          </cell>
          <cell r="AA522" t="str">
            <v>Villavicencio</v>
          </cell>
          <cell r="AB522" t="str">
            <v>Villavicencio</v>
          </cell>
          <cell r="AC522" t="str">
            <v>Carrera 44C # 33B - 08 Edificio Navarro
Urbanización Los Pinos</v>
          </cell>
          <cell r="AD522"/>
          <cell r="AE522">
            <v>10670</v>
          </cell>
          <cell r="AF522">
            <v>9000</v>
          </cell>
          <cell r="AG522">
            <v>9</v>
          </cell>
          <cell r="AH522">
            <v>17</v>
          </cell>
          <cell r="AI522" t="e">
            <v>#N/A</v>
          </cell>
          <cell r="AJ522">
            <v>18000</v>
          </cell>
          <cell r="AK522">
            <v>-9000</v>
          </cell>
          <cell r="AL522">
            <v>17460</v>
          </cell>
        </row>
        <row r="523">
          <cell r="T523" t="str">
            <v xml:space="preserve">Kelly Higuita </v>
          </cell>
          <cell r="U523" t="str">
            <v xml:space="preserve">Cra83#91a-24 Barrio Robledo miramar </v>
          </cell>
          <cell r="V523" t="str">
            <v>BARRIO ROBLEDO MIRAMAR COMUNA 7</v>
          </cell>
          <cell r="W523" t="str">
            <v>ORDEN PUBLICO</v>
          </cell>
          <cell r="X523" t="str">
            <v>3143330381-2577586</v>
          </cell>
          <cell r="Y523" t="str">
            <v>SUROCCIDENTE</v>
          </cell>
          <cell r="Z523" t="str">
            <v>BARRIO ROBLEDO MIRAMAR COMUNA 7</v>
          </cell>
          <cell r="AA523" t="str">
            <v>Medellin</v>
          </cell>
          <cell r="AB523" t="str">
            <v>Hosp. San Vicente de Paúl</v>
          </cell>
          <cell r="AC523" t="str">
            <v>Cll. 64 # 51 D - 70 HSVP</v>
          </cell>
          <cell r="AD523"/>
          <cell r="AE523">
            <v>24250</v>
          </cell>
          <cell r="AF523">
            <v>15000</v>
          </cell>
          <cell r="AG523" t="str">
            <v>11 KM</v>
          </cell>
          <cell r="AH523" t="str">
            <v>21 MIN</v>
          </cell>
          <cell r="AI523">
            <v>20000</v>
          </cell>
          <cell r="AJ523">
            <v>20000</v>
          </cell>
          <cell r="AK523">
            <v>-5000</v>
          </cell>
          <cell r="AL523">
            <v>19400</v>
          </cell>
        </row>
        <row r="524">
          <cell r="T524" t="str">
            <v>Leidy gisell espitia</v>
          </cell>
          <cell r="U524" t="str">
            <v>Trasv. 21 11-81  B/o doña luz</v>
          </cell>
          <cell r="V524" t="str">
            <v>doña luz</v>
          </cell>
          <cell r="W524" t="str">
            <v>CERCANO</v>
          </cell>
          <cell r="X524" t="e">
            <v>#REF!</v>
          </cell>
          <cell r="Y524" t="str">
            <v>CENTRO</v>
          </cell>
          <cell r="Z524" t="str">
            <v>doña luz</v>
          </cell>
          <cell r="AA524" t="str">
            <v>Villavicencio</v>
          </cell>
          <cell r="AB524" t="str">
            <v>Villavicencio</v>
          </cell>
          <cell r="AC524" t="str">
            <v>Carrera 44C # 33B - 08 Edificio Navarro
Urbanización Los Pinos</v>
          </cell>
          <cell r="AD524"/>
          <cell r="AE524">
            <v>10670</v>
          </cell>
          <cell r="AF524">
            <v>9000</v>
          </cell>
          <cell r="AG524">
            <v>3</v>
          </cell>
          <cell r="AH524">
            <v>7</v>
          </cell>
          <cell r="AI524" t="e">
            <v>#N/A</v>
          </cell>
          <cell r="AJ524">
            <v>18000</v>
          </cell>
          <cell r="AK524">
            <v>-9000</v>
          </cell>
          <cell r="AL524">
            <v>17460</v>
          </cell>
        </row>
        <row r="525">
          <cell r="T525" t="str">
            <v xml:space="preserve">Leidy Johana Castaño Lopez </v>
          </cell>
          <cell r="U525" t="str">
            <v xml:space="preserve">Barrio Cabañas - Bello </v>
          </cell>
          <cell r="V525" t="str">
            <v>Cabañas</v>
          </cell>
          <cell r="W525" t="str">
            <v>LEJANO</v>
          </cell>
          <cell r="X525">
            <v>3217293287</v>
          </cell>
          <cell r="Y525" t="str">
            <v>SUROCCIDENTE</v>
          </cell>
          <cell r="Z525" t="str">
            <v>Cabañas</v>
          </cell>
          <cell r="AA525" t="str">
            <v xml:space="preserve">Medellin </v>
          </cell>
          <cell r="AB525" t="str">
            <v>Bello</v>
          </cell>
          <cell r="AC525" t="str">
            <v>Dg.  50A # 41 - 74</v>
          </cell>
          <cell r="AD525"/>
          <cell r="AE525">
            <v>17460</v>
          </cell>
          <cell r="AF525">
            <v>13000</v>
          </cell>
          <cell r="AG525">
            <v>0</v>
          </cell>
          <cell r="AH525">
            <v>0</v>
          </cell>
          <cell r="AI525">
            <v>20000</v>
          </cell>
          <cell r="AJ525">
            <v>18000</v>
          </cell>
          <cell r="AK525">
            <v>-5000</v>
          </cell>
          <cell r="AL525">
            <v>17460</v>
          </cell>
        </row>
        <row r="526">
          <cell r="T526" t="str">
            <v>Leidy Johana Osorio Vargas</v>
          </cell>
          <cell r="U526" t="str">
            <v>Calle 9b sur numero 79-221 urbanización Rodeo verde en Rodeo Alto</v>
          </cell>
          <cell r="V526" t="str">
            <v>BARRIO EL RODEO ALTO  BELEN</v>
          </cell>
          <cell r="W526" t="str">
            <v>CERCANO</v>
          </cell>
          <cell r="X526">
            <v>3013822629</v>
          </cell>
          <cell r="Y526" t="str">
            <v>SUROCCIDENTE</v>
          </cell>
          <cell r="Z526" t="str">
            <v>BARRIO EL RODEO ALTO  BELEN</v>
          </cell>
          <cell r="AA526" t="str">
            <v xml:space="preserve">Medellin </v>
          </cell>
          <cell r="AB526" t="str">
            <v>Belen</v>
          </cell>
          <cell r="AC526" t="str">
            <v>Cra 65B No. 30  - 95 Torre médica, piso 5</v>
          </cell>
          <cell r="AD526"/>
          <cell r="AE526">
            <v>13095</v>
          </cell>
          <cell r="AF526">
            <v>9000</v>
          </cell>
          <cell r="AG526">
            <v>6</v>
          </cell>
          <cell r="AH526">
            <v>13</v>
          </cell>
          <cell r="AI526">
            <v>15000</v>
          </cell>
          <cell r="AJ526">
            <v>13500</v>
          </cell>
          <cell r="AK526">
            <v>-4500</v>
          </cell>
          <cell r="AL526">
            <v>13095</v>
          </cell>
        </row>
        <row r="527">
          <cell r="T527" t="str">
            <v xml:space="preserve">Leidy Viviana Perez Pineda </v>
          </cell>
          <cell r="U527" t="str">
            <v xml:space="preserve">Barrio Aranjuez </v>
          </cell>
          <cell r="V527" t="str">
            <v xml:space="preserve">Barrio Aranjuez </v>
          </cell>
          <cell r="W527" t="str">
            <v>ORDEN PUBLICO</v>
          </cell>
          <cell r="X527">
            <v>3156582469</v>
          </cell>
          <cell r="Y527" t="str">
            <v>SUROCCIDENTE</v>
          </cell>
          <cell r="Z527" t="str">
            <v xml:space="preserve">Barrio Aranjuez </v>
          </cell>
          <cell r="AA527" t="str">
            <v xml:space="preserve">Medellin </v>
          </cell>
          <cell r="AB527" t="str">
            <v>Bello</v>
          </cell>
          <cell r="AC527" t="str">
            <v>Dg.  50A # 41 - 74</v>
          </cell>
          <cell r="AD527"/>
          <cell r="AE527">
            <v>24250</v>
          </cell>
          <cell r="AF527">
            <v>15000</v>
          </cell>
          <cell r="AG527" t="str">
            <v>11 km</v>
          </cell>
          <cell r="AH527" t="str">
            <v>17 min</v>
          </cell>
          <cell r="AI527">
            <v>25000</v>
          </cell>
          <cell r="AJ527">
            <v>25000</v>
          </cell>
          <cell r="AK527">
            <v>-10000</v>
          </cell>
          <cell r="AL527">
            <v>24250</v>
          </cell>
        </row>
        <row r="528">
          <cell r="T528" t="str">
            <v>LILIANA ROJAS</v>
          </cell>
          <cell r="U528" t="str">
            <v>CALLE 94 · No, 71 A - 13 CASTILLLA</v>
          </cell>
          <cell r="V528" t="str">
            <v>BARRIO CASTILLA COMUNA 5</v>
          </cell>
          <cell r="W528" t="str">
            <v>ORDEN PUBLICO</v>
          </cell>
          <cell r="X528">
            <v>3015897573</v>
          </cell>
          <cell r="Y528" t="str">
            <v>SUROCCIDENTE</v>
          </cell>
          <cell r="Z528" t="str">
            <v>BARRIO CASTILLA COMUNA 5</v>
          </cell>
          <cell r="AA528" t="str">
            <v>Medellin</v>
          </cell>
          <cell r="AB528" t="str">
            <v>Hosp. San Vicente de Paúl</v>
          </cell>
          <cell r="AC528" t="str">
            <v>Cll. 64 # 51 D - 70 HSVP</v>
          </cell>
          <cell r="AD528"/>
          <cell r="AE528">
            <v>19400</v>
          </cell>
          <cell r="AF528">
            <v>15000</v>
          </cell>
          <cell r="AG528" t="str">
            <v>6 km</v>
          </cell>
          <cell r="AH528" t="str">
            <v>13 min</v>
          </cell>
          <cell r="AI528">
            <v>20000</v>
          </cell>
          <cell r="AJ528">
            <v>20000</v>
          </cell>
          <cell r="AK528">
            <v>-5000</v>
          </cell>
          <cell r="AL528">
            <v>19400</v>
          </cell>
        </row>
        <row r="529">
          <cell r="T529" t="str">
            <v>Linda Uribe</v>
          </cell>
          <cell r="U529" t="str">
            <v>vereda  cabeceras rionegro</v>
          </cell>
          <cell r="V529" t="str">
            <v>Vereda Cabeceras</v>
          </cell>
          <cell r="W529" t="str">
            <v>INTERMUNICIPAL</v>
          </cell>
          <cell r="X529" t="e">
            <v>#REF!</v>
          </cell>
          <cell r="Y529" t="str">
            <v>SUROCCIDENTE</v>
          </cell>
          <cell r="Z529" t="str">
            <v>Vereda Cabeceras</v>
          </cell>
          <cell r="AA529" t="str">
            <v xml:space="preserve">RIONEGRO </v>
          </cell>
          <cell r="AB529" t="str">
            <v>Clinica somer</v>
          </cell>
          <cell r="AC529" t="str">
            <v>Cll. 38 # 54 A - 35 piso 4 Rionegro</v>
          </cell>
          <cell r="AD529"/>
          <cell r="AE529">
            <v>43650</v>
          </cell>
          <cell r="AF529">
            <v>38000</v>
          </cell>
          <cell r="AG529">
            <v>25</v>
          </cell>
          <cell r="AH529">
            <v>30</v>
          </cell>
          <cell r="AI529">
            <v>50000</v>
          </cell>
          <cell r="AJ529">
            <v>45000</v>
          </cell>
          <cell r="AK529">
            <v>-7000</v>
          </cell>
          <cell r="AL529">
            <v>43650</v>
          </cell>
        </row>
        <row r="530">
          <cell r="T530" t="str">
            <v>LISANDRO SUAREZ VARGAS</v>
          </cell>
          <cell r="U530" t="str">
            <v xml:space="preserve">CALLE 8 #7-32 </v>
          </cell>
          <cell r="V530">
            <v>0</v>
          </cell>
          <cell r="W530" t="str">
            <v>CERCANO</v>
          </cell>
          <cell r="X530" t="e">
            <v>#REF!</v>
          </cell>
          <cell r="Y530" t="str">
            <v>NORTE</v>
          </cell>
          <cell r="Z530">
            <v>0</v>
          </cell>
          <cell r="AA530" t="str">
            <v>Monteria</v>
          </cell>
          <cell r="AB530" t="str">
            <v>Monteria</v>
          </cell>
          <cell r="AC530" t="str">
            <v>Cra. 9 # 27-27 Edificio Cenecor</v>
          </cell>
          <cell r="AD530"/>
          <cell r="AE530">
            <v>13095</v>
          </cell>
          <cell r="AF530">
            <v>9000</v>
          </cell>
          <cell r="AG530">
            <v>0</v>
          </cell>
          <cell r="AH530">
            <v>0</v>
          </cell>
          <cell r="AI530" t="e">
            <v>#N/A</v>
          </cell>
          <cell r="AJ530">
            <v>13500</v>
          </cell>
          <cell r="AK530">
            <v>-4500</v>
          </cell>
          <cell r="AL530">
            <v>13095</v>
          </cell>
        </row>
        <row r="531">
          <cell r="T531" t="str">
            <v>luis aguilar</v>
          </cell>
          <cell r="U531" t="str">
            <v xml:space="preserve">Cra50 #45-17 Bello </v>
          </cell>
          <cell r="V531" t="str">
            <v>bello</v>
          </cell>
          <cell r="W531" t="str">
            <v>INTERMUNICIPAL</v>
          </cell>
          <cell r="X531" t="e">
            <v>#REF!</v>
          </cell>
          <cell r="Y531" t="str">
            <v>SUROCCIDENTE</v>
          </cell>
          <cell r="Z531" t="str">
            <v>bello</v>
          </cell>
          <cell r="AA531" t="str">
            <v>Medellin</v>
          </cell>
          <cell r="AB531" t="str">
            <v>Hosp. San Vicente de Paúl</v>
          </cell>
          <cell r="AC531" t="str">
            <v>Cll. 64 # 51 D - 70 HSVP</v>
          </cell>
          <cell r="AD531"/>
          <cell r="AE531">
            <v>34920</v>
          </cell>
          <cell r="AF531">
            <v>13000</v>
          </cell>
          <cell r="AG531" t="str">
            <v>10km</v>
          </cell>
          <cell r="AH531" t="str">
            <v>13 min</v>
          </cell>
          <cell r="AI531" t="e">
            <v>#N/A</v>
          </cell>
          <cell r="AJ531">
            <v>36000</v>
          </cell>
          <cell r="AK531">
            <v>-23000</v>
          </cell>
          <cell r="AL531">
            <v>34920</v>
          </cell>
        </row>
        <row r="532">
          <cell r="T532" t="str">
            <v>LUZ DEL MAR LLANOS</v>
          </cell>
          <cell r="U532" t="str">
            <v>CALLE 68 SUR No 45 - 70 TORRE 1 EDIFICIO LUIS PINO SABANETA</v>
          </cell>
          <cell r="V532" t="str">
            <v>Sabaneta</v>
          </cell>
          <cell r="W532" t="str">
            <v>INTERMUNICIPAL</v>
          </cell>
          <cell r="X532">
            <v>3502887416</v>
          </cell>
          <cell r="Y532" t="str">
            <v>SUROCCIDENTE</v>
          </cell>
          <cell r="Z532" t="str">
            <v>Sabaneta</v>
          </cell>
          <cell r="AA532" t="str">
            <v>Medellin</v>
          </cell>
          <cell r="AB532" t="str">
            <v>Hosp. San Vicente de Paúl</v>
          </cell>
          <cell r="AC532" t="str">
            <v>Cll. 64 # 51 D - 70 HSVP</v>
          </cell>
          <cell r="AD532"/>
          <cell r="AE532">
            <v>58200</v>
          </cell>
          <cell r="AF532">
            <v>30000</v>
          </cell>
          <cell r="AG532" t="str">
            <v>20 km</v>
          </cell>
          <cell r="AH532" t="str">
            <v>25 min</v>
          </cell>
          <cell r="AI532">
            <v>40000</v>
          </cell>
          <cell r="AJ532">
            <v>36000</v>
          </cell>
          <cell r="AK532">
            <v>-6000</v>
          </cell>
          <cell r="AL532">
            <v>34920</v>
          </cell>
        </row>
        <row r="533">
          <cell r="T533" t="str">
            <v>Luz Elena Perez Quintero</v>
          </cell>
          <cell r="U533" t="str">
            <v xml:space="preserve">calle 25 N 32 32 Carmen de viboral barrio Buenos Aires </v>
          </cell>
          <cell r="V533" t="str">
            <v>El carmen de Viboral</v>
          </cell>
          <cell r="W533" t="str">
            <v>INTERMUNICIPAL</v>
          </cell>
          <cell r="X533" t="str">
            <v>313 7950722</v>
          </cell>
          <cell r="Y533" t="str">
            <v>SUROCCIDENTE</v>
          </cell>
          <cell r="Z533" t="str">
            <v>El carmen de Viboral</v>
          </cell>
          <cell r="AA533" t="str">
            <v xml:space="preserve">RIONEGRO </v>
          </cell>
          <cell r="AB533" t="str">
            <v>Clinica somer</v>
          </cell>
          <cell r="AC533" t="str">
            <v>Cll. 38 # 54 A - 35 piso 4 Rionegro</v>
          </cell>
          <cell r="AD533"/>
          <cell r="AE533">
            <v>43650</v>
          </cell>
          <cell r="AF533">
            <v>38000</v>
          </cell>
          <cell r="AG533" t="str">
            <v>11 km</v>
          </cell>
          <cell r="AH533" t="str">
            <v>20 min</v>
          </cell>
          <cell r="AI533">
            <v>45000</v>
          </cell>
          <cell r="AJ533">
            <v>45000</v>
          </cell>
          <cell r="AK533">
            <v>-7000</v>
          </cell>
          <cell r="AL533">
            <v>43650</v>
          </cell>
        </row>
        <row r="534">
          <cell r="T534" t="str">
            <v>LUZ ESTELA PATRIYU HERNANDEZ</v>
          </cell>
          <cell r="U534" t="str">
            <v>DG 15 #2-33 B. La Granja</v>
          </cell>
          <cell r="V534" t="str">
            <v>LA GRANJA</v>
          </cell>
          <cell r="W534" t="str">
            <v>CERCANO</v>
          </cell>
          <cell r="X534">
            <v>3135994891</v>
          </cell>
          <cell r="Y534" t="str">
            <v>NORTE</v>
          </cell>
          <cell r="Z534" t="str">
            <v>LA GRANJA</v>
          </cell>
          <cell r="AA534" t="str">
            <v>Monteria</v>
          </cell>
          <cell r="AB534" t="str">
            <v>Monteria</v>
          </cell>
          <cell r="AC534" t="str">
            <v>Cra. 9 # 27-27 Edificio Cenecor</v>
          </cell>
          <cell r="AD534"/>
          <cell r="AE534">
            <v>10670</v>
          </cell>
          <cell r="AF534">
            <v>9000</v>
          </cell>
          <cell r="AG534">
            <v>0</v>
          </cell>
          <cell r="AH534">
            <v>0</v>
          </cell>
          <cell r="AI534">
            <v>11000</v>
          </cell>
          <cell r="AJ534">
            <v>11000</v>
          </cell>
          <cell r="AK534">
            <v>-2000</v>
          </cell>
          <cell r="AL534">
            <v>10670</v>
          </cell>
        </row>
        <row r="535">
          <cell r="T535" t="str">
            <v xml:space="preserve">Marcela Gutierrez </v>
          </cell>
          <cell r="U535" t="str">
            <v xml:space="preserve">Cra 67B#118-16 Bello </v>
          </cell>
          <cell r="V535" t="str">
            <v>Bello</v>
          </cell>
          <cell r="W535" t="str">
            <v>INTERMUNICIPAL</v>
          </cell>
          <cell r="X535">
            <v>3122341341</v>
          </cell>
          <cell r="Y535" t="str">
            <v>SUROCCIDENTE</v>
          </cell>
          <cell r="Z535" t="str">
            <v>Bello</v>
          </cell>
          <cell r="AA535" t="str">
            <v>Medellin</v>
          </cell>
          <cell r="AB535" t="str">
            <v>Hosp. San Vicente de Paúl</v>
          </cell>
          <cell r="AC535" t="str">
            <v>Cll. 64 # 51 D - 70 HSVP</v>
          </cell>
          <cell r="AD535"/>
          <cell r="AE535">
            <v>34920</v>
          </cell>
          <cell r="AF535">
            <v>13000</v>
          </cell>
          <cell r="AG535" t="str">
            <v>12 km</v>
          </cell>
          <cell r="AH535" t="str">
            <v>20 min</v>
          </cell>
          <cell r="AI535">
            <v>40000</v>
          </cell>
          <cell r="AJ535">
            <v>36000</v>
          </cell>
          <cell r="AK535">
            <v>-23000</v>
          </cell>
          <cell r="AL535">
            <v>34920</v>
          </cell>
        </row>
        <row r="536">
          <cell r="T536" t="str">
            <v xml:space="preserve">Marcial Andres Tapias Fernandez </v>
          </cell>
          <cell r="U536" t="str">
            <v xml:space="preserve">Barrio Envigado </v>
          </cell>
          <cell r="V536" t="str">
            <v>Envigado</v>
          </cell>
          <cell r="W536" t="str">
            <v>LEJANO</v>
          </cell>
          <cell r="X536">
            <v>3148197574</v>
          </cell>
          <cell r="Y536" t="str">
            <v>SUROCCIDENTE</v>
          </cell>
          <cell r="Z536" t="str">
            <v>Envigado</v>
          </cell>
          <cell r="AA536" t="str">
            <v xml:space="preserve">Medellin </v>
          </cell>
          <cell r="AB536" t="str">
            <v>Bello</v>
          </cell>
          <cell r="AC536" t="str">
            <v>Dg.  50A # 41 - 74</v>
          </cell>
          <cell r="AD536"/>
          <cell r="AE536">
            <v>17460</v>
          </cell>
          <cell r="AF536">
            <v>13000</v>
          </cell>
          <cell r="AG536">
            <v>0</v>
          </cell>
          <cell r="AH536">
            <v>0</v>
          </cell>
          <cell r="AI536">
            <v>25000</v>
          </cell>
          <cell r="AJ536">
            <v>18000</v>
          </cell>
          <cell r="AK536">
            <v>-5000</v>
          </cell>
          <cell r="AL536">
            <v>17460</v>
          </cell>
        </row>
        <row r="537">
          <cell r="T537" t="str">
            <v>MARGARITA ARGUMEDO CARVAJAL</v>
          </cell>
          <cell r="U537" t="str">
            <v>CALLE 19 # 2-05 B. El Puente 1</v>
          </cell>
          <cell r="V537" t="str">
            <v>EL PUENTE  1</v>
          </cell>
          <cell r="W537" t="str">
            <v>CERCANO</v>
          </cell>
          <cell r="X537" t="e">
            <v>#REF!</v>
          </cell>
          <cell r="Y537" t="str">
            <v>NORTE</v>
          </cell>
          <cell r="Z537" t="str">
            <v>EL PUENTE  1</v>
          </cell>
          <cell r="AA537" t="str">
            <v>Monteria</v>
          </cell>
          <cell r="AB537" t="str">
            <v>Monteria</v>
          </cell>
          <cell r="AC537" t="str">
            <v>Cra. 9 # 27-27 Edificio Cenecor</v>
          </cell>
          <cell r="AD537"/>
          <cell r="AE537">
            <v>10670</v>
          </cell>
          <cell r="AF537">
            <v>9000</v>
          </cell>
          <cell r="AG537">
            <v>0</v>
          </cell>
          <cell r="AH537">
            <v>0</v>
          </cell>
          <cell r="AI537">
            <v>11000</v>
          </cell>
          <cell r="AJ537">
            <v>11000</v>
          </cell>
          <cell r="AK537">
            <v>-2000</v>
          </cell>
          <cell r="AL537">
            <v>10670</v>
          </cell>
        </row>
        <row r="538">
          <cell r="T538" t="str">
            <v xml:space="preserve">MARIA ISABEL  BANGUERA VALENCIA </v>
          </cell>
          <cell r="U538" t="str">
            <v>CARRERA 54 N 34-472</v>
          </cell>
          <cell r="V538">
            <v>0</v>
          </cell>
          <cell r="W538" t="str">
            <v>LEJANO</v>
          </cell>
          <cell r="X538" t="e">
            <v>#REF!</v>
          </cell>
          <cell r="Y538" t="str">
            <v>SUROCCIDENTE</v>
          </cell>
          <cell r="Z538">
            <v>0</v>
          </cell>
          <cell r="AA538" t="str">
            <v>Medellin</v>
          </cell>
          <cell r="AB538" t="str">
            <v>Envigado</v>
          </cell>
          <cell r="AC538" t="str">
            <v>Dg. 31 # 36 A Sur - 80</v>
          </cell>
          <cell r="AD538"/>
          <cell r="AE538">
            <v>19400</v>
          </cell>
          <cell r="AF538">
            <v>9000</v>
          </cell>
          <cell r="AG538" t="str">
            <v>9 km</v>
          </cell>
          <cell r="AH538" t="str">
            <v>13 Min</v>
          </cell>
          <cell r="AI538" t="e">
            <v>#N/A</v>
          </cell>
          <cell r="AJ538">
            <v>20000</v>
          </cell>
          <cell r="AK538">
            <v>-11000</v>
          </cell>
          <cell r="AL538">
            <v>19400</v>
          </cell>
        </row>
        <row r="539">
          <cell r="T539" t="str">
            <v xml:space="preserve">Mario Andres Ardila Diaz </v>
          </cell>
          <cell r="U539" t="str">
            <v xml:space="preserve">Barrio Madera - Bello </v>
          </cell>
          <cell r="V539" t="str">
            <v>Madera</v>
          </cell>
          <cell r="W539" t="str">
            <v>LEJANO</v>
          </cell>
          <cell r="X539">
            <v>3012175918</v>
          </cell>
          <cell r="Y539" t="str">
            <v>SUROCCIDENTE</v>
          </cell>
          <cell r="Z539" t="str">
            <v>Madera</v>
          </cell>
          <cell r="AA539" t="str">
            <v xml:space="preserve">Medellin </v>
          </cell>
          <cell r="AB539" t="str">
            <v>Bello</v>
          </cell>
          <cell r="AC539" t="str">
            <v>Dg.  50A # 41 - 74</v>
          </cell>
          <cell r="AD539"/>
          <cell r="AE539">
            <v>17460</v>
          </cell>
          <cell r="AF539">
            <v>13000</v>
          </cell>
          <cell r="AG539">
            <v>0</v>
          </cell>
          <cell r="AH539">
            <v>0</v>
          </cell>
          <cell r="AI539">
            <v>20000</v>
          </cell>
          <cell r="AJ539">
            <v>18000</v>
          </cell>
          <cell r="AK539">
            <v>-5000</v>
          </cell>
          <cell r="AL539">
            <v>17460</v>
          </cell>
        </row>
        <row r="540">
          <cell r="T540" t="str">
            <v>MARITZA RUIZ CARMONA</v>
          </cell>
          <cell r="U540" t="str">
            <v>CALLE 12 A 4 A 33 VILLA ORIETA</v>
          </cell>
          <cell r="V540" t="str">
            <v>VILLA ORIETA</v>
          </cell>
          <cell r="W540" t="str">
            <v>CERCANO</v>
          </cell>
          <cell r="X540" t="e">
            <v>#REF!</v>
          </cell>
          <cell r="Y540" t="str">
            <v>NORTE</v>
          </cell>
          <cell r="Z540" t="str">
            <v>VILLA ORIETA</v>
          </cell>
          <cell r="AA540" t="str">
            <v xml:space="preserve">Sincelejo </v>
          </cell>
          <cell r="AB540" t="str">
            <v>Sincelejo</v>
          </cell>
          <cell r="AC540" t="str">
            <v>Cra. 19 # 27-07</v>
          </cell>
          <cell r="AD540"/>
          <cell r="AE540">
            <v>13095</v>
          </cell>
          <cell r="AF540">
            <v>9000</v>
          </cell>
          <cell r="AG540">
            <v>3</v>
          </cell>
          <cell r="AH540">
            <v>8</v>
          </cell>
          <cell r="AI540">
            <v>15000</v>
          </cell>
          <cell r="AJ540">
            <v>13500</v>
          </cell>
          <cell r="AK540">
            <v>-4500</v>
          </cell>
          <cell r="AL540">
            <v>13095</v>
          </cell>
        </row>
        <row r="541">
          <cell r="T541" t="str">
            <v>Martha batanero</v>
          </cell>
          <cell r="U541" t="str">
            <v>Urb. Santa ana casa 10 manzana D. Restrepo</v>
          </cell>
          <cell r="V541" t="str">
            <v>RESTREPO</v>
          </cell>
          <cell r="W541" t="str">
            <v>INTERMUNICIPAL</v>
          </cell>
          <cell r="X541">
            <v>3202183795</v>
          </cell>
          <cell r="Y541" t="str">
            <v>CENTRO</v>
          </cell>
          <cell r="Z541" t="str">
            <v>RESTREPO</v>
          </cell>
          <cell r="AA541" t="str">
            <v>Villavicencio</v>
          </cell>
          <cell r="AB541" t="str">
            <v>Villavicencio</v>
          </cell>
          <cell r="AC541" t="str">
            <v>Carrera 44C # 33B - 08 Edificio Navarro
Urbanización Los Pinos</v>
          </cell>
          <cell r="AD541"/>
          <cell r="AE541">
            <v>87300</v>
          </cell>
          <cell r="AF541">
            <v>85000</v>
          </cell>
          <cell r="AG541">
            <v>18</v>
          </cell>
          <cell r="AH541">
            <v>28</v>
          </cell>
          <cell r="AI541">
            <v>90000</v>
          </cell>
          <cell r="AJ541">
            <v>90000</v>
          </cell>
          <cell r="AK541">
            <v>-5000</v>
          </cell>
          <cell r="AL541">
            <v>87300</v>
          </cell>
        </row>
        <row r="542">
          <cell r="T542" t="str">
            <v>MARTHA HERNANDEZ MARTINEZ</v>
          </cell>
          <cell r="U542" t="str">
            <v xml:space="preserve"> MZ 103 LOTE 5 ETAPA 2 B. La Pradera</v>
          </cell>
          <cell r="V542" t="str">
            <v>LA PRADERA</v>
          </cell>
          <cell r="W542" t="str">
            <v>CERCANO</v>
          </cell>
          <cell r="X542" t="e">
            <v>#REF!</v>
          </cell>
          <cell r="Y542" t="str">
            <v>NORTE</v>
          </cell>
          <cell r="Z542" t="str">
            <v>LA PRADERA</v>
          </cell>
          <cell r="AA542" t="str">
            <v>Monteria</v>
          </cell>
          <cell r="AB542" t="str">
            <v>Monteria</v>
          </cell>
          <cell r="AC542" t="str">
            <v>Cra. 9 # 27-27 Edificio Cenecor</v>
          </cell>
          <cell r="AD542"/>
          <cell r="AE542">
            <v>13095</v>
          </cell>
          <cell r="AF542">
            <v>9000</v>
          </cell>
          <cell r="AG542">
            <v>0</v>
          </cell>
          <cell r="AH542">
            <v>0</v>
          </cell>
          <cell r="AI542" t="e">
            <v>#N/A</v>
          </cell>
          <cell r="AJ542">
            <v>13500</v>
          </cell>
          <cell r="AK542">
            <v>-4500</v>
          </cell>
          <cell r="AL542">
            <v>13095</v>
          </cell>
        </row>
        <row r="543">
          <cell r="T543" t="str">
            <v xml:space="preserve">MARTHA MONTERROZA </v>
          </cell>
          <cell r="U543" t="str">
            <v xml:space="preserve">CALLE 32 A # 13 84 SAN VICENTE </v>
          </cell>
          <cell r="V543" t="str">
            <v>SAN VICENTE</v>
          </cell>
          <cell r="W543" t="str">
            <v>CERCANO</v>
          </cell>
          <cell r="X543" t="e">
            <v>#REF!</v>
          </cell>
          <cell r="Y543" t="str">
            <v>NORTE</v>
          </cell>
          <cell r="Z543" t="str">
            <v>SAN VICENTE</v>
          </cell>
          <cell r="AA543" t="str">
            <v xml:space="preserve">Sincelejo </v>
          </cell>
          <cell r="AB543" t="str">
            <v>Sincelejo</v>
          </cell>
          <cell r="AC543" t="str">
            <v>Cra. 19 # 27-07</v>
          </cell>
          <cell r="AD543"/>
          <cell r="AE543">
            <v>13095</v>
          </cell>
          <cell r="AF543">
            <v>9000</v>
          </cell>
          <cell r="AG543">
            <v>2</v>
          </cell>
          <cell r="AH543">
            <v>6</v>
          </cell>
          <cell r="AI543">
            <v>15000</v>
          </cell>
          <cell r="AJ543">
            <v>13500</v>
          </cell>
          <cell r="AK543">
            <v>-4500</v>
          </cell>
          <cell r="AL543">
            <v>13095</v>
          </cell>
        </row>
        <row r="544">
          <cell r="T544" t="str">
            <v>Martha sofia cuervo</v>
          </cell>
          <cell r="U544" t="str">
            <v>Cra. 6 sur 36-13 torre 14 apto 404</v>
          </cell>
          <cell r="V544" t="str">
            <v>rai ingenieria</v>
          </cell>
          <cell r="W544" t="str">
            <v>CERCANO</v>
          </cell>
          <cell r="X544" t="e">
            <v>#REF!</v>
          </cell>
          <cell r="Y544" t="str">
            <v>CENTRO</v>
          </cell>
          <cell r="Z544" t="str">
            <v>rai ingenieria</v>
          </cell>
          <cell r="AA544" t="str">
            <v>Villavicencio</v>
          </cell>
          <cell r="AB544" t="str">
            <v>Villavicencio</v>
          </cell>
          <cell r="AC544" t="str">
            <v>Carrera 44C # 33B - 08 Edificio Navarro
Urbanización Los Pinos</v>
          </cell>
          <cell r="AD544"/>
          <cell r="AE544">
            <v>10670</v>
          </cell>
          <cell r="AF544">
            <v>9000</v>
          </cell>
          <cell r="AG544">
            <v>6</v>
          </cell>
          <cell r="AH544">
            <v>30</v>
          </cell>
          <cell r="AI544" t="e">
            <v>#N/A</v>
          </cell>
          <cell r="AJ544">
            <v>18000</v>
          </cell>
          <cell r="AK544">
            <v>-9000</v>
          </cell>
          <cell r="AL544">
            <v>17460</v>
          </cell>
        </row>
        <row r="545">
          <cell r="T545" t="str">
            <v>MEJIA ARBOLEDA FRANCISCO JAVIER</v>
          </cell>
          <cell r="U545" t="str">
            <v>Transv 32 Sur # 32B 33 Magnolia-Envigado</v>
          </cell>
          <cell r="V545" t="str">
            <v>Envigado</v>
          </cell>
          <cell r="W545" t="str">
            <v>LEJANO</v>
          </cell>
          <cell r="X545">
            <v>3052570011</v>
          </cell>
          <cell r="Y545" t="str">
            <v>SUROCCIDENTE</v>
          </cell>
          <cell r="Z545" t="str">
            <v>Envigado</v>
          </cell>
          <cell r="AA545" t="str">
            <v>Medellin</v>
          </cell>
          <cell r="AB545" t="str">
            <v>Las Américas</v>
          </cell>
          <cell r="AC545" t="str">
            <v xml:space="preserve">Dg.75B # 2 A - 80 piso 3 </v>
          </cell>
          <cell r="AD545"/>
          <cell r="AE545">
            <v>17460</v>
          </cell>
          <cell r="AF545">
            <v>13000</v>
          </cell>
          <cell r="AG545" t="str">
            <v>12 km</v>
          </cell>
          <cell r="AH545" t="str">
            <v>20 min</v>
          </cell>
          <cell r="AI545">
            <v>20000</v>
          </cell>
          <cell r="AJ545">
            <v>18000</v>
          </cell>
          <cell r="AK545">
            <v>-5000</v>
          </cell>
          <cell r="AL545">
            <v>17460</v>
          </cell>
        </row>
        <row r="546">
          <cell r="T546" t="str">
            <v xml:space="preserve">Merly Sulbaran </v>
          </cell>
          <cell r="U546" t="str">
            <v xml:space="preserve">Cll56n #41-99 edificio Bolivia Plaza 2 en frente de la universidad Maria Cano </v>
          </cell>
          <cell r="V546" t="str">
            <v>BARRIO PRADO CENTRO</v>
          </cell>
          <cell r="W546" t="str">
            <v>CERCANO</v>
          </cell>
          <cell r="X546">
            <v>3145868900</v>
          </cell>
          <cell r="Y546" t="str">
            <v>SUROCCIDENTE</v>
          </cell>
          <cell r="Z546" t="str">
            <v>BARRIO PRADO CENTRO</v>
          </cell>
          <cell r="AA546" t="str">
            <v>Medellin</v>
          </cell>
          <cell r="AB546" t="str">
            <v>Hosp. San Vicente de Paúl</v>
          </cell>
          <cell r="AC546" t="str">
            <v>Cll. 64 # 51 D - 70 HSVP</v>
          </cell>
          <cell r="AD546"/>
          <cell r="AE546">
            <v>13095</v>
          </cell>
          <cell r="AF546">
            <v>12000</v>
          </cell>
          <cell r="AG546" t="str">
            <v>4 km</v>
          </cell>
          <cell r="AH546" t="str">
            <v>10 min</v>
          </cell>
          <cell r="AI546">
            <v>15000</v>
          </cell>
          <cell r="AJ546">
            <v>13500</v>
          </cell>
          <cell r="AK546">
            <v>-1500</v>
          </cell>
          <cell r="AL546">
            <v>13095</v>
          </cell>
        </row>
        <row r="547">
          <cell r="T547" t="str">
            <v>MONICA ELENA BRUNAL HERNANDEZ</v>
          </cell>
          <cell r="U547" t="str">
            <v>CALLE 43 #10-09 B. Los Laureles</v>
          </cell>
          <cell r="V547" t="str">
            <v>LOS LAURELES</v>
          </cell>
          <cell r="W547" t="str">
            <v>CERCANO</v>
          </cell>
          <cell r="X547" t="e">
            <v>#REF!</v>
          </cell>
          <cell r="Y547" t="str">
            <v>NORTE</v>
          </cell>
          <cell r="Z547" t="str">
            <v>LOS LAURELES</v>
          </cell>
          <cell r="AA547" t="str">
            <v>Monteria</v>
          </cell>
          <cell r="AB547" t="str">
            <v>Monteria</v>
          </cell>
          <cell r="AC547" t="str">
            <v>Cra. 9 # 27-27 Edificio Cenecor</v>
          </cell>
          <cell r="AD547"/>
          <cell r="AE547">
            <v>10670</v>
          </cell>
          <cell r="AF547">
            <v>9000</v>
          </cell>
          <cell r="AG547">
            <v>0</v>
          </cell>
          <cell r="AH547">
            <v>0</v>
          </cell>
          <cell r="AI547">
            <v>11000</v>
          </cell>
          <cell r="AJ547">
            <v>11000</v>
          </cell>
          <cell r="AK547">
            <v>-2000</v>
          </cell>
          <cell r="AL547">
            <v>10670</v>
          </cell>
        </row>
        <row r="548">
          <cell r="T548" t="str">
            <v>Monica yulieth perez pavas</v>
          </cell>
          <cell r="U548" t="str">
            <v>Cra 30 AA n. 35-64. Barrio los giraldos. Marinilla</v>
          </cell>
          <cell r="V548" t="str">
            <v>Marinilla</v>
          </cell>
          <cell r="W548" t="str">
            <v>INTERMUNICIPAL</v>
          </cell>
          <cell r="X548">
            <v>3163580480</v>
          </cell>
          <cell r="Y548" t="str">
            <v>SUROCCIDENTE</v>
          </cell>
          <cell r="Z548" t="str">
            <v>Marinilla</v>
          </cell>
          <cell r="AA548" t="str">
            <v xml:space="preserve">RIONEGRO </v>
          </cell>
          <cell r="AB548" t="str">
            <v>Clinica somer</v>
          </cell>
          <cell r="AC548" t="str">
            <v>Cll. 38 # 54 A - 35 piso 4 Rionegro</v>
          </cell>
          <cell r="AD548"/>
          <cell r="AE548">
            <v>43650</v>
          </cell>
          <cell r="AF548">
            <v>38000</v>
          </cell>
          <cell r="AG548" t="str">
            <v>10 km</v>
          </cell>
          <cell r="AH548" t="str">
            <v>15 min</v>
          </cell>
          <cell r="AI548">
            <v>50000</v>
          </cell>
          <cell r="AJ548">
            <v>45000</v>
          </cell>
          <cell r="AK548">
            <v>-7000</v>
          </cell>
          <cell r="AL548">
            <v>43650</v>
          </cell>
        </row>
        <row r="549">
          <cell r="T549" t="str">
            <v xml:space="preserve">Natalia Duque </v>
          </cell>
          <cell r="U549" t="str">
            <v xml:space="preserve">cll 96 c #81-61 Barrio 12 de octubre </v>
          </cell>
          <cell r="V549" t="str">
            <v>BARRIO 12 OCTUBRE COMUNA 6</v>
          </cell>
          <cell r="W549" t="str">
            <v>CERCANO</v>
          </cell>
          <cell r="X549">
            <v>3002127186</v>
          </cell>
          <cell r="Y549" t="str">
            <v>SUROCCIDENTE</v>
          </cell>
          <cell r="Z549" t="str">
            <v>BARRIO 12 OCTUBRE COMUNA 6</v>
          </cell>
          <cell r="AA549" t="str">
            <v>Medellin</v>
          </cell>
          <cell r="AB549" t="str">
            <v>Hosp. San Vicente de Paúl</v>
          </cell>
          <cell r="AC549" t="str">
            <v>Cll. 64 # 51 D - 70 HSVP</v>
          </cell>
          <cell r="AD549"/>
          <cell r="AE549">
            <v>13095</v>
          </cell>
          <cell r="AF549">
            <v>12000</v>
          </cell>
          <cell r="AG549" t="str">
            <v>8 KM</v>
          </cell>
          <cell r="AH549" t="str">
            <v>17 MIN</v>
          </cell>
          <cell r="AI549">
            <v>15000</v>
          </cell>
          <cell r="AJ549">
            <v>13500</v>
          </cell>
          <cell r="AK549">
            <v>-1500</v>
          </cell>
          <cell r="AL549">
            <v>13095</v>
          </cell>
        </row>
        <row r="550">
          <cell r="T550" t="str">
            <v xml:space="preserve">Natalia Restrepo </v>
          </cell>
          <cell r="U550" t="str">
            <v xml:space="preserve">Hatillo Barbosa vereda el tablazo </v>
          </cell>
          <cell r="V550" t="str">
            <v>El Hatillo</v>
          </cell>
          <cell r="W550" t="str">
            <v>INTERMUNICIPAL</v>
          </cell>
          <cell r="X550">
            <v>3012752416</v>
          </cell>
          <cell r="Y550" t="str">
            <v>SUROCCIDENTE</v>
          </cell>
          <cell r="Z550" t="str">
            <v>El Hatillo</v>
          </cell>
          <cell r="AA550" t="str">
            <v>Medellin</v>
          </cell>
          <cell r="AB550" t="str">
            <v>Hosp. San Vicente de Paúl</v>
          </cell>
          <cell r="AC550" t="str">
            <v>Cll. 64 # 51 D - 70 HSVP</v>
          </cell>
          <cell r="AD550"/>
          <cell r="AE550">
            <v>58200</v>
          </cell>
          <cell r="AF550">
            <v>22000</v>
          </cell>
          <cell r="AG550" t="str">
            <v>42 km</v>
          </cell>
          <cell r="AH550" t="str">
            <v>45 MIN</v>
          </cell>
          <cell r="AI550">
            <v>60000</v>
          </cell>
          <cell r="AJ550">
            <v>60000</v>
          </cell>
          <cell r="AK550">
            <v>-38000</v>
          </cell>
          <cell r="AL550">
            <v>58200</v>
          </cell>
        </row>
        <row r="551">
          <cell r="T551" t="str">
            <v>Nelcy alejandra diaz</v>
          </cell>
          <cell r="U551" t="str">
            <v>Cra. 31 E  8-22 la rosita</v>
          </cell>
          <cell r="V551" t="str">
            <v>la rosita</v>
          </cell>
          <cell r="W551" t="str">
            <v>CERCANO</v>
          </cell>
          <cell r="X551">
            <v>3114451943</v>
          </cell>
          <cell r="Y551" t="str">
            <v>CENTRO</v>
          </cell>
          <cell r="Z551" t="str">
            <v>la rosita</v>
          </cell>
          <cell r="AA551" t="str">
            <v>Villavicencio</v>
          </cell>
          <cell r="AB551" t="str">
            <v>Villavicencio</v>
          </cell>
          <cell r="AC551" t="str">
            <v>Carrera 44C # 33B - 08 Edificio Navarro
Urbanización Los Pinos</v>
          </cell>
          <cell r="AD551"/>
          <cell r="AE551">
            <v>10670</v>
          </cell>
          <cell r="AF551">
            <v>9000</v>
          </cell>
          <cell r="AG551">
            <v>4</v>
          </cell>
          <cell r="AH551">
            <v>30</v>
          </cell>
          <cell r="AI551">
            <v>20000</v>
          </cell>
          <cell r="AJ551">
            <v>18000</v>
          </cell>
          <cell r="AK551">
            <v>-9000</v>
          </cell>
          <cell r="AL551">
            <v>17460</v>
          </cell>
        </row>
        <row r="552">
          <cell r="T552" t="str">
            <v>Nelly patricia calderon</v>
          </cell>
          <cell r="U552" t="str">
            <v>Cll. 11 14-46 barrio estero</v>
          </cell>
          <cell r="V552" t="str">
            <v>barrio estereo</v>
          </cell>
          <cell r="W552" t="str">
            <v>CERCANO</v>
          </cell>
          <cell r="X552">
            <v>3204648283</v>
          </cell>
          <cell r="Y552" t="str">
            <v>CENTRO</v>
          </cell>
          <cell r="Z552" t="str">
            <v>barrio estereo</v>
          </cell>
          <cell r="AA552" t="str">
            <v>Villavicencio</v>
          </cell>
          <cell r="AB552" t="str">
            <v>Villavicencio</v>
          </cell>
          <cell r="AC552" t="str">
            <v>Carrera 44C # 33B - 08 Edificio Navarro
Urbanización Los Pinos</v>
          </cell>
          <cell r="AD552"/>
          <cell r="AE552">
            <v>10670</v>
          </cell>
          <cell r="AF552">
            <v>9000</v>
          </cell>
          <cell r="AG552">
            <v>5</v>
          </cell>
          <cell r="AH552">
            <v>13</v>
          </cell>
          <cell r="AI552">
            <v>20000</v>
          </cell>
          <cell r="AJ552">
            <v>18000</v>
          </cell>
          <cell r="AK552">
            <v>-9000</v>
          </cell>
          <cell r="AL552">
            <v>17460</v>
          </cell>
        </row>
        <row r="553">
          <cell r="T553" t="str">
            <v>Nini Betancurt</v>
          </cell>
          <cell r="U553" t="str">
            <v>Rionegro</v>
          </cell>
          <cell r="V553" t="str">
            <v>Rionegro</v>
          </cell>
          <cell r="W553" t="str">
            <v>CERCANO</v>
          </cell>
          <cell r="X553" t="e">
            <v>#REF!</v>
          </cell>
          <cell r="Y553" t="str">
            <v>SUROCCIDENTE</v>
          </cell>
          <cell r="Z553" t="str">
            <v>Rionegro</v>
          </cell>
          <cell r="AA553" t="str">
            <v xml:space="preserve">RIONEGRO </v>
          </cell>
          <cell r="AB553" t="str">
            <v>Clinica somer</v>
          </cell>
          <cell r="AC553" t="str">
            <v>Cll. 38 # 54 A - 35 piso 4 Rionegro</v>
          </cell>
          <cell r="AD553"/>
          <cell r="AE553">
            <v>10670</v>
          </cell>
          <cell r="AF553">
            <v>9000</v>
          </cell>
          <cell r="AG553">
            <v>3</v>
          </cell>
          <cell r="AH553">
            <v>5</v>
          </cell>
          <cell r="AI553">
            <v>11000</v>
          </cell>
          <cell r="AJ553">
            <v>11000</v>
          </cell>
          <cell r="AK553">
            <v>-2000</v>
          </cell>
          <cell r="AL553">
            <v>10670</v>
          </cell>
        </row>
        <row r="554">
          <cell r="T554" t="str">
            <v xml:space="preserve">Nora Loaiza </v>
          </cell>
          <cell r="U554" t="str">
            <v xml:space="preserve">Cll80b #72c-166 barrio Lopez de mesa </v>
          </cell>
          <cell r="V554" t="str">
            <v>BARRIO LOPEZ DE MESA COMUNA 5</v>
          </cell>
          <cell r="W554" t="str">
            <v>ORDEN PUBLICO</v>
          </cell>
          <cell r="X554">
            <v>3207548934</v>
          </cell>
          <cell r="Y554" t="str">
            <v>SUROCCIDENTE</v>
          </cell>
          <cell r="Z554" t="str">
            <v>BARRIO LOPEZ DE MESA COMUNA 5</v>
          </cell>
          <cell r="AA554" t="str">
            <v>Medellin</v>
          </cell>
          <cell r="AB554" t="str">
            <v>Hosp. San Vicente de Paúl</v>
          </cell>
          <cell r="AC554" t="str">
            <v>Cll. 64 # 51 D - 70 HSVP</v>
          </cell>
          <cell r="AD554"/>
          <cell r="AE554">
            <v>24250</v>
          </cell>
          <cell r="AF554">
            <v>15000</v>
          </cell>
          <cell r="AG554" t="str">
            <v>6 Km</v>
          </cell>
          <cell r="AH554" t="str">
            <v>15 MIN</v>
          </cell>
          <cell r="AI554">
            <v>20000</v>
          </cell>
          <cell r="AJ554">
            <v>20000</v>
          </cell>
          <cell r="AK554">
            <v>-5000</v>
          </cell>
          <cell r="AL554">
            <v>19400</v>
          </cell>
        </row>
        <row r="555">
          <cell r="T555" t="str">
            <v xml:space="preserve">Olivia Raquel García Perez </v>
          </cell>
          <cell r="U555" t="str">
            <v xml:space="preserve">Barrio Florida Norte America -Bello </v>
          </cell>
          <cell r="V555" t="str">
            <v>BARRIO FLORIDA</v>
          </cell>
          <cell r="W555" t="str">
            <v>LEJANO</v>
          </cell>
          <cell r="X555">
            <v>3015957860</v>
          </cell>
          <cell r="Y555" t="str">
            <v>SUROCCIDENTE</v>
          </cell>
          <cell r="Z555" t="str">
            <v>BARRIO FLORIDA</v>
          </cell>
          <cell r="AA555" t="str">
            <v xml:space="preserve">Medellin </v>
          </cell>
          <cell r="AB555" t="str">
            <v>Bello</v>
          </cell>
          <cell r="AC555" t="str">
            <v>Dg.  50A # 41 - 74</v>
          </cell>
          <cell r="AD555"/>
          <cell r="AE555">
            <v>17460</v>
          </cell>
          <cell r="AF555">
            <v>13000</v>
          </cell>
          <cell r="AG555" t="str">
            <v>12 KM</v>
          </cell>
          <cell r="AH555" t="str">
            <v>20 MIN</v>
          </cell>
          <cell r="AI555">
            <v>20000</v>
          </cell>
          <cell r="AJ555">
            <v>18000</v>
          </cell>
          <cell r="AK555">
            <v>-5000</v>
          </cell>
          <cell r="AL555">
            <v>17460</v>
          </cell>
        </row>
        <row r="556">
          <cell r="T556" t="str">
            <v xml:space="preserve">Paola Andrea Serna Monsalve </v>
          </cell>
          <cell r="U556" t="str">
            <v xml:space="preserve">Barrio San Martin  - Bello </v>
          </cell>
          <cell r="V556" t="str">
            <v>BARRIO SAN MARTIN</v>
          </cell>
          <cell r="W556" t="str">
            <v>LEJANO</v>
          </cell>
          <cell r="X556">
            <v>3104218041</v>
          </cell>
          <cell r="Y556" t="str">
            <v>SUROCCIDENTE</v>
          </cell>
          <cell r="Z556" t="str">
            <v>BARRIO SAN MARTIN</v>
          </cell>
          <cell r="AA556" t="str">
            <v xml:space="preserve">Medellin </v>
          </cell>
          <cell r="AB556" t="str">
            <v>Bello</v>
          </cell>
          <cell r="AC556" t="str">
            <v>Dg.  50A # 41 - 74</v>
          </cell>
          <cell r="AD556"/>
          <cell r="AE556">
            <v>17460</v>
          </cell>
          <cell r="AF556">
            <v>13000</v>
          </cell>
          <cell r="AG556" t="str">
            <v>12 KM</v>
          </cell>
          <cell r="AH556" t="str">
            <v>20 MIN</v>
          </cell>
          <cell r="AI556">
            <v>20000</v>
          </cell>
          <cell r="AJ556">
            <v>18000</v>
          </cell>
          <cell r="AK556">
            <v>-5000</v>
          </cell>
          <cell r="AL556">
            <v>17460</v>
          </cell>
        </row>
        <row r="557">
          <cell r="T557" t="str">
            <v xml:space="preserve">Paula Pilar Perez Pacheco </v>
          </cell>
          <cell r="U557" t="str">
            <v xml:space="preserve">Municipio Sabaneta </v>
          </cell>
          <cell r="V557" t="str">
            <v>Sabaneta</v>
          </cell>
          <cell r="W557" t="str">
            <v>INTERMUNICIPAL</v>
          </cell>
          <cell r="X557">
            <v>3023892642</v>
          </cell>
          <cell r="Y557" t="str">
            <v>SUROCCIDENTE</v>
          </cell>
          <cell r="Z557" t="str">
            <v>Sabaneta</v>
          </cell>
          <cell r="AA557" t="str">
            <v xml:space="preserve">Medellin </v>
          </cell>
          <cell r="AB557" t="str">
            <v>Bello</v>
          </cell>
          <cell r="AC557" t="str">
            <v>Dg.  50A # 41 - 74</v>
          </cell>
          <cell r="AD557"/>
          <cell r="AE557">
            <v>39285</v>
          </cell>
          <cell r="AF557">
            <v>38000</v>
          </cell>
          <cell r="AG557" t="str">
            <v>27.5 km</v>
          </cell>
          <cell r="AH557" t="str">
            <v>30 MIN</v>
          </cell>
          <cell r="AI557">
            <v>45000</v>
          </cell>
          <cell r="AJ557">
            <v>40500</v>
          </cell>
          <cell r="AK557">
            <v>-2500</v>
          </cell>
          <cell r="AL557">
            <v>39285</v>
          </cell>
        </row>
        <row r="558">
          <cell r="T558" t="str">
            <v>Reinaldo Castrillon</v>
          </cell>
          <cell r="U558" t="str">
            <v>Carmen de Viboral</v>
          </cell>
          <cell r="V558" t="str">
            <v>El carmen de Viboral</v>
          </cell>
          <cell r="W558" t="str">
            <v>INTERMUNICIPAL</v>
          </cell>
          <cell r="X558">
            <v>3105344188</v>
          </cell>
          <cell r="Y558" t="str">
            <v>SUROCCIDENTE</v>
          </cell>
          <cell r="Z558" t="str">
            <v>El carmen de Viboral</v>
          </cell>
          <cell r="AA558" t="str">
            <v xml:space="preserve">RIONEGRO </v>
          </cell>
          <cell r="AB558" t="str">
            <v>Clinica somer</v>
          </cell>
          <cell r="AC558" t="str">
            <v>Cll. 38 # 54 A - 35 piso 4 Rionegro</v>
          </cell>
          <cell r="AD558"/>
          <cell r="AE558">
            <v>43650</v>
          </cell>
          <cell r="AF558">
            <v>38000</v>
          </cell>
          <cell r="AG558" t="str">
            <v>11 km</v>
          </cell>
          <cell r="AH558" t="str">
            <v>20 min</v>
          </cell>
          <cell r="AI558">
            <v>50000</v>
          </cell>
          <cell r="AJ558">
            <v>45000</v>
          </cell>
          <cell r="AK558">
            <v>-7000</v>
          </cell>
          <cell r="AL558">
            <v>43650</v>
          </cell>
        </row>
        <row r="559">
          <cell r="T559" t="str">
            <v>RENGIFO ANDRES</v>
          </cell>
          <cell r="U559" t="str">
            <v>Cra 46A # 42 Sur 75 Condominio Milan 3 - Envigado</v>
          </cell>
          <cell r="V559" t="str">
            <v>Envigado</v>
          </cell>
          <cell r="W559" t="str">
            <v>LEJANO</v>
          </cell>
          <cell r="X559">
            <v>3185240486</v>
          </cell>
          <cell r="Y559" t="str">
            <v>SUROCCIDENTE</v>
          </cell>
          <cell r="Z559" t="str">
            <v>Envigado</v>
          </cell>
          <cell r="AA559" t="str">
            <v>Medellin</v>
          </cell>
          <cell r="AB559" t="str">
            <v>Las Américas</v>
          </cell>
          <cell r="AC559" t="str">
            <v xml:space="preserve">Dg.75B # 2 A - 80 piso 3 </v>
          </cell>
          <cell r="AD559"/>
          <cell r="AE559">
            <v>17460</v>
          </cell>
          <cell r="AF559">
            <v>13000</v>
          </cell>
          <cell r="AG559" t="str">
            <v>12 km</v>
          </cell>
          <cell r="AH559" t="str">
            <v>20 min</v>
          </cell>
          <cell r="AI559">
            <v>20000</v>
          </cell>
          <cell r="AJ559">
            <v>18000</v>
          </cell>
          <cell r="AK559">
            <v>-5000</v>
          </cell>
          <cell r="AL559">
            <v>17460</v>
          </cell>
        </row>
        <row r="560">
          <cell r="T560" t="str">
            <v xml:space="preserve">Rosana Melendez </v>
          </cell>
          <cell r="U560" t="str">
            <v xml:space="preserve">Cll45a sur # 81 a-27 Barrio Salinas San Antonio de Prado </v>
          </cell>
          <cell r="V560" t="str">
            <v>CORREGIMIENTO SAN ANTONIO DE PRADO DE MEDELLIN SE INGRESA POR EL MUNICIPIO DE ITAGUI</v>
          </cell>
          <cell r="W560" t="str">
            <v>INTERMUNICIPAL</v>
          </cell>
          <cell r="X560">
            <v>3207103578</v>
          </cell>
          <cell r="Y560" t="str">
            <v>SUROCCIDENTE</v>
          </cell>
          <cell r="Z560" t="str">
            <v>CORREGIMIENTO SAN ANTONIO DE PRADO DE MEDELLIN SE INGRESA POR EL MUNICIPIO DE ITAGUI</v>
          </cell>
          <cell r="AA560" t="str">
            <v>Medellin</v>
          </cell>
          <cell r="AB560" t="str">
            <v>Hosp. San Vicente de Paúl</v>
          </cell>
          <cell r="AC560" t="str">
            <v>Cll. 64 # 51 D - 70 HSVP</v>
          </cell>
          <cell r="AD560"/>
          <cell r="AE560">
            <v>34920</v>
          </cell>
          <cell r="AF560">
            <v>13000</v>
          </cell>
          <cell r="AG560" t="str">
            <v>25 km</v>
          </cell>
          <cell r="AH560" t="str">
            <v>35 min</v>
          </cell>
          <cell r="AI560">
            <v>40000</v>
          </cell>
          <cell r="AJ560">
            <v>36000</v>
          </cell>
          <cell r="AK560">
            <v>-23000</v>
          </cell>
          <cell r="AL560">
            <v>34920</v>
          </cell>
        </row>
        <row r="561">
          <cell r="T561" t="str">
            <v xml:space="preserve">SAMPAYO URIETA KARINA         </v>
          </cell>
          <cell r="U561" t="str">
            <v>CALLE 116 # 68 A - 52</v>
          </cell>
          <cell r="V561" t="str">
            <v>BARRIO FLORENCIA COMUNA 5</v>
          </cell>
          <cell r="W561" t="str">
            <v>ORDEN PUBLICO</v>
          </cell>
          <cell r="X561" t="e">
            <v>#REF!</v>
          </cell>
          <cell r="Y561" t="str">
            <v>SUROCCIDENTE</v>
          </cell>
          <cell r="Z561" t="str">
            <v>BARRIO FLORENCIA COMUNA 5</v>
          </cell>
          <cell r="AA561" t="str">
            <v>Medellin</v>
          </cell>
          <cell r="AB561" t="str">
            <v>Envigado</v>
          </cell>
          <cell r="AC561" t="str">
            <v>Dg. 31 # 36 A Sur - 80</v>
          </cell>
          <cell r="AD561"/>
          <cell r="AE561">
            <v>24250</v>
          </cell>
          <cell r="AF561">
            <v>20000</v>
          </cell>
          <cell r="AG561" t="str">
            <v>20 KM</v>
          </cell>
          <cell r="AH561" t="str">
            <v>30 MIN</v>
          </cell>
          <cell r="AI561" t="e">
            <v>#N/A</v>
          </cell>
          <cell r="AJ561">
            <v>25000</v>
          </cell>
          <cell r="AK561">
            <v>-5000</v>
          </cell>
          <cell r="AL561">
            <v>24250</v>
          </cell>
        </row>
        <row r="562">
          <cell r="T562" t="str">
            <v>Samuel Franco</v>
          </cell>
          <cell r="U562" t="str">
            <v>Cra 33 # 50 - 55 Buenos Aires</v>
          </cell>
          <cell r="V562" t="str">
            <v>BARRIO BUENOS AIRES COMUNA 9</v>
          </cell>
          <cell r="W562" t="str">
            <v>ORDEN PUBLICO</v>
          </cell>
          <cell r="X562">
            <v>3192506920</v>
          </cell>
          <cell r="Y562" t="str">
            <v>SUROCCIDENTE</v>
          </cell>
          <cell r="Z562" t="str">
            <v>BARRIO BUENOS AIRES COMUNA 9</v>
          </cell>
          <cell r="AA562" t="str">
            <v xml:space="preserve">Medellin </v>
          </cell>
          <cell r="AB562" t="str">
            <v>Belen</v>
          </cell>
          <cell r="AC562" t="str">
            <v>Cra 65B No. 30  - 95 Torre médica, piso 5</v>
          </cell>
          <cell r="AD562"/>
          <cell r="AE562">
            <v>24250</v>
          </cell>
          <cell r="AF562">
            <v>15000</v>
          </cell>
          <cell r="AG562">
            <v>6</v>
          </cell>
          <cell r="AH562">
            <v>13</v>
          </cell>
          <cell r="AI562">
            <v>25000</v>
          </cell>
          <cell r="AJ562">
            <v>25000</v>
          </cell>
          <cell r="AK562">
            <v>-10000</v>
          </cell>
          <cell r="AL562">
            <v>24250</v>
          </cell>
        </row>
        <row r="563">
          <cell r="T563" t="str">
            <v>Sandra Lucia Villa Acevedo</v>
          </cell>
          <cell r="U563" t="str">
            <v>Calle 38b Sur # 26-02 Urb Montepietra apto 2020</v>
          </cell>
          <cell r="V563" t="str">
            <v>Montepiedra</v>
          </cell>
          <cell r="W563" t="str">
            <v>INTERMUNICIPAL</v>
          </cell>
          <cell r="X563">
            <v>3224965095</v>
          </cell>
          <cell r="Y563" t="str">
            <v>SUROCCIDENTE</v>
          </cell>
          <cell r="Z563" t="str">
            <v>Montepiedra</v>
          </cell>
          <cell r="AA563" t="str">
            <v xml:space="preserve">Medellin </v>
          </cell>
          <cell r="AB563" t="str">
            <v>Belen</v>
          </cell>
          <cell r="AC563" t="str">
            <v>Cra 65B No. 30  - 95 Torre médica, piso 5</v>
          </cell>
          <cell r="AD563"/>
          <cell r="AE563">
            <v>24250</v>
          </cell>
          <cell r="AF563">
            <v>15000</v>
          </cell>
          <cell r="AG563" t="str">
            <v>13 km</v>
          </cell>
          <cell r="AH563" t="str">
            <v>20 min</v>
          </cell>
          <cell r="AI563">
            <v>25000</v>
          </cell>
          <cell r="AJ563">
            <v>25000</v>
          </cell>
          <cell r="AK563">
            <v>-10000</v>
          </cell>
          <cell r="AL563">
            <v>24250</v>
          </cell>
        </row>
        <row r="564">
          <cell r="T564" t="str">
            <v xml:space="preserve">SANDRA MILENA CASTRILLON GIL </v>
          </cell>
          <cell r="U564" t="str">
            <v>CARRERA 46 A NRO.  44 SUR 63</v>
          </cell>
          <cell r="V564" t="str">
            <v>Urbano</v>
          </cell>
          <cell r="W564" t="str">
            <v>LEJANO</v>
          </cell>
          <cell r="X564" t="e">
            <v>#REF!</v>
          </cell>
          <cell r="Y564" t="str">
            <v>SUROCCIDENTE</v>
          </cell>
          <cell r="Z564" t="str">
            <v>Urbano</v>
          </cell>
          <cell r="AA564" t="str">
            <v>Medellin</v>
          </cell>
          <cell r="AB564" t="str">
            <v>Envigado</v>
          </cell>
          <cell r="AC564" t="str">
            <v>Dg. 31 # 36 A Sur - 80</v>
          </cell>
          <cell r="AD564"/>
          <cell r="AE564">
            <v>19400</v>
          </cell>
          <cell r="AF564">
            <v>9000</v>
          </cell>
          <cell r="AG564" t="str">
            <v>13 km</v>
          </cell>
          <cell r="AH564" t="str">
            <v>20 min</v>
          </cell>
          <cell r="AI564" t="e">
            <v>#N/A</v>
          </cell>
          <cell r="AJ564">
            <v>20000</v>
          </cell>
          <cell r="AK564">
            <v>-11000</v>
          </cell>
          <cell r="AL564">
            <v>19400</v>
          </cell>
        </row>
        <row r="565">
          <cell r="T565" t="str">
            <v>SARA VELEZ ACEVEDO</v>
          </cell>
          <cell r="U565" t="str">
            <v>Cra 47 - calle 131 Sur - 99 Caldas, Antioquía</v>
          </cell>
          <cell r="V565" t="str">
            <v>Caldas</v>
          </cell>
          <cell r="W565" t="str">
            <v>INTERMUNICIPAL</v>
          </cell>
          <cell r="X565" t="e">
            <v>#REF!</v>
          </cell>
          <cell r="Y565" t="str">
            <v>SUROCCIDENTE</v>
          </cell>
          <cell r="Z565" t="str">
            <v>Caldas</v>
          </cell>
          <cell r="AA565" t="str">
            <v xml:space="preserve">Medellin </v>
          </cell>
          <cell r="AB565" t="str">
            <v>Belen</v>
          </cell>
          <cell r="AC565" t="str">
            <v>Cra 65B No. 30  - 95 Torre médica, piso 5</v>
          </cell>
          <cell r="AD565"/>
          <cell r="AE565">
            <v>48500</v>
          </cell>
          <cell r="AF565">
            <v>38000</v>
          </cell>
          <cell r="AG565" t="str">
            <v>23 km</v>
          </cell>
          <cell r="AH565" t="str">
            <v>27 min</v>
          </cell>
          <cell r="AI565" t="e">
            <v>#N/A</v>
          </cell>
          <cell r="AJ565">
            <v>50000</v>
          </cell>
          <cell r="AK565">
            <v>-12000</v>
          </cell>
          <cell r="AL565">
            <v>48500</v>
          </cell>
        </row>
        <row r="566">
          <cell r="T566" t="str">
            <v>SIERRA SERNA DIANA MARIA</v>
          </cell>
          <cell r="U566" t="str">
            <v>Cra 77 # 60-45 San German Urb Cuarzo-Robledo</v>
          </cell>
          <cell r="V566" t="str">
            <v>ROBLEDO</v>
          </cell>
          <cell r="W566" t="str">
            <v>ORDEN PUBLICO</v>
          </cell>
          <cell r="X566">
            <v>3052644225</v>
          </cell>
          <cell r="Y566" t="str">
            <v>SUROCCIDENTE</v>
          </cell>
          <cell r="Z566" t="str">
            <v>ROBLEDO</v>
          </cell>
          <cell r="AA566" t="str">
            <v>Medellin</v>
          </cell>
          <cell r="AB566" t="str">
            <v>Las Américas</v>
          </cell>
          <cell r="AC566" t="str">
            <v xml:space="preserve">Dg.75B # 2 A - 80 piso 3 </v>
          </cell>
          <cell r="AD566"/>
          <cell r="AE566">
            <v>17460</v>
          </cell>
          <cell r="AF566">
            <v>13000</v>
          </cell>
          <cell r="AG566" t="str">
            <v>5 km</v>
          </cell>
          <cell r="AH566" t="str">
            <v>12 min</v>
          </cell>
          <cell r="AI566">
            <v>20000</v>
          </cell>
          <cell r="AJ566">
            <v>18000</v>
          </cell>
          <cell r="AK566">
            <v>-5000</v>
          </cell>
          <cell r="AL566">
            <v>17460</v>
          </cell>
        </row>
        <row r="567">
          <cell r="T567" t="str">
            <v xml:space="preserve">Sofia Celestino </v>
          </cell>
          <cell r="U567" t="str">
            <v xml:space="preserve">Cra 89 #48E-15 Santa Lucia </v>
          </cell>
          <cell r="V567" t="str">
            <v>BARRIO SANTA LUCIA</v>
          </cell>
          <cell r="W567" t="str">
            <v>CERCANO</v>
          </cell>
          <cell r="X567">
            <v>3014071392</v>
          </cell>
          <cell r="Y567" t="str">
            <v>SUROCCIDENTE</v>
          </cell>
          <cell r="Z567" t="str">
            <v>BARRIO SANTA LUCIA</v>
          </cell>
          <cell r="AA567" t="str">
            <v>Medellin</v>
          </cell>
          <cell r="AB567" t="str">
            <v>Hosp. San Vicente de Paúl</v>
          </cell>
          <cell r="AC567" t="str">
            <v>Cll. 64 # 51 D - 70 HSVP</v>
          </cell>
          <cell r="AD567"/>
          <cell r="AE567">
            <v>13095</v>
          </cell>
          <cell r="AF567">
            <v>12000</v>
          </cell>
          <cell r="AG567" t="str">
            <v>7 km</v>
          </cell>
          <cell r="AH567" t="str">
            <v>15 min</v>
          </cell>
          <cell r="AI567">
            <v>15000</v>
          </cell>
          <cell r="AJ567">
            <v>13500</v>
          </cell>
          <cell r="AK567">
            <v>-1500</v>
          </cell>
          <cell r="AL567">
            <v>13095</v>
          </cell>
        </row>
        <row r="568">
          <cell r="T568" t="str">
            <v>Vanesa Leon</v>
          </cell>
          <cell r="U568" t="str">
            <v>Alto del medio Rionegro</v>
          </cell>
          <cell r="V568" t="str">
            <v>Alto del medio</v>
          </cell>
          <cell r="W568" t="str">
            <v>LEJANO</v>
          </cell>
          <cell r="X568" t="e">
            <v>#REF!</v>
          </cell>
          <cell r="Y568" t="str">
            <v>SUROCCIDENTE</v>
          </cell>
          <cell r="Z568" t="str">
            <v>Alto del medio</v>
          </cell>
          <cell r="AA568" t="str">
            <v xml:space="preserve">RIONEGRO </v>
          </cell>
          <cell r="AB568" t="str">
            <v>Clinica somer</v>
          </cell>
          <cell r="AC568" t="str">
            <v>Cll. 38 # 54 A - 35 piso 4 Rionegro</v>
          </cell>
          <cell r="AD568"/>
          <cell r="AE568">
            <v>43650</v>
          </cell>
          <cell r="AF568">
            <v>38000</v>
          </cell>
          <cell r="AG568">
            <v>12</v>
          </cell>
          <cell r="AH568">
            <v>15</v>
          </cell>
          <cell r="AI568">
            <v>50000</v>
          </cell>
          <cell r="AJ568">
            <v>45000</v>
          </cell>
          <cell r="AK568">
            <v>-7000</v>
          </cell>
          <cell r="AL568">
            <v>43650</v>
          </cell>
        </row>
        <row r="569">
          <cell r="T569" t="str">
            <v>Vianey Rocha</v>
          </cell>
          <cell r="U569" t="str">
            <v>Cra 91D # 72 - 159  Urbanización Robledales. Casa 142</v>
          </cell>
          <cell r="V569" t="str">
            <v>BARRIO ROBLEDO COMUNA7</v>
          </cell>
          <cell r="W569" t="str">
            <v>ORDEN PUBLICO</v>
          </cell>
          <cell r="X569">
            <v>3113033447</v>
          </cell>
          <cell r="Y569" t="str">
            <v>SUROCCIDENTE</v>
          </cell>
          <cell r="Z569" t="str">
            <v>BARRIO ROBLEDO COMUNA7</v>
          </cell>
          <cell r="AA569" t="str">
            <v xml:space="preserve">Medellin </v>
          </cell>
          <cell r="AB569" t="str">
            <v>Belen</v>
          </cell>
          <cell r="AC569" t="str">
            <v>Cra 65B No. 30  - 95 Torre médica, piso 5</v>
          </cell>
          <cell r="AD569"/>
          <cell r="AE569">
            <v>24250</v>
          </cell>
          <cell r="AF569">
            <v>15000</v>
          </cell>
          <cell r="AG569">
            <v>7</v>
          </cell>
          <cell r="AH569">
            <v>18</v>
          </cell>
          <cell r="AI569">
            <v>25000</v>
          </cell>
          <cell r="AJ569">
            <v>25000</v>
          </cell>
          <cell r="AK569">
            <v>-10000</v>
          </cell>
          <cell r="AL569">
            <v>24250</v>
          </cell>
        </row>
        <row r="570">
          <cell r="T570" t="str">
            <v>Viviana Marcela Rua</v>
          </cell>
          <cell r="U570" t="str">
            <v>Cra 51B # 106A - 8 Barrio Andalucía La Francia</v>
          </cell>
          <cell r="V570" t="str">
            <v>BARRIO ANDALUCIA LA FRANCIA COMUNA 2</v>
          </cell>
          <cell r="W570" t="str">
            <v>CERCANO</v>
          </cell>
          <cell r="X570" t="e">
            <v>#REF!</v>
          </cell>
          <cell r="Y570" t="str">
            <v>SUROCCIDENTE</v>
          </cell>
          <cell r="Z570" t="str">
            <v>BARRIO ANDALUCIA LA FRANCIA COMUNA 2</v>
          </cell>
          <cell r="AA570" t="str">
            <v xml:space="preserve">Medellin </v>
          </cell>
          <cell r="AB570" t="str">
            <v>Belen</v>
          </cell>
          <cell r="AC570" t="str">
            <v>Cra 65B No. 30  - 95 Torre médica, piso 5</v>
          </cell>
          <cell r="AD570"/>
          <cell r="AE570">
            <v>13095</v>
          </cell>
          <cell r="AF570">
            <v>9000</v>
          </cell>
          <cell r="AG570">
            <v>8</v>
          </cell>
          <cell r="AH570">
            <v>3</v>
          </cell>
          <cell r="AI570" t="e">
            <v>#N/A</v>
          </cell>
          <cell r="AJ570">
            <v>13500</v>
          </cell>
          <cell r="AK570">
            <v>-4500</v>
          </cell>
          <cell r="AL570">
            <v>13095</v>
          </cell>
        </row>
        <row r="571">
          <cell r="T571" t="str">
            <v xml:space="preserve">Wendy Ariza Bonilla </v>
          </cell>
          <cell r="U571" t="str">
            <v xml:space="preserve">Barrio Niquia - Bello </v>
          </cell>
          <cell r="V571" t="str">
            <v>BARRIO NIQUIA</v>
          </cell>
          <cell r="W571" t="str">
            <v>LEJANO</v>
          </cell>
          <cell r="X571">
            <v>3217206958</v>
          </cell>
          <cell r="Y571" t="str">
            <v>SUROCCIDENTE</v>
          </cell>
          <cell r="Z571" t="str">
            <v>BARRIO NIQUIA</v>
          </cell>
          <cell r="AA571" t="str">
            <v xml:space="preserve">Medellin </v>
          </cell>
          <cell r="AB571" t="str">
            <v>Bello</v>
          </cell>
          <cell r="AC571" t="str">
            <v>Dg.  50A # 41 - 74</v>
          </cell>
          <cell r="AD571"/>
          <cell r="AE571">
            <v>17460</v>
          </cell>
          <cell r="AF571">
            <v>13000</v>
          </cell>
          <cell r="AG571" t="str">
            <v>12 KM</v>
          </cell>
          <cell r="AH571" t="str">
            <v>20 MIN</v>
          </cell>
          <cell r="AI571">
            <v>20000</v>
          </cell>
          <cell r="AJ571">
            <v>18000</v>
          </cell>
          <cell r="AK571">
            <v>-5000</v>
          </cell>
          <cell r="AL571">
            <v>17460</v>
          </cell>
        </row>
        <row r="572">
          <cell r="T572" t="str">
            <v>Yalila Alvarado</v>
          </cell>
          <cell r="U572" t="str">
            <v>Cra. 31 este 34-70 torre 3 apto 904  amarilo llano alto</v>
          </cell>
          <cell r="V572" t="str">
            <v>amarillo llano alto</v>
          </cell>
          <cell r="W572" t="str">
            <v>CERCANO</v>
          </cell>
          <cell r="X572">
            <v>3134597835</v>
          </cell>
          <cell r="Y572" t="str">
            <v>CENTRO</v>
          </cell>
          <cell r="Z572" t="str">
            <v>amarillo llano alto</v>
          </cell>
          <cell r="AA572" t="str">
            <v>Villavicencio</v>
          </cell>
          <cell r="AB572" t="str">
            <v>Villavicencio</v>
          </cell>
          <cell r="AC572" t="str">
            <v>Carrera 44C # 33B - 08 Edificio Navarro
Urbanización Los Pinos</v>
          </cell>
          <cell r="AD572"/>
          <cell r="AE572">
            <v>10670</v>
          </cell>
          <cell r="AF572">
            <v>9000</v>
          </cell>
          <cell r="AG572">
            <v>12</v>
          </cell>
          <cell r="AH572">
            <v>17</v>
          </cell>
          <cell r="AI572">
            <v>20000</v>
          </cell>
          <cell r="AJ572">
            <v>18000</v>
          </cell>
          <cell r="AK572">
            <v>-9000</v>
          </cell>
          <cell r="AL572">
            <v>17460</v>
          </cell>
        </row>
        <row r="573">
          <cell r="T573" t="str">
            <v>yamile adriana carreño</v>
          </cell>
          <cell r="U573" t="str">
            <v>Cll 6 sur 23-51 condominio santamaria multifamiliar 8 casa 8</v>
          </cell>
          <cell r="V573" t="str">
            <v>condominio santa maria</v>
          </cell>
          <cell r="W573" t="str">
            <v>CERCANO</v>
          </cell>
          <cell r="X573" t="e">
            <v>#REF!</v>
          </cell>
          <cell r="Y573" t="str">
            <v>CENTRO</v>
          </cell>
          <cell r="Z573" t="str">
            <v>condominio santa maria</v>
          </cell>
          <cell r="AA573" t="str">
            <v>Villavicencio</v>
          </cell>
          <cell r="AB573" t="str">
            <v>Villavicencio</v>
          </cell>
          <cell r="AC573" t="str">
            <v>Carrera 44C # 33B - 08 Edificio Navarro
Urbanización Los Pinos</v>
          </cell>
          <cell r="AD573"/>
          <cell r="AE573">
            <v>10670</v>
          </cell>
          <cell r="AF573">
            <v>9000</v>
          </cell>
          <cell r="AG573">
            <v>6</v>
          </cell>
          <cell r="AH573">
            <v>12</v>
          </cell>
          <cell r="AI573" t="e">
            <v>#N/A</v>
          </cell>
          <cell r="AJ573">
            <v>18000</v>
          </cell>
          <cell r="AK573">
            <v>-9000</v>
          </cell>
          <cell r="AL573">
            <v>17460</v>
          </cell>
        </row>
        <row r="574">
          <cell r="T574" t="str">
            <v>YANET AMPARO ARBOLEDA VILLA</v>
          </cell>
          <cell r="U574" t="str">
            <v>CALLE 82 # 69-22</v>
          </cell>
          <cell r="V574" t="str">
            <v>BARRIO ROBLEDO COMUNA 7</v>
          </cell>
          <cell r="W574" t="str">
            <v>ORDEN PUBLICO</v>
          </cell>
          <cell r="X574" t="e">
            <v>#REF!</v>
          </cell>
          <cell r="Y574" t="str">
            <v>SUROCCIDENTE</v>
          </cell>
          <cell r="Z574" t="str">
            <v>BARRIO ROBLEDO COMUNA 7</v>
          </cell>
          <cell r="AA574" t="str">
            <v>Medellin</v>
          </cell>
          <cell r="AB574" t="str">
            <v>Envigado</v>
          </cell>
          <cell r="AC574" t="str">
            <v>Dg. 31 # 36 A Sur - 80</v>
          </cell>
          <cell r="AD574"/>
          <cell r="AE574">
            <v>24250</v>
          </cell>
          <cell r="AF574">
            <v>20000</v>
          </cell>
          <cell r="AG574" t="str">
            <v>12 km</v>
          </cell>
          <cell r="AH574" t="str">
            <v>20 min</v>
          </cell>
          <cell r="AI574" t="e">
            <v>#N/A</v>
          </cell>
          <cell r="AJ574">
            <v>25000</v>
          </cell>
          <cell r="AK574">
            <v>-5000</v>
          </cell>
          <cell r="AL574">
            <v>24250</v>
          </cell>
        </row>
        <row r="575">
          <cell r="T575" t="str">
            <v>YOLANDA ANDICA</v>
          </cell>
          <cell r="U575" t="str">
            <v>CARRERA 84 No. 45C- 106 EDIFICIO SAN JOSE LA FLORESTA</v>
          </cell>
          <cell r="V575" t="str">
            <v>BARRIO LA FLORESTA</v>
          </cell>
          <cell r="W575" t="str">
            <v>CERCANO</v>
          </cell>
          <cell r="X575">
            <v>3234036186</v>
          </cell>
          <cell r="Y575" t="str">
            <v>SUROCCIDENTE</v>
          </cell>
          <cell r="Z575" t="str">
            <v>BARRIO LA FLORESTA</v>
          </cell>
          <cell r="AA575" t="str">
            <v>Medellin</v>
          </cell>
          <cell r="AB575" t="str">
            <v>Hosp. San Vicente de Paúl</v>
          </cell>
          <cell r="AC575" t="str">
            <v>Cll. 64 # 51 D - 70 HSVP</v>
          </cell>
          <cell r="AD575"/>
          <cell r="AE575">
            <v>13095</v>
          </cell>
          <cell r="AF575">
            <v>12000</v>
          </cell>
          <cell r="AG575" t="str">
            <v>6 km</v>
          </cell>
          <cell r="AH575" t="str">
            <v>14 min</v>
          </cell>
          <cell r="AI575">
            <v>15000</v>
          </cell>
          <cell r="AJ575">
            <v>13500</v>
          </cell>
          <cell r="AK575">
            <v>-1500</v>
          </cell>
          <cell r="AL575">
            <v>13095</v>
          </cell>
        </row>
        <row r="576">
          <cell r="T576" t="str">
            <v>YORLEDYS MORON MORON</v>
          </cell>
          <cell r="U576" t="str">
            <v>Carrera 43 B · 68 A SUR - 18 SABANETA EIDIFCIO MIRADOR DEL PARQUE</v>
          </cell>
          <cell r="V576" t="str">
            <v>Mirador del parque- sabaneta</v>
          </cell>
          <cell r="W576" t="str">
            <v>INTERMUNICIPAL</v>
          </cell>
          <cell r="X576">
            <v>3015422541</v>
          </cell>
          <cell r="Y576" t="str">
            <v>SUROCCIDENTE</v>
          </cell>
          <cell r="Z576" t="str">
            <v>Mirador del parque- sabaneta</v>
          </cell>
          <cell r="AA576" t="str">
            <v xml:space="preserve">Medellin </v>
          </cell>
          <cell r="AB576" t="str">
            <v xml:space="preserve">I. Riñón </v>
          </cell>
          <cell r="AC576" t="str">
            <v>Cll. 11B sur # 44-103</v>
          </cell>
          <cell r="AD576"/>
          <cell r="AE576">
            <v>48500</v>
          </cell>
          <cell r="AF576">
            <v>30000</v>
          </cell>
          <cell r="AG576" t="str">
            <v>25km</v>
          </cell>
          <cell r="AH576" t="str">
            <v>30 min</v>
          </cell>
          <cell r="AI576">
            <v>40000</v>
          </cell>
          <cell r="AJ576">
            <v>36000</v>
          </cell>
          <cell r="AK576">
            <v>-6000</v>
          </cell>
          <cell r="AL576">
            <v>34920</v>
          </cell>
        </row>
        <row r="577">
          <cell r="T577" t="str">
            <v xml:space="preserve">Yudi Andrea Polanco Guevara </v>
          </cell>
          <cell r="U577" t="str">
            <v xml:space="preserve">Barrio Terranova _ Bello </v>
          </cell>
          <cell r="V577" t="str">
            <v>BARRIO TERRANOVA</v>
          </cell>
          <cell r="W577" t="str">
            <v>LEJANO</v>
          </cell>
          <cell r="X577">
            <v>3127146395</v>
          </cell>
          <cell r="Y577" t="str">
            <v>SUROCCIDENTE</v>
          </cell>
          <cell r="Z577" t="str">
            <v>BARRIO TERRANOVA</v>
          </cell>
          <cell r="AA577" t="str">
            <v xml:space="preserve">Medellin </v>
          </cell>
          <cell r="AB577" t="str">
            <v>Bello</v>
          </cell>
          <cell r="AC577" t="str">
            <v>Dg.  50A # 41 - 74</v>
          </cell>
          <cell r="AD577"/>
          <cell r="AE577">
            <v>17460</v>
          </cell>
          <cell r="AF577">
            <v>13000</v>
          </cell>
          <cell r="AG577" t="str">
            <v>12 KM</v>
          </cell>
          <cell r="AH577" t="str">
            <v>20 MIN</v>
          </cell>
          <cell r="AI577">
            <v>20000</v>
          </cell>
          <cell r="AJ577">
            <v>18000</v>
          </cell>
          <cell r="AK577">
            <v>-5000</v>
          </cell>
          <cell r="AL577">
            <v>17460</v>
          </cell>
        </row>
        <row r="578">
          <cell r="T578" t="str">
            <v xml:space="preserve">YULITZA OSPINO </v>
          </cell>
          <cell r="U578" t="str">
            <v>CALLE 7 No, 83 -  31 LOMA DE LOS BERNAL- CONJUNTO SIEMPRE VERDE</v>
          </cell>
          <cell r="V578" t="str">
            <v>BARRIO BELEN</v>
          </cell>
          <cell r="W578" t="str">
            <v>CERCANO</v>
          </cell>
          <cell r="X578">
            <v>3107283942</v>
          </cell>
          <cell r="Y578" t="str">
            <v>SUROCCIDENTE</v>
          </cell>
          <cell r="Z578" t="str">
            <v>BARRIO BELEN</v>
          </cell>
          <cell r="AA578" t="str">
            <v>Medellin</v>
          </cell>
          <cell r="AB578" t="str">
            <v>Hosp. San Vicente de Paúl</v>
          </cell>
          <cell r="AC578" t="str">
            <v>Cll. 64 # 51 D - 70 HSVP</v>
          </cell>
          <cell r="AD578"/>
          <cell r="AE578">
            <v>13095</v>
          </cell>
          <cell r="AF578">
            <v>9000</v>
          </cell>
          <cell r="AG578" t="str">
            <v>10 km</v>
          </cell>
          <cell r="AH578" t="str">
            <v>20 min</v>
          </cell>
          <cell r="AI578">
            <v>15000</v>
          </cell>
          <cell r="AJ578">
            <v>13500</v>
          </cell>
          <cell r="AK578">
            <v>-4500</v>
          </cell>
          <cell r="AL578">
            <v>13095</v>
          </cell>
        </row>
        <row r="579">
          <cell r="T579" t="str">
            <v xml:space="preserve">Yurlady Andrea Bolivar Jimenez </v>
          </cell>
          <cell r="U579" t="str">
            <v xml:space="preserve">Barrio Trapiche - Bello </v>
          </cell>
          <cell r="V579" t="str">
            <v>Barrio Trapiche</v>
          </cell>
          <cell r="W579" t="str">
            <v>CERCANO</v>
          </cell>
          <cell r="X579">
            <v>3176198087</v>
          </cell>
          <cell r="Y579" t="str">
            <v>SUROCCIDENTE</v>
          </cell>
          <cell r="Z579" t="str">
            <v>Barrio Trapiche</v>
          </cell>
          <cell r="AA579" t="str">
            <v xml:space="preserve">Medellin </v>
          </cell>
          <cell r="AB579" t="str">
            <v>Bello</v>
          </cell>
          <cell r="AC579" t="str">
            <v>Dg.  50A # 41 - 74</v>
          </cell>
          <cell r="AD579"/>
          <cell r="AE579">
            <v>10670</v>
          </cell>
          <cell r="AF579">
            <v>9000</v>
          </cell>
          <cell r="AG579" t="str">
            <v>6 KM</v>
          </cell>
          <cell r="AH579" t="str">
            <v>15 MIN</v>
          </cell>
          <cell r="AI579">
            <v>11000</v>
          </cell>
          <cell r="AJ579">
            <v>11000</v>
          </cell>
          <cell r="AK579">
            <v>-2000</v>
          </cell>
          <cell r="AL579">
            <v>10670</v>
          </cell>
        </row>
        <row r="580">
          <cell r="T580" t="str">
            <v>Claudia Marcela Garcia Nieto</v>
          </cell>
          <cell r="U580" t="str">
            <v>Cra 9 # 5-115 B. Francisco Nuñez</v>
          </cell>
          <cell r="V580" t="str">
            <v>francisco nuñez</v>
          </cell>
          <cell r="W580" t="str">
            <v>CERCANO</v>
          </cell>
          <cell r="X580" t="e">
            <v>#REF!</v>
          </cell>
          <cell r="Y580" t="str">
            <v>CENTRO</v>
          </cell>
          <cell r="Z580" t="str">
            <v>francisco nuñez</v>
          </cell>
          <cell r="AA580" t="str">
            <v>Honda</v>
          </cell>
          <cell r="AB580" t="str">
            <v>Honda</v>
          </cell>
          <cell r="AC580" t="str">
            <v>Calle 9 No. 16-38 Av Centenario Hospital San Juan de Dios Honda</v>
          </cell>
          <cell r="AD580"/>
          <cell r="AE580">
            <v>13095</v>
          </cell>
          <cell r="AF580">
            <v>9000</v>
          </cell>
          <cell r="AG580" t="str">
            <v>2 KM</v>
          </cell>
          <cell r="AH580" t="str">
            <v>3 MIN</v>
          </cell>
          <cell r="AI580" t="e">
            <v>#N/A</v>
          </cell>
          <cell r="AJ580">
            <v>13500</v>
          </cell>
          <cell r="AK580">
            <v>-4500</v>
          </cell>
          <cell r="AL580">
            <v>13095</v>
          </cell>
        </row>
        <row r="581">
          <cell r="T581" t="str">
            <v>Jefferson Escudero Romero</v>
          </cell>
          <cell r="U581" t="str">
            <v>Calle 3 # 4-43 B. Los Alpes La Dorada</v>
          </cell>
          <cell r="V581" t="str">
            <v>los alpes la dorada</v>
          </cell>
          <cell r="W581" t="str">
            <v>INTERMUNICIPAL</v>
          </cell>
          <cell r="X581" t="e">
            <v>#REF!</v>
          </cell>
          <cell r="Y581" t="str">
            <v>CENTRO</v>
          </cell>
          <cell r="Z581" t="str">
            <v>los alpes la dorada</v>
          </cell>
          <cell r="AA581" t="str">
            <v>Honda</v>
          </cell>
          <cell r="AB581" t="str">
            <v>Honda</v>
          </cell>
          <cell r="AC581" t="str">
            <v>Calle 9 No. 16-38 Av Centenario Hospital San Juan de Dios Honda</v>
          </cell>
          <cell r="AD581"/>
          <cell r="AE581">
            <v>97000</v>
          </cell>
          <cell r="AF581">
            <v>85000</v>
          </cell>
          <cell r="AG581">
            <v>70</v>
          </cell>
          <cell r="AH581">
            <v>35</v>
          </cell>
          <cell r="AI581" t="e">
            <v>#N/A</v>
          </cell>
          <cell r="AJ581">
            <v>100000</v>
          </cell>
          <cell r="AK581">
            <v>-15000</v>
          </cell>
          <cell r="AL581">
            <v>97000</v>
          </cell>
        </row>
        <row r="582">
          <cell r="T582" t="str">
            <v>Jennifer Vesga</v>
          </cell>
          <cell r="U582" t="str">
            <v>Calle 8 # 23-11 Ap,201</v>
          </cell>
          <cell r="V582">
            <v>0</v>
          </cell>
          <cell r="W582" t="str">
            <v>CERCANO</v>
          </cell>
          <cell r="X582" t="e">
            <v>#REF!</v>
          </cell>
          <cell r="Y582" t="str">
            <v>CENTRO</v>
          </cell>
          <cell r="Z582"/>
          <cell r="AA582" t="str">
            <v>Honda</v>
          </cell>
          <cell r="AB582" t="str">
            <v>Honda</v>
          </cell>
          <cell r="AC582" t="str">
            <v>Calle 9 No. 16-38 Av Centenario Hospital San Juan de Dios Honda</v>
          </cell>
          <cell r="AD582"/>
          <cell r="AE582">
            <v>13095</v>
          </cell>
          <cell r="AF582">
            <v>9000</v>
          </cell>
          <cell r="AG582">
            <v>2</v>
          </cell>
          <cell r="AH582">
            <v>5</v>
          </cell>
          <cell r="AI582" t="e">
            <v>#N/A</v>
          </cell>
          <cell r="AJ582">
            <v>13500</v>
          </cell>
          <cell r="AK582">
            <v>-4500</v>
          </cell>
          <cell r="AL582">
            <v>13095</v>
          </cell>
        </row>
        <row r="583">
          <cell r="T583" t="str">
            <v>Andre Alexandra Barragan</v>
          </cell>
          <cell r="U583" t="str">
            <v>Calle 11 # 17-18 B. Calle Vieja</v>
          </cell>
          <cell r="V583" t="str">
            <v>calle vieja</v>
          </cell>
          <cell r="W583" t="str">
            <v>CERCANO</v>
          </cell>
          <cell r="X583" t="e">
            <v>#REF!</v>
          </cell>
          <cell r="Y583" t="str">
            <v>CENTRO</v>
          </cell>
          <cell r="Z583"/>
          <cell r="AA583" t="str">
            <v>Honda</v>
          </cell>
          <cell r="AB583" t="str">
            <v>Honda</v>
          </cell>
          <cell r="AC583" t="str">
            <v>Calle 9 No. 16-38 Av Centenario Hospital San Juan de Dios Honda</v>
          </cell>
          <cell r="AD583"/>
          <cell r="AE583">
            <v>13095</v>
          </cell>
          <cell r="AF583">
            <v>9000</v>
          </cell>
          <cell r="AG583">
            <v>2</v>
          </cell>
          <cell r="AH583">
            <v>5</v>
          </cell>
          <cell r="AI583" t="e">
            <v>#N/A</v>
          </cell>
          <cell r="AJ583">
            <v>13500</v>
          </cell>
          <cell r="AK583">
            <v>-4500</v>
          </cell>
          <cell r="AL583">
            <v>13095</v>
          </cell>
        </row>
        <row r="584">
          <cell r="T584" t="str">
            <v>Yelipza Yasmin Duran</v>
          </cell>
          <cell r="U584" t="str">
            <v>Manzana 16 # casa 15B. Villa Colpin Mariquita</v>
          </cell>
          <cell r="V584" t="str">
            <v>MARIQUITA</v>
          </cell>
          <cell r="W584" t="str">
            <v>INTERMUNICIPAL</v>
          </cell>
          <cell r="X584" t="e">
            <v>#REF!</v>
          </cell>
          <cell r="Y584" t="str">
            <v>CENTRO</v>
          </cell>
          <cell r="Z584"/>
          <cell r="AA584" t="str">
            <v>Honda</v>
          </cell>
          <cell r="AB584" t="str">
            <v>Honda</v>
          </cell>
          <cell r="AC584" t="str">
            <v>Calle 9 No. 16-38 Av Centenario Hospital San Juan de Dios Honda</v>
          </cell>
          <cell r="AD584"/>
          <cell r="AE584">
            <v>87300</v>
          </cell>
          <cell r="AF584">
            <v>85000</v>
          </cell>
          <cell r="AG584" t="str">
            <v>19 km</v>
          </cell>
          <cell r="AH584" t="str">
            <v>25 min</v>
          </cell>
          <cell r="AI584" t="e">
            <v>#N/A</v>
          </cell>
          <cell r="AJ584">
            <v>90000</v>
          </cell>
          <cell r="AK584">
            <v>-5000</v>
          </cell>
          <cell r="AL584">
            <v>87300</v>
          </cell>
        </row>
        <row r="585">
          <cell r="T585" t="str">
            <v xml:space="preserve">Adriana Quiceno </v>
          </cell>
          <cell r="U585" t="str">
            <v xml:space="preserve">Cra. 64 #47-81 Barrio la misericordia Copacabana </v>
          </cell>
          <cell r="V585" t="str">
            <v>BARRIO LA MISERICORDIA</v>
          </cell>
          <cell r="W585" t="str">
            <v>CERCANO</v>
          </cell>
          <cell r="X585">
            <v>3136261502</v>
          </cell>
          <cell r="Y585" t="str">
            <v>SUROCCIDENTE</v>
          </cell>
          <cell r="Z585"/>
          <cell r="AA585" t="str">
            <v>Medellin</v>
          </cell>
          <cell r="AB585" t="str">
            <v>Hosp. San Vicente de Paúl</v>
          </cell>
          <cell r="AC585" t="str">
            <v>Cll. 64 # 51 D - 70 HSVP</v>
          </cell>
          <cell r="AD585"/>
          <cell r="AE585">
            <v>13095</v>
          </cell>
          <cell r="AF585">
            <v>12000</v>
          </cell>
          <cell r="AG585" t="str">
            <v>4 km</v>
          </cell>
          <cell r="AH585" t="str">
            <v>8 min</v>
          </cell>
          <cell r="AI585" t="e">
            <v>#N/A</v>
          </cell>
          <cell r="AJ585">
            <v>13500</v>
          </cell>
          <cell r="AK585">
            <v>-1500</v>
          </cell>
          <cell r="AL585">
            <v>13095</v>
          </cell>
        </row>
        <row r="586">
          <cell r="T586" t="str">
            <v>Gloria David</v>
          </cell>
          <cell r="U586" t="str">
            <v>Calle 53b con carrera 83E Urbanizacion calazania 2</v>
          </cell>
          <cell r="V586" t="str">
            <v>BARRIO CALAZANS PARTE ALTA</v>
          </cell>
          <cell r="W586" t="str">
            <v>LEJANO</v>
          </cell>
          <cell r="X586" t="e">
            <v>#REF!</v>
          </cell>
          <cell r="Y586" t="str">
            <v>SUROCCIDENTE</v>
          </cell>
          <cell r="Z586"/>
          <cell r="AA586" t="str">
            <v xml:space="preserve">Medellin </v>
          </cell>
          <cell r="AB586" t="str">
            <v>Bello</v>
          </cell>
          <cell r="AC586" t="str">
            <v>Dg.  50A # 41 - 74</v>
          </cell>
          <cell r="AD586"/>
          <cell r="AE586">
            <v>24250</v>
          </cell>
          <cell r="AF586">
            <v>20000</v>
          </cell>
          <cell r="AG586" t="str">
            <v>13 KM</v>
          </cell>
          <cell r="AH586" t="str">
            <v>25 MIN</v>
          </cell>
          <cell r="AI586" t="e">
            <v>#N/A</v>
          </cell>
          <cell r="AJ586">
            <v>25000</v>
          </cell>
          <cell r="AK586">
            <v>-5000</v>
          </cell>
          <cell r="AL586">
            <v>24250</v>
          </cell>
        </row>
        <row r="587">
          <cell r="T587" t="str">
            <v>ACEVEDO BEDOYA NAZLHY NATALIA</v>
          </cell>
          <cell r="U587" t="str">
            <v>Carrera 46  Sur  119-20  Rincon Campestre</v>
          </cell>
          <cell r="V587" t="str">
            <v>Rincon Campestre</v>
          </cell>
          <cell r="W587" t="str">
            <v>CERCANO</v>
          </cell>
          <cell r="X587">
            <v>3165238350</v>
          </cell>
          <cell r="Y587" t="str">
            <v>SUROCCIDENTE</v>
          </cell>
          <cell r="Z587"/>
          <cell r="AA587" t="str">
            <v>Ibague</v>
          </cell>
          <cell r="AB587" t="str">
            <v>Ibague</v>
          </cell>
          <cell r="AC587" t="str">
            <v>Calle 41 # 5 - 40 Barrio Restrepo</v>
          </cell>
          <cell r="AD587"/>
          <cell r="AE587">
            <v>13095</v>
          </cell>
          <cell r="AF587">
            <v>9000</v>
          </cell>
          <cell r="AG587" t="str">
            <v>8.3 km</v>
          </cell>
          <cell r="AH587" t="str">
            <v>13 min</v>
          </cell>
          <cell r="AI587" t="e">
            <v>#N/A</v>
          </cell>
          <cell r="AJ587">
            <v>13500</v>
          </cell>
          <cell r="AK587">
            <v>-4500</v>
          </cell>
          <cell r="AL587">
            <v>13095</v>
          </cell>
        </row>
        <row r="588">
          <cell r="T588" t="str">
            <v xml:space="preserve">ADOLFO CASTILLO MONTENGRO </v>
          </cell>
          <cell r="U588" t="str">
            <v>CRA 3 N 30-45  EL CLARET</v>
          </cell>
          <cell r="V588" t="str">
            <v>El Claret</v>
          </cell>
          <cell r="W588" t="str">
            <v>CERCANO</v>
          </cell>
          <cell r="X588">
            <v>3132541450</v>
          </cell>
          <cell r="Y588" t="str">
            <v>SUROCCIDENTE</v>
          </cell>
          <cell r="Z588"/>
          <cell r="AA588" t="str">
            <v>Ibague</v>
          </cell>
          <cell r="AB588" t="str">
            <v>Ibague</v>
          </cell>
          <cell r="AC588" t="str">
            <v>Calle 41 # 5 - 40 Barrio Restrepo</v>
          </cell>
          <cell r="AD588"/>
          <cell r="AE588">
            <v>13095</v>
          </cell>
          <cell r="AF588">
            <v>9000</v>
          </cell>
          <cell r="AG588" t="str">
            <v>3.1 km</v>
          </cell>
          <cell r="AH588" t="str">
            <v>8 min</v>
          </cell>
          <cell r="AI588">
            <v>15000</v>
          </cell>
          <cell r="AJ588">
            <v>13500</v>
          </cell>
          <cell r="AK588">
            <v>-4500</v>
          </cell>
          <cell r="AL588">
            <v>13095</v>
          </cell>
        </row>
        <row r="589">
          <cell r="T589" t="str">
            <v>AGUIRRE GONZALEZ ALEXANDRA PATRICIA</v>
          </cell>
          <cell r="U589" t="str">
            <v>CALLE 18 B # 6A-03</v>
          </cell>
          <cell r="V589" t="str">
            <v>Turin</v>
          </cell>
          <cell r="W589" t="str">
            <v>INTERMUNICIPAL</v>
          </cell>
          <cell r="X589">
            <v>3137909782</v>
          </cell>
          <cell r="Y589" t="str">
            <v>SUROCCIDENTE</v>
          </cell>
          <cell r="Z589"/>
          <cell r="AA589" t="str">
            <v>Manizales</v>
          </cell>
          <cell r="AB589" t="str">
            <v>Manizales</v>
          </cell>
          <cell r="AC589" t="str">
            <v>Cra. 23 # 39 - 25 Piso 2
Antiguo Edificio Clínica Manizales
(IPS Caprecom Clínica Manizales)</v>
          </cell>
          <cell r="AD589"/>
          <cell r="AE589">
            <v>30555</v>
          </cell>
          <cell r="AF589">
            <v>30000</v>
          </cell>
          <cell r="AG589" t="str">
            <v>13 km</v>
          </cell>
          <cell r="AH589" t="str">
            <v>20 min</v>
          </cell>
          <cell r="AI589">
            <v>20000</v>
          </cell>
          <cell r="AJ589">
            <v>18000</v>
          </cell>
          <cell r="AK589">
            <v>12000</v>
          </cell>
          <cell r="AL589">
            <v>17460</v>
          </cell>
        </row>
        <row r="590">
          <cell r="T590" t="str">
            <v>ALIPXA JIMENEZ</v>
          </cell>
          <cell r="U590" t="str">
            <v>Av 5a # 22n - 70 Prados Norte</v>
          </cell>
          <cell r="V590" t="str">
            <v>Prados Norte</v>
          </cell>
          <cell r="W590" t="str">
            <v>CERCANO</v>
          </cell>
          <cell r="X590">
            <v>3016919822</v>
          </cell>
          <cell r="Y590" t="str">
            <v>NORTE</v>
          </cell>
          <cell r="Z590"/>
          <cell r="AA590" t="str">
            <v>Cucuta</v>
          </cell>
          <cell r="AB590" t="str">
            <v>Cucuta</v>
          </cell>
          <cell r="AC590" t="str">
            <v>Calle 14 # 1-37 Barrio La Playa, Centro.</v>
          </cell>
          <cell r="AD590"/>
          <cell r="AE590">
            <v>13095</v>
          </cell>
          <cell r="AF590">
            <v>9000</v>
          </cell>
          <cell r="AG590" t="str">
            <v>4.9 km</v>
          </cell>
          <cell r="AH590" t="str">
            <v>12 min</v>
          </cell>
          <cell r="AI590">
            <v>15000</v>
          </cell>
          <cell r="AJ590">
            <v>13500</v>
          </cell>
          <cell r="AK590">
            <v>-4500</v>
          </cell>
          <cell r="AL590">
            <v>13095</v>
          </cell>
        </row>
        <row r="591">
          <cell r="T591" t="str">
            <v>ALVARINA LOPEZ</v>
          </cell>
          <cell r="U591" t="str">
            <v>KRA 8G-37-27</v>
          </cell>
          <cell r="V591" t="str">
            <v>La Magdalena</v>
          </cell>
          <cell r="W591" t="str">
            <v>CERCANO</v>
          </cell>
          <cell r="X591">
            <v>3050033136</v>
          </cell>
          <cell r="Y591" t="str">
            <v>NORTE</v>
          </cell>
          <cell r="Z591"/>
          <cell r="AA591" t="str">
            <v>Barranquilla</v>
          </cell>
          <cell r="AB591" t="str">
            <v>Unirenal</v>
          </cell>
          <cell r="AC591" t="str">
            <v>Cll.  70B # 38-152</v>
          </cell>
          <cell r="AD591"/>
          <cell r="AE591">
            <v>13095</v>
          </cell>
          <cell r="AF591">
            <v>9000</v>
          </cell>
          <cell r="AG591" t="str">
            <v>6.4 km</v>
          </cell>
          <cell r="AH591" t="str">
            <v>19 min</v>
          </cell>
          <cell r="AI591">
            <v>15000</v>
          </cell>
          <cell r="AJ591">
            <v>13500</v>
          </cell>
          <cell r="AK591">
            <v>-4500</v>
          </cell>
          <cell r="AL591">
            <v>13095</v>
          </cell>
        </row>
        <row r="592">
          <cell r="T592" t="str">
            <v xml:space="preserve">Ana Cecilia Prada Peralta </v>
          </cell>
          <cell r="U592" t="str">
            <v>Mz 60 casa 17 B/ Kennedy</v>
          </cell>
          <cell r="V592" t="str">
            <v>Kenedy</v>
          </cell>
          <cell r="W592" t="str">
            <v>CERCANO</v>
          </cell>
          <cell r="X592">
            <v>3142289561</v>
          </cell>
          <cell r="Y592" t="str">
            <v>CENTRO</v>
          </cell>
          <cell r="Z592"/>
          <cell r="AA592" t="str">
            <v>Girardot</v>
          </cell>
          <cell r="AB592" t="str">
            <v>Girardot</v>
          </cell>
          <cell r="AC592" t="str">
            <v>Cra. 7 A # 31 - 54 Barrio La Magdalena</v>
          </cell>
          <cell r="AD592"/>
          <cell r="AE592">
            <v>13095</v>
          </cell>
          <cell r="AF592">
            <v>9000</v>
          </cell>
          <cell r="AG592" t="str">
            <v>2.6 km</v>
          </cell>
          <cell r="AH592" t="str">
            <v>7 min</v>
          </cell>
          <cell r="AI592">
            <v>15000</v>
          </cell>
          <cell r="AJ592">
            <v>13500</v>
          </cell>
          <cell r="AK592">
            <v>-4500</v>
          </cell>
          <cell r="AL592">
            <v>13095</v>
          </cell>
        </row>
        <row r="593">
          <cell r="T593" t="str">
            <v>Ana Cecilia Prada Peralta (Maritza Parra)</v>
          </cell>
          <cell r="U593" t="str">
            <v xml:space="preserve">Mz F casa 43 Urbanización Bosquez de Viscaya </v>
          </cell>
          <cell r="V593" t="str">
            <v>Bosques de Viscaya</v>
          </cell>
          <cell r="W593" t="str">
            <v>CERCANO</v>
          </cell>
          <cell r="X593">
            <v>3102808463</v>
          </cell>
          <cell r="Y593" t="str">
            <v>CENTRO</v>
          </cell>
          <cell r="Z593"/>
          <cell r="AA593" t="str">
            <v>Girardot</v>
          </cell>
          <cell r="AB593" t="str">
            <v>Girardot</v>
          </cell>
          <cell r="AC593" t="str">
            <v>Cra. 7 A # 31 - 54 Barrio La Magdalena</v>
          </cell>
          <cell r="AD593"/>
          <cell r="AE593">
            <v>13095</v>
          </cell>
          <cell r="AF593">
            <v>9000</v>
          </cell>
          <cell r="AG593" t="str">
            <v>1.9 km</v>
          </cell>
          <cell r="AH593" t="str">
            <v>6 min</v>
          </cell>
          <cell r="AI593">
            <v>15000</v>
          </cell>
          <cell r="AJ593">
            <v>13500</v>
          </cell>
          <cell r="AK593">
            <v>-4500</v>
          </cell>
          <cell r="AL593">
            <v>13095</v>
          </cell>
        </row>
        <row r="594">
          <cell r="T594" t="str">
            <v xml:space="preserve">Ana Maria Rios Bernal </v>
          </cell>
          <cell r="U594" t="str">
            <v xml:space="preserve">Etapa 35B casa 43 Bello Horizonte </v>
          </cell>
          <cell r="V594" t="str">
            <v>Bello Horizonte</v>
          </cell>
          <cell r="W594" t="str">
            <v>CERCANO</v>
          </cell>
          <cell r="X594">
            <v>3176392979</v>
          </cell>
          <cell r="Y594" t="str">
            <v>CENTRO</v>
          </cell>
          <cell r="Z594"/>
          <cell r="AA594" t="str">
            <v>Girardot</v>
          </cell>
          <cell r="AB594" t="str">
            <v>Girardot</v>
          </cell>
          <cell r="AC594" t="str">
            <v>Cra. 7 A # 31 - 54 Barrio La Magdalena</v>
          </cell>
          <cell r="AD594"/>
          <cell r="AE594">
            <v>13095</v>
          </cell>
          <cell r="AF594">
            <v>9000</v>
          </cell>
          <cell r="AG594" t="str">
            <v>1.7 km</v>
          </cell>
          <cell r="AH594" t="str">
            <v>5 min</v>
          </cell>
          <cell r="AI594">
            <v>15000</v>
          </cell>
          <cell r="AJ594">
            <v>13500</v>
          </cell>
          <cell r="AK594">
            <v>-4500</v>
          </cell>
          <cell r="AL594">
            <v>13095</v>
          </cell>
        </row>
        <row r="595">
          <cell r="T595" t="str">
            <v>ANA MILENA FLOREZ DURAN</v>
          </cell>
          <cell r="U595" t="str">
            <v>Carrrera 4G # 21Bis-220 torre B4 Apt 227</v>
          </cell>
          <cell r="V595" t="str">
            <v>San Francisco de Asis</v>
          </cell>
          <cell r="W595" t="str">
            <v>CERCANO</v>
          </cell>
          <cell r="X595">
            <v>3164084153</v>
          </cell>
          <cell r="Y595" t="str">
            <v>NORTE</v>
          </cell>
          <cell r="Z595"/>
          <cell r="AA595" t="str">
            <v>Valledupar</v>
          </cell>
          <cell r="AB595" t="str">
            <v>Valledupar</v>
          </cell>
          <cell r="AC595" t="str">
            <v>Carrera 7A # 28-62
Barrio 12 de Octubre</v>
          </cell>
          <cell r="AD595"/>
          <cell r="AE595">
            <v>13095</v>
          </cell>
          <cell r="AF595">
            <v>8000</v>
          </cell>
          <cell r="AG595" t="str">
            <v>4.3 km</v>
          </cell>
          <cell r="AH595" t="str">
            <v>7 min</v>
          </cell>
          <cell r="AI595">
            <v>15000</v>
          </cell>
          <cell r="AJ595">
            <v>13500</v>
          </cell>
          <cell r="AK595">
            <v>-5500</v>
          </cell>
          <cell r="AL595">
            <v>13095</v>
          </cell>
        </row>
        <row r="596">
          <cell r="T596" t="str">
            <v xml:space="preserve">Ana Victoria Bermudez </v>
          </cell>
          <cell r="U596" t="str">
            <v xml:space="preserve">Acualina Orange Torre 2 Ato 102 </v>
          </cell>
          <cell r="V596" t="str">
            <v>Acualina Orange</v>
          </cell>
          <cell r="W596" t="str">
            <v>CERCANO</v>
          </cell>
          <cell r="X596">
            <v>3202543859</v>
          </cell>
          <cell r="Y596" t="str">
            <v>CENTRO</v>
          </cell>
          <cell r="Z596"/>
          <cell r="AA596" t="str">
            <v>Girardot</v>
          </cell>
          <cell r="AB596" t="str">
            <v>Girardot</v>
          </cell>
          <cell r="AC596" t="str">
            <v>Cra. 7 A # 31 - 54 Barrio La Magdalena</v>
          </cell>
          <cell r="AD596"/>
          <cell r="AE596">
            <v>13095</v>
          </cell>
          <cell r="AF596">
            <v>9000</v>
          </cell>
          <cell r="AG596" t="str">
            <v>700 metros</v>
          </cell>
          <cell r="AH596" t="str">
            <v>2 min</v>
          </cell>
          <cell r="AI596">
            <v>15000</v>
          </cell>
          <cell r="AJ596">
            <v>13500</v>
          </cell>
          <cell r="AK596">
            <v>-4500</v>
          </cell>
          <cell r="AL596">
            <v>13095</v>
          </cell>
        </row>
        <row r="597">
          <cell r="T597" t="str">
            <v>ARGELIA MARTINEZ</v>
          </cell>
          <cell r="U597" t="str">
            <v>CRA 13 # 6-16 20 DE JULIO</v>
          </cell>
          <cell r="V597" t="str">
            <v>20 de Julio</v>
          </cell>
          <cell r="W597" t="str">
            <v>CERCANO</v>
          </cell>
          <cell r="X597" t="e">
            <v>#REF!</v>
          </cell>
          <cell r="Y597" t="str">
            <v>SUROCCIDENTE</v>
          </cell>
          <cell r="Z597"/>
          <cell r="AA597" t="str">
            <v>Ibague</v>
          </cell>
          <cell r="AB597" t="str">
            <v>Ibague</v>
          </cell>
          <cell r="AC597" t="str">
            <v>Calle 41 # 5 - 40 Barrio Restrepo</v>
          </cell>
          <cell r="AD597"/>
          <cell r="AE597">
            <v>13095</v>
          </cell>
          <cell r="AF597">
            <v>9000</v>
          </cell>
          <cell r="AG597" t="str">
            <v>4 km</v>
          </cell>
          <cell r="AH597" t="str">
            <v>9 min</v>
          </cell>
          <cell r="AI597" t="e">
            <v>#N/A</v>
          </cell>
          <cell r="AJ597">
            <v>13500</v>
          </cell>
          <cell r="AK597">
            <v>-4500</v>
          </cell>
          <cell r="AL597">
            <v>13095</v>
          </cell>
        </row>
        <row r="598">
          <cell r="T598" t="str">
            <v>AUXILIAR ENFERMERIA</v>
          </cell>
          <cell r="U598" t="str">
            <v>Calle 33 A Avenida 9 #33-40 La Sabana</v>
          </cell>
          <cell r="V598" t="str">
            <v>LA SABANA</v>
          </cell>
          <cell r="W598" t="str">
            <v>CERCANO</v>
          </cell>
          <cell r="X598">
            <v>3202320331</v>
          </cell>
          <cell r="Y598" t="str">
            <v>NORTE</v>
          </cell>
          <cell r="Z598"/>
          <cell r="AA598" t="str">
            <v>Cucuta</v>
          </cell>
          <cell r="AB598" t="str">
            <v>Cucuta</v>
          </cell>
          <cell r="AC598" t="str">
            <v>Calle 14 # 1-37 Barrio La Playa, Centro.</v>
          </cell>
          <cell r="AD598"/>
          <cell r="AE598">
            <v>13095</v>
          </cell>
          <cell r="AF598">
            <v>9000</v>
          </cell>
          <cell r="AG598">
            <v>0</v>
          </cell>
          <cell r="AH598">
            <v>0</v>
          </cell>
          <cell r="AI598">
            <v>15000</v>
          </cell>
          <cell r="AJ598">
            <v>13500</v>
          </cell>
          <cell r="AK598">
            <v>-4500</v>
          </cell>
          <cell r="AL598">
            <v>13095</v>
          </cell>
        </row>
        <row r="599">
          <cell r="T599" t="str">
            <v>BARCELO ROJAS ELKYS DE JESUS</v>
          </cell>
          <cell r="U599" t="str">
            <v xml:space="preserve">Calle 15  No 11B - 41 Soledad </v>
          </cell>
          <cell r="V599" t="str">
            <v>Soledad</v>
          </cell>
          <cell r="W599" t="str">
            <v>INTERMUNICIPAL</v>
          </cell>
          <cell r="X599">
            <v>3207686475</v>
          </cell>
          <cell r="Y599" t="str">
            <v>NORTE</v>
          </cell>
          <cell r="Z599"/>
          <cell r="AA599" t="str">
            <v>Barranquilla</v>
          </cell>
          <cell r="AB599" t="str">
            <v>Riomar</v>
          </cell>
          <cell r="AC599" t="str">
            <v>Cra. 51 # 82-197</v>
          </cell>
          <cell r="AD599"/>
          <cell r="AE599">
            <v>39285</v>
          </cell>
          <cell r="AF599">
            <v>30000</v>
          </cell>
          <cell r="AG599">
            <v>0</v>
          </cell>
          <cell r="AH599">
            <v>0</v>
          </cell>
          <cell r="AI599">
            <v>45000</v>
          </cell>
          <cell r="AJ599">
            <v>40500</v>
          </cell>
          <cell r="AK599">
            <v>-10500</v>
          </cell>
          <cell r="AL599">
            <v>39285</v>
          </cell>
        </row>
        <row r="600">
          <cell r="T600" t="str">
            <v>BERMEO LUIS FERNANDO</v>
          </cell>
          <cell r="U600" t="str">
            <v>Manzana 4 casa 9 Orquideas 7a Etapa Jordan</v>
          </cell>
          <cell r="V600" t="str">
            <v>Jordan 7 etapa</v>
          </cell>
          <cell r="W600" t="str">
            <v>CERCANO</v>
          </cell>
          <cell r="X600" t="e">
            <v>#REF!</v>
          </cell>
          <cell r="Y600" t="str">
            <v>SUROCCIDENTE</v>
          </cell>
          <cell r="Z600"/>
          <cell r="AA600" t="str">
            <v>Ibague</v>
          </cell>
          <cell r="AB600" t="str">
            <v>Ibague</v>
          </cell>
          <cell r="AC600" t="str">
            <v>Calle 41 # 5 - 40 Barrio Restrepo</v>
          </cell>
          <cell r="AD600"/>
          <cell r="AE600">
            <v>13095</v>
          </cell>
          <cell r="AF600">
            <v>9000</v>
          </cell>
          <cell r="AG600" t="str">
            <v>2.6 km</v>
          </cell>
          <cell r="AH600" t="str">
            <v>8 min</v>
          </cell>
          <cell r="AI600" t="e">
            <v>#N/A</v>
          </cell>
          <cell r="AJ600">
            <v>13500</v>
          </cell>
          <cell r="AK600">
            <v>-4500</v>
          </cell>
          <cell r="AL600">
            <v>13095</v>
          </cell>
        </row>
        <row r="601">
          <cell r="T601" t="str">
            <v>BETANCUR HERRERA DANIELA ISABEL</v>
          </cell>
          <cell r="U601" t="str">
            <v>CR 23 No 49-71 apt 506</v>
          </cell>
          <cell r="V601" t="str">
            <v>Versalles</v>
          </cell>
          <cell r="W601" t="str">
            <v>CERCANO</v>
          </cell>
          <cell r="X601">
            <v>3116023688</v>
          </cell>
          <cell r="Y601" t="str">
            <v>SUROCCIDENTE</v>
          </cell>
          <cell r="Z601"/>
          <cell r="AA601" t="str">
            <v>Manizales</v>
          </cell>
          <cell r="AB601" t="str">
            <v>Manizales</v>
          </cell>
          <cell r="AC601" t="str">
            <v>Cra. 23 # 39 - 25 Piso 2
Antiguo Edificio Clínica Manizales
(IPS Caprecom Clínica Manizales)</v>
          </cell>
          <cell r="AD601"/>
          <cell r="AE601">
            <v>13095</v>
          </cell>
          <cell r="AF601">
            <v>9000</v>
          </cell>
          <cell r="AG601" t="str">
            <v>1.5 km</v>
          </cell>
          <cell r="AH601" t="str">
            <v>5 min</v>
          </cell>
          <cell r="AI601">
            <v>15000</v>
          </cell>
          <cell r="AJ601">
            <v>13500</v>
          </cell>
          <cell r="AK601">
            <v>-4500</v>
          </cell>
          <cell r="AL601">
            <v>13095</v>
          </cell>
        </row>
        <row r="602">
          <cell r="T602" t="str">
            <v>BETTY</v>
          </cell>
          <cell r="U602"/>
          <cell r="V602">
            <v>0</v>
          </cell>
          <cell r="W602" t="str">
            <v>LEJANO</v>
          </cell>
          <cell r="X602" t="e">
            <v>#REF!</v>
          </cell>
          <cell r="Y602" t="str">
            <v>NORTE</v>
          </cell>
          <cell r="Z602"/>
          <cell r="AA602" t="str">
            <v>Barranquilla</v>
          </cell>
          <cell r="AB602" t="str">
            <v>Riomar</v>
          </cell>
          <cell r="AC602" t="str">
            <v>Cra. 51 # 82-197</v>
          </cell>
          <cell r="AD602"/>
          <cell r="AE602">
            <v>17460</v>
          </cell>
          <cell r="AF602">
            <v>9000</v>
          </cell>
          <cell r="AG602">
            <v>0</v>
          </cell>
          <cell r="AH602">
            <v>0</v>
          </cell>
          <cell r="AI602">
            <v>20000</v>
          </cell>
          <cell r="AJ602">
            <v>18000</v>
          </cell>
          <cell r="AK602">
            <v>-9000</v>
          </cell>
          <cell r="AL602">
            <v>17460</v>
          </cell>
        </row>
        <row r="603">
          <cell r="T603" t="str">
            <v>BIANEY DUQUE</v>
          </cell>
          <cell r="U603" t="str">
            <v>Calle 33 A Avenida 9 #33-40 La Sabana Los Patios</v>
          </cell>
          <cell r="V603" t="str">
            <v>la sabana</v>
          </cell>
          <cell r="W603" t="str">
            <v>CERCANO</v>
          </cell>
          <cell r="X603">
            <v>3202320331</v>
          </cell>
          <cell r="Y603" t="str">
            <v>NORTE</v>
          </cell>
          <cell r="Z603"/>
          <cell r="AA603" t="str">
            <v>Cucuta</v>
          </cell>
          <cell r="AB603" t="str">
            <v>Cucuta</v>
          </cell>
          <cell r="AC603" t="str">
            <v>Calle 14 # 1-37 Barrio La Playa, Centro.</v>
          </cell>
          <cell r="AD603"/>
          <cell r="AE603">
            <v>13095</v>
          </cell>
          <cell r="AF603">
            <v>9000</v>
          </cell>
          <cell r="AG603" t="str">
            <v>7.1 km</v>
          </cell>
          <cell r="AH603" t="str">
            <v>15 min</v>
          </cell>
          <cell r="AI603">
            <v>15000</v>
          </cell>
          <cell r="AJ603">
            <v>13500</v>
          </cell>
          <cell r="AK603">
            <v>-4500</v>
          </cell>
          <cell r="AL603">
            <v>13095</v>
          </cell>
        </row>
        <row r="604">
          <cell r="T604" t="str">
            <v>BIBIANA</v>
          </cell>
          <cell r="U604" t="str">
            <v xml:space="preserve">CALLE 47 # 21B-69 SAN JOSE </v>
          </cell>
          <cell r="V604" t="str">
            <v>San Jose</v>
          </cell>
          <cell r="W604" t="str">
            <v>CERCANO</v>
          </cell>
          <cell r="X604">
            <v>3017174997</v>
          </cell>
          <cell r="Y604" t="str">
            <v>NORTE</v>
          </cell>
          <cell r="Z604"/>
          <cell r="AA604" t="str">
            <v>Barranquilla</v>
          </cell>
          <cell r="AB604" t="str">
            <v>Murillo</v>
          </cell>
          <cell r="AC604" t="str">
            <v>Calle 45 # 9B - 08
Barrio La Victoria</v>
          </cell>
          <cell r="AD604"/>
          <cell r="AE604">
            <v>13095</v>
          </cell>
          <cell r="AF604">
            <v>9000</v>
          </cell>
          <cell r="AG604" t="str">
            <v>2.6 km</v>
          </cell>
          <cell r="AH604" t="str">
            <v>9 min</v>
          </cell>
          <cell r="AI604">
            <v>15000</v>
          </cell>
          <cell r="AJ604">
            <v>13500</v>
          </cell>
          <cell r="AK604">
            <v>-4500</v>
          </cell>
          <cell r="AL604">
            <v>13095</v>
          </cell>
        </row>
        <row r="605">
          <cell r="T605" t="str">
            <v xml:space="preserve">Blanca Rivera </v>
          </cell>
          <cell r="U605" t="str">
            <v xml:space="preserve">Mz 30 casa 2 altos del peñon </v>
          </cell>
          <cell r="V605" t="str">
            <v>Altos del Peñon</v>
          </cell>
          <cell r="W605" t="str">
            <v>CERCANO</v>
          </cell>
          <cell r="X605">
            <v>3118567058</v>
          </cell>
          <cell r="Y605" t="str">
            <v>CENTRO</v>
          </cell>
          <cell r="Z605"/>
          <cell r="AA605" t="str">
            <v>Girardot</v>
          </cell>
          <cell r="AB605" t="str">
            <v>Girardot</v>
          </cell>
          <cell r="AC605" t="str">
            <v>Cra. 7 A # 31 - 54 Barrio La Magdalena</v>
          </cell>
          <cell r="AD605"/>
          <cell r="AE605">
            <v>13095</v>
          </cell>
          <cell r="AF605">
            <v>9000</v>
          </cell>
          <cell r="AG605" t="str">
            <v>2.6 km</v>
          </cell>
          <cell r="AH605" t="str">
            <v>8 min</v>
          </cell>
          <cell r="AI605">
            <v>15000</v>
          </cell>
          <cell r="AJ605">
            <v>13500</v>
          </cell>
          <cell r="AK605">
            <v>-4500</v>
          </cell>
          <cell r="AL605">
            <v>13095</v>
          </cell>
        </row>
        <row r="606">
          <cell r="T606" t="str">
            <v>BRENDA HERRERA RANGEL</v>
          </cell>
          <cell r="U606" t="str">
            <v>CALLE 7ª # 16 -17 CHAPINERO</v>
          </cell>
          <cell r="V606" t="str">
            <v>las americas</v>
          </cell>
          <cell r="W606" t="str">
            <v>CERCANO</v>
          </cell>
          <cell r="X606" t="e">
            <v>#REF!</v>
          </cell>
          <cell r="Y606" t="str">
            <v>NORTE</v>
          </cell>
          <cell r="Z606"/>
          <cell r="AA606" t="str">
            <v>Cucuta</v>
          </cell>
          <cell r="AB606" t="str">
            <v>Cucuta</v>
          </cell>
          <cell r="AC606" t="str">
            <v>Calle 14 # 1-37 Barrio La Playa, Centro.</v>
          </cell>
          <cell r="AD606"/>
          <cell r="AE606">
            <v>13095</v>
          </cell>
          <cell r="AF606">
            <v>9000</v>
          </cell>
          <cell r="AG606" t="str">
            <v>4.5 km</v>
          </cell>
          <cell r="AH606" t="str">
            <v>13 min</v>
          </cell>
          <cell r="AI606" t="e">
            <v>#N/A</v>
          </cell>
          <cell r="AJ606">
            <v>13500</v>
          </cell>
          <cell r="AK606">
            <v>-4500</v>
          </cell>
          <cell r="AL606">
            <v>13095</v>
          </cell>
        </row>
        <row r="607">
          <cell r="T607" t="str">
            <v xml:space="preserve">BUITRAGO MENDOZA LUISA FERNANDA </v>
          </cell>
          <cell r="U607" t="str">
            <v>JEFE DE ENFERMERIA SUPERNUMERARIO</v>
          </cell>
          <cell r="V607" t="str">
            <v>Av Olimpica</v>
          </cell>
          <cell r="W607" t="str">
            <v>CERCANO</v>
          </cell>
          <cell r="X607">
            <v>3103379449</v>
          </cell>
          <cell r="Y607" t="str">
            <v>CENTRO</v>
          </cell>
          <cell r="Z607"/>
          <cell r="AA607" t="str">
            <v>Tunja</v>
          </cell>
          <cell r="AB607" t="str">
            <v>Tunja</v>
          </cell>
          <cell r="AC607" t="str">
            <v>Carrera 1B N 46A 18 Urb. Manolete</v>
          </cell>
          <cell r="AD607"/>
          <cell r="AE607">
            <v>10670</v>
          </cell>
          <cell r="AF607">
            <v>9000</v>
          </cell>
          <cell r="AG607" t="str">
            <v>1.8 km</v>
          </cell>
          <cell r="AH607" t="str">
            <v>5 min</v>
          </cell>
          <cell r="AI607">
            <v>11000</v>
          </cell>
          <cell r="AJ607">
            <v>11000</v>
          </cell>
          <cell r="AK607">
            <v>-2000</v>
          </cell>
          <cell r="AL607">
            <v>10670</v>
          </cell>
        </row>
        <row r="608">
          <cell r="T608" t="str">
            <v>BURGOS NEGRETE NEIDY LUZ</v>
          </cell>
          <cell r="U608" t="str">
            <v>Calle 72 No 15 A-26 Soledad</v>
          </cell>
          <cell r="V608" t="str">
            <v>Soledad</v>
          </cell>
          <cell r="W608" t="str">
            <v>INTERMUNICIPAL</v>
          </cell>
          <cell r="X608" t="e">
            <v>#REF!</v>
          </cell>
          <cell r="Y608" t="str">
            <v>NORTE</v>
          </cell>
          <cell r="Z608"/>
          <cell r="AA608" t="str">
            <v>Barranquilla</v>
          </cell>
          <cell r="AB608" t="str">
            <v>Riomar</v>
          </cell>
          <cell r="AC608" t="str">
            <v>Cra. 51 # 82-197</v>
          </cell>
          <cell r="AD608"/>
          <cell r="AE608">
            <v>39285</v>
          </cell>
          <cell r="AF608">
            <v>30000</v>
          </cell>
          <cell r="AG608" t="str">
            <v>14 km</v>
          </cell>
          <cell r="AH608" t="str">
            <v>26 min</v>
          </cell>
          <cell r="AI608">
            <v>45000</v>
          </cell>
          <cell r="AJ608">
            <v>40500</v>
          </cell>
          <cell r="AK608">
            <v>-10500</v>
          </cell>
          <cell r="AL608">
            <v>39285</v>
          </cell>
        </row>
        <row r="609">
          <cell r="T609" t="str">
            <v>CANDAMIL ARIAS ILDA MARCELA</v>
          </cell>
          <cell r="U609" t="str">
            <v>Calle 10 No 24-47 EDIFICIO CENTENARIO APT 804</v>
          </cell>
          <cell r="V609" t="str">
            <v>Centenario</v>
          </cell>
          <cell r="W609" t="str">
            <v>CERCANO</v>
          </cell>
          <cell r="X609">
            <v>3116333614</v>
          </cell>
          <cell r="Y609" t="str">
            <v>SUROCCIDENTE</v>
          </cell>
          <cell r="Z609"/>
          <cell r="AA609" t="str">
            <v>Manizales</v>
          </cell>
          <cell r="AB609" t="str">
            <v>Manizales</v>
          </cell>
          <cell r="AC609" t="str">
            <v>Cra. 23 # 39 - 25 Piso 2
Antiguo Edificio Clínica Manizales
(IPS Caprecom Clínica Manizales)</v>
          </cell>
          <cell r="AD609"/>
          <cell r="AE609">
            <v>13095</v>
          </cell>
          <cell r="AF609">
            <v>9000</v>
          </cell>
          <cell r="AG609" t="str">
            <v>3 km</v>
          </cell>
          <cell r="AH609" t="str">
            <v>10 min</v>
          </cell>
          <cell r="AI609">
            <v>15000</v>
          </cell>
          <cell r="AJ609">
            <v>13500</v>
          </cell>
          <cell r="AK609">
            <v>-4500</v>
          </cell>
          <cell r="AL609">
            <v>13095</v>
          </cell>
        </row>
        <row r="610">
          <cell r="T610" t="str">
            <v>CARDENAS REDONDO GUSTAVO ENRIQUE</v>
          </cell>
          <cell r="U610" t="str">
            <v>Calle 18 No 1A -196Piso 2 Malambo</v>
          </cell>
          <cell r="V610" t="str">
            <v>Malambo</v>
          </cell>
          <cell r="W610" t="str">
            <v>INTERMUNICIPAL</v>
          </cell>
          <cell r="X610">
            <v>3204373145</v>
          </cell>
          <cell r="Y610" t="str">
            <v>NORTE</v>
          </cell>
          <cell r="Z610"/>
          <cell r="AA610" t="str">
            <v>Barranquilla</v>
          </cell>
          <cell r="AB610" t="str">
            <v>Riomar</v>
          </cell>
          <cell r="AC610" t="str">
            <v>Cra. 51 # 82-197</v>
          </cell>
          <cell r="AD610"/>
          <cell r="AE610">
            <v>39285</v>
          </cell>
          <cell r="AF610">
            <v>30000</v>
          </cell>
          <cell r="AG610" t="str">
            <v>15.5 km</v>
          </cell>
          <cell r="AH610" t="str">
            <v>29 min</v>
          </cell>
          <cell r="AI610">
            <v>45000</v>
          </cell>
          <cell r="AJ610">
            <v>40500</v>
          </cell>
          <cell r="AK610">
            <v>-10500</v>
          </cell>
          <cell r="AL610">
            <v>39285</v>
          </cell>
        </row>
        <row r="611">
          <cell r="T611" t="str">
            <v>CARLOS</v>
          </cell>
          <cell r="U611" t="str">
            <v xml:space="preserve">CALLE 68B # 24B-53 SAN FELIPE </v>
          </cell>
          <cell r="V611" t="str">
            <v>San Felipe</v>
          </cell>
          <cell r="W611" t="str">
            <v>CERCANO</v>
          </cell>
          <cell r="X611" t="e">
            <v>#REF!</v>
          </cell>
          <cell r="Y611" t="str">
            <v>NORTE</v>
          </cell>
          <cell r="Z611"/>
          <cell r="AA611" t="str">
            <v>Barranquilla</v>
          </cell>
          <cell r="AB611" t="str">
            <v>Murillo</v>
          </cell>
          <cell r="AC611" t="str">
            <v>Calle 45 # 9B - 08
Barrio La Victoria</v>
          </cell>
          <cell r="AD611"/>
          <cell r="AE611">
            <v>13095</v>
          </cell>
          <cell r="AF611">
            <v>9000</v>
          </cell>
          <cell r="AG611" t="str">
            <v>3.8 km</v>
          </cell>
          <cell r="AH611" t="str">
            <v>13 min</v>
          </cell>
          <cell r="AI611" t="e">
            <v>#N/A</v>
          </cell>
          <cell r="AJ611">
            <v>13500</v>
          </cell>
          <cell r="AK611">
            <v>-4500</v>
          </cell>
          <cell r="AL611">
            <v>13095</v>
          </cell>
        </row>
        <row r="612">
          <cell r="T612" t="str">
            <v xml:space="preserve">CARMEN MONTERROSA </v>
          </cell>
          <cell r="U612" t="str">
            <v>CALLE82A#41E192</v>
          </cell>
          <cell r="V612" t="str">
            <v>Los Nogales</v>
          </cell>
          <cell r="W612" t="str">
            <v>CERCANO</v>
          </cell>
          <cell r="X612">
            <v>3145107325</v>
          </cell>
          <cell r="Y612" t="str">
            <v>NORTE</v>
          </cell>
          <cell r="Z612"/>
          <cell r="AA612" t="str">
            <v>Barranquilla</v>
          </cell>
          <cell r="AB612" t="str">
            <v>Unirenal</v>
          </cell>
          <cell r="AC612" t="str">
            <v>Cll.  70B # 38-152</v>
          </cell>
          <cell r="AD612"/>
          <cell r="AE612">
            <v>13095</v>
          </cell>
          <cell r="AF612">
            <v>9000</v>
          </cell>
          <cell r="AG612" t="str">
            <v>2.5 km</v>
          </cell>
          <cell r="AH612" t="str">
            <v>8 min</v>
          </cell>
          <cell r="AI612">
            <v>15000</v>
          </cell>
          <cell r="AJ612">
            <v>13500</v>
          </cell>
          <cell r="AK612">
            <v>-4500</v>
          </cell>
          <cell r="AL612">
            <v>13095</v>
          </cell>
        </row>
        <row r="613">
          <cell r="T613" t="str">
            <v xml:space="preserve">Carolina Sanchez </v>
          </cell>
          <cell r="U613" t="str">
            <v>mz 5 casa 13c B/ Hacienda Girardot etapa II</v>
          </cell>
          <cell r="V613" t="str">
            <v>La Esperanza</v>
          </cell>
          <cell r="W613" t="str">
            <v>CERCANO</v>
          </cell>
          <cell r="X613">
            <v>3152913033</v>
          </cell>
          <cell r="Y613" t="str">
            <v>CENTRO</v>
          </cell>
          <cell r="Z613"/>
          <cell r="AA613" t="str">
            <v>Girardot</v>
          </cell>
          <cell r="AB613" t="str">
            <v>Girardot</v>
          </cell>
          <cell r="AC613" t="str">
            <v>Cra. 7 A # 31 - 54 Barrio La Magdalena</v>
          </cell>
          <cell r="AD613"/>
          <cell r="AE613">
            <v>13095</v>
          </cell>
          <cell r="AF613">
            <v>9000</v>
          </cell>
          <cell r="AG613" t="str">
            <v>4.6 km</v>
          </cell>
          <cell r="AH613" t="str">
            <v>11 min</v>
          </cell>
          <cell r="AI613">
            <v>15000</v>
          </cell>
          <cell r="AJ613">
            <v>13500</v>
          </cell>
          <cell r="AK613">
            <v>-4500</v>
          </cell>
          <cell r="AL613">
            <v>13095</v>
          </cell>
        </row>
        <row r="614">
          <cell r="T614" t="str">
            <v>CELY CRISTANCHO JUDY MILENA</v>
          </cell>
          <cell r="U614" t="str">
            <v>JEFE DE ENFERMERIA</v>
          </cell>
          <cell r="V614" t="str">
            <v>Los Heroes</v>
          </cell>
          <cell r="W614" t="str">
            <v>CERCANO</v>
          </cell>
          <cell r="X614">
            <v>3117625132</v>
          </cell>
          <cell r="Y614" t="str">
            <v>CENTRO</v>
          </cell>
          <cell r="Z614"/>
          <cell r="AA614" t="str">
            <v>Tunja</v>
          </cell>
          <cell r="AB614" t="str">
            <v>Tunja</v>
          </cell>
          <cell r="AC614" t="str">
            <v>Carrera 1B N 46A 18 Urb. Manolete</v>
          </cell>
          <cell r="AD614"/>
          <cell r="AE614">
            <v>10670</v>
          </cell>
          <cell r="AF614">
            <v>9000</v>
          </cell>
          <cell r="AG614" t="str">
            <v>1.5 km</v>
          </cell>
          <cell r="AH614" t="str">
            <v>6 min</v>
          </cell>
          <cell r="AI614">
            <v>11000</v>
          </cell>
          <cell r="AJ614">
            <v>11000</v>
          </cell>
          <cell r="AK614">
            <v>-2000</v>
          </cell>
          <cell r="AL614">
            <v>10670</v>
          </cell>
        </row>
        <row r="615">
          <cell r="T615" t="str">
            <v>CORAL IBARRA ROSA DANIELA</v>
          </cell>
          <cell r="U615" t="str">
            <v>CLL 52 NO. 25 B 21  APT 2</v>
          </cell>
          <cell r="V615" t="str">
            <v>Arboleda</v>
          </cell>
          <cell r="W615" t="str">
            <v>CERCANO</v>
          </cell>
          <cell r="X615">
            <v>3207395488</v>
          </cell>
          <cell r="Y615" t="str">
            <v>SUROCCIDENTE</v>
          </cell>
          <cell r="Z615"/>
          <cell r="AA615" t="str">
            <v>Manizales</v>
          </cell>
          <cell r="AB615" t="str">
            <v>Manizales</v>
          </cell>
          <cell r="AC615" t="str">
            <v>Cra. 23 # 39 - 25 Piso 2
Antiguo Edificio Clínica Manizales
(IPS Caprecom Clínica Manizales)</v>
          </cell>
          <cell r="AD615"/>
          <cell r="AE615">
            <v>13095</v>
          </cell>
          <cell r="AF615">
            <v>9000</v>
          </cell>
          <cell r="AG615" t="str">
            <v>3 km</v>
          </cell>
          <cell r="AH615" t="str">
            <v>8 min</v>
          </cell>
          <cell r="AI615">
            <v>15000</v>
          </cell>
          <cell r="AJ615">
            <v>13500</v>
          </cell>
          <cell r="AK615">
            <v>-4500</v>
          </cell>
          <cell r="AL615">
            <v>13095</v>
          </cell>
        </row>
        <row r="616">
          <cell r="T616" t="str">
            <v>DANNY LUCIA SANCHEZ CARO</v>
          </cell>
          <cell r="U616" t="str">
            <v>CR 8 N 40-75 RESTREPO Piso 1</v>
          </cell>
          <cell r="V616" t="str">
            <v>Restrepo</v>
          </cell>
          <cell r="W616" t="str">
            <v>CERCANO</v>
          </cell>
          <cell r="X616">
            <v>3168604910</v>
          </cell>
          <cell r="Y616" t="str">
            <v>SUROCCIDENTE</v>
          </cell>
          <cell r="Z616"/>
          <cell r="AA616" t="str">
            <v>Ibague</v>
          </cell>
          <cell r="AB616" t="str">
            <v>Ibague</v>
          </cell>
          <cell r="AC616" t="str">
            <v>Calle 41 # 5 - 40 Barrio Restrepo</v>
          </cell>
          <cell r="AD616"/>
          <cell r="AE616">
            <v>13095</v>
          </cell>
          <cell r="AF616">
            <v>9000</v>
          </cell>
          <cell r="AG616" t="str">
            <v>3.2 km</v>
          </cell>
          <cell r="AH616" t="str">
            <v>6 min</v>
          </cell>
          <cell r="AI616">
            <v>15000</v>
          </cell>
          <cell r="AJ616">
            <v>13500</v>
          </cell>
          <cell r="AK616">
            <v>-4500</v>
          </cell>
          <cell r="AL616">
            <v>13095</v>
          </cell>
        </row>
        <row r="617">
          <cell r="T617" t="str">
            <v xml:space="preserve">DENIS VEGA </v>
          </cell>
          <cell r="U617" t="str">
            <v>CRA 23B # 65B - 53 SAN FELIPE</v>
          </cell>
          <cell r="V617" t="str">
            <v>San Felipe</v>
          </cell>
          <cell r="W617" t="str">
            <v>CERCANO</v>
          </cell>
          <cell r="X617">
            <v>3007752456</v>
          </cell>
          <cell r="Y617" t="str">
            <v>NORTE</v>
          </cell>
          <cell r="Z617"/>
          <cell r="AA617" t="str">
            <v>Barranquilla</v>
          </cell>
          <cell r="AB617" t="str">
            <v>Murillo</v>
          </cell>
          <cell r="AC617" t="str">
            <v>Calle 45 # 9B - 08
Barrio La Victoria</v>
          </cell>
          <cell r="AD617"/>
          <cell r="AE617">
            <v>15714</v>
          </cell>
          <cell r="AF617">
            <v>9000</v>
          </cell>
          <cell r="AG617" t="str">
            <v>3.4 km</v>
          </cell>
          <cell r="AH617" t="str">
            <v>13 min</v>
          </cell>
          <cell r="AI617">
            <v>18000</v>
          </cell>
          <cell r="AJ617">
            <v>16200</v>
          </cell>
          <cell r="AK617">
            <v>-7200</v>
          </cell>
          <cell r="AL617">
            <v>15714</v>
          </cell>
        </row>
        <row r="618">
          <cell r="T618" t="str">
            <v>DIANA VELEZ</v>
          </cell>
          <cell r="U618" t="str">
            <v>CRA 1E # 46C-52</v>
          </cell>
          <cell r="V618" t="str">
            <v>Salomia</v>
          </cell>
          <cell r="W618" t="str">
            <v>CERCANO</v>
          </cell>
          <cell r="X618">
            <v>0</v>
          </cell>
          <cell r="Y618" t="str">
            <v>SUROCCIDENTE</v>
          </cell>
          <cell r="Z618"/>
          <cell r="AA618" t="str">
            <v xml:space="preserve">Cali </v>
          </cell>
          <cell r="AB618" t="str">
            <v>NSR -  CALI</v>
          </cell>
          <cell r="AC618" t="str">
            <v>Cll. 10  # 33 - 51 piso  4 Barrio Colseguros</v>
          </cell>
          <cell r="AD618"/>
          <cell r="AE618">
            <v>13095</v>
          </cell>
          <cell r="AF618">
            <v>9000</v>
          </cell>
          <cell r="AG618" t="str">
            <v>7.6 km</v>
          </cell>
          <cell r="AH618" t="str">
            <v>12 min</v>
          </cell>
          <cell r="AI618" t="e">
            <v>#N/A</v>
          </cell>
          <cell r="AJ618">
            <v>13500</v>
          </cell>
          <cell r="AK618">
            <v>-4500</v>
          </cell>
          <cell r="AL618">
            <v>13095</v>
          </cell>
        </row>
        <row r="619">
          <cell r="T619" t="str">
            <v>DUARTE GODOY CAROLE YINED</v>
          </cell>
          <cell r="U619" t="str">
            <v>KRA 32 No.14-54</v>
          </cell>
          <cell r="V619" t="str">
            <v>Villa Juliana</v>
          </cell>
          <cell r="W619" t="str">
            <v>CERCANO</v>
          </cell>
          <cell r="X619" t="e">
            <v>#REF!</v>
          </cell>
          <cell r="Y619" t="str">
            <v>CENTRO</v>
          </cell>
          <cell r="Z619"/>
          <cell r="AA619" t="str">
            <v>Duitama</v>
          </cell>
          <cell r="AB619" t="str">
            <v>Duitama</v>
          </cell>
          <cell r="AC619" t="str">
            <v>Calle 9 # 36 - 24 Barrio Sausalito</v>
          </cell>
          <cell r="AD619"/>
          <cell r="AE619">
            <v>13095</v>
          </cell>
          <cell r="AF619">
            <v>9000</v>
          </cell>
          <cell r="AG619" t="str">
            <v>550 metro</v>
          </cell>
          <cell r="AH619" t="str">
            <v>3 min</v>
          </cell>
          <cell r="AI619" t="e">
            <v>#N/A</v>
          </cell>
          <cell r="AJ619">
            <v>13500</v>
          </cell>
          <cell r="AK619">
            <v>-4500</v>
          </cell>
          <cell r="AL619">
            <v>13095</v>
          </cell>
        </row>
        <row r="620">
          <cell r="T620" t="str">
            <v xml:space="preserve">DUQUE  OSCAR MAURICIO </v>
          </cell>
          <cell r="U620" t="str">
            <v xml:space="preserve">Carera 14 N° 104-76 torre 3 apartamento 402 Bosque de fonderella </v>
          </cell>
          <cell r="V620" t="str">
            <v>Bosque de Fonderella</v>
          </cell>
          <cell r="W620" t="str">
            <v>CERCANO</v>
          </cell>
          <cell r="X620" t="e">
            <v>#REF!</v>
          </cell>
          <cell r="Y620" t="str">
            <v>SUROCCIDENTE</v>
          </cell>
          <cell r="Z620"/>
          <cell r="AA620" t="str">
            <v>Ibague</v>
          </cell>
          <cell r="AB620" t="str">
            <v>Ibague</v>
          </cell>
          <cell r="AC620" t="str">
            <v>Calle 41 # 5 - 40 Barrio Restrepo</v>
          </cell>
          <cell r="AD620"/>
          <cell r="AE620">
            <v>13095</v>
          </cell>
          <cell r="AF620">
            <v>9000</v>
          </cell>
          <cell r="AG620" t="str">
            <v>4.2 km</v>
          </cell>
          <cell r="AH620" t="str">
            <v>9 min</v>
          </cell>
          <cell r="AI620" t="e">
            <v>#N/A</v>
          </cell>
          <cell r="AJ620">
            <v>13500</v>
          </cell>
          <cell r="AK620">
            <v>-4500</v>
          </cell>
          <cell r="AL620">
            <v>13095</v>
          </cell>
        </row>
        <row r="621">
          <cell r="T621" t="str">
            <v>DUQUE CASTAÑO GERMAN ALBERTO</v>
          </cell>
          <cell r="U621" t="str">
            <v>CALLE 51E 34-83 SANTOS</v>
          </cell>
          <cell r="V621" t="str">
            <v>Santos</v>
          </cell>
          <cell r="W621" t="str">
            <v>CERCANO</v>
          </cell>
          <cell r="X621">
            <v>3122148133</v>
          </cell>
          <cell r="Y621" t="str">
            <v>SUROCCIDENTE</v>
          </cell>
          <cell r="Z621"/>
          <cell r="AA621" t="str">
            <v>Manizales</v>
          </cell>
          <cell r="AB621" t="str">
            <v>Manizales</v>
          </cell>
          <cell r="AC621" t="str">
            <v>Cra. 23 # 39 - 25 Piso 2
Antiguo Edificio Clínica Manizales
(IPS Caprecom Clínica Manizales)</v>
          </cell>
          <cell r="AD621"/>
          <cell r="AE621">
            <v>13095</v>
          </cell>
          <cell r="AF621">
            <v>9000</v>
          </cell>
          <cell r="AG621" t="str">
            <v>1.6 km</v>
          </cell>
          <cell r="AH621" t="str">
            <v>5 min</v>
          </cell>
          <cell r="AI621">
            <v>15000</v>
          </cell>
          <cell r="AJ621">
            <v>13500</v>
          </cell>
          <cell r="AK621">
            <v>-4500</v>
          </cell>
          <cell r="AL621">
            <v>13095</v>
          </cell>
        </row>
        <row r="622">
          <cell r="T622" t="str">
            <v>EDWIN PAEZ</v>
          </cell>
          <cell r="U622" t="str">
            <v>CALLE 18C#47-80</v>
          </cell>
          <cell r="V622" t="str">
            <v>Costa Hermosa</v>
          </cell>
          <cell r="W622" t="str">
            <v>INTERMUNICIPAL</v>
          </cell>
          <cell r="X622">
            <v>3186160325</v>
          </cell>
          <cell r="Y622" t="str">
            <v>NORTE</v>
          </cell>
          <cell r="Z622"/>
          <cell r="AA622" t="str">
            <v>Barranquilla</v>
          </cell>
          <cell r="AB622" t="str">
            <v>Unirenal</v>
          </cell>
          <cell r="AC622" t="str">
            <v>Cll.  70B # 38-152</v>
          </cell>
          <cell r="AD622"/>
          <cell r="AE622">
            <v>39285</v>
          </cell>
          <cell r="AF622">
            <v>30000</v>
          </cell>
          <cell r="AG622" t="str">
            <v>8.3 km</v>
          </cell>
          <cell r="AH622" t="str">
            <v>21 min</v>
          </cell>
          <cell r="AI622">
            <v>45000</v>
          </cell>
          <cell r="AJ622">
            <v>40500</v>
          </cell>
          <cell r="AK622">
            <v>-10500</v>
          </cell>
          <cell r="AL622">
            <v>39285</v>
          </cell>
        </row>
        <row r="623">
          <cell r="T623" t="str">
            <v>ERIKA PEREZ</v>
          </cell>
          <cell r="U623" t="str">
            <v>KRA26#63B62</v>
          </cell>
          <cell r="V623" t="str">
            <v>Los Andes</v>
          </cell>
          <cell r="W623" t="str">
            <v>CERCANO</v>
          </cell>
          <cell r="X623">
            <v>3008161228</v>
          </cell>
          <cell r="Y623" t="str">
            <v>NORTE</v>
          </cell>
          <cell r="Z623"/>
          <cell r="AA623" t="str">
            <v>Barranquilla</v>
          </cell>
          <cell r="AB623" t="str">
            <v>Unirenal</v>
          </cell>
          <cell r="AC623" t="str">
            <v>Cll.  70B # 38-152</v>
          </cell>
          <cell r="AD623"/>
          <cell r="AE623">
            <v>13095</v>
          </cell>
          <cell r="AF623">
            <v>9000</v>
          </cell>
          <cell r="AG623" t="str">
            <v xml:space="preserve">2 km </v>
          </cell>
          <cell r="AH623" t="str">
            <v>7 min</v>
          </cell>
          <cell r="AI623">
            <v>15000</v>
          </cell>
          <cell r="AJ623">
            <v>13500</v>
          </cell>
          <cell r="AK623">
            <v>-4500</v>
          </cell>
          <cell r="AL623">
            <v>13095</v>
          </cell>
        </row>
        <row r="624">
          <cell r="T624" t="str">
            <v xml:space="preserve">Evelin Trujillo </v>
          </cell>
          <cell r="U624" t="str">
            <v xml:space="preserve">Mz E casa 16 bosuqe del viscaya </v>
          </cell>
          <cell r="V624" t="str">
            <v>Bosques de Viscaya</v>
          </cell>
          <cell r="W624" t="str">
            <v>CERCANO</v>
          </cell>
          <cell r="X624">
            <v>3116566561</v>
          </cell>
          <cell r="Y624" t="str">
            <v>CENTRO</v>
          </cell>
          <cell r="Z624"/>
          <cell r="AA624" t="str">
            <v>Girardot</v>
          </cell>
          <cell r="AB624" t="str">
            <v>Girardot</v>
          </cell>
          <cell r="AC624" t="str">
            <v>Cra. 7 A # 31 - 54 Barrio La Magdalena</v>
          </cell>
          <cell r="AD624"/>
          <cell r="AE624">
            <v>13095</v>
          </cell>
          <cell r="AF624">
            <v>9000</v>
          </cell>
          <cell r="AG624" t="str">
            <v>1.9 km</v>
          </cell>
          <cell r="AH624" t="str">
            <v>6 min</v>
          </cell>
          <cell r="AI624">
            <v>15000</v>
          </cell>
          <cell r="AJ624">
            <v>13500</v>
          </cell>
          <cell r="AK624">
            <v>-4500</v>
          </cell>
          <cell r="AL624">
            <v>13095</v>
          </cell>
        </row>
        <row r="625">
          <cell r="T625" t="str">
            <v>FRAGOZO CASTILLA LEONARDO FABIO</v>
          </cell>
          <cell r="U625" t="str">
            <v>Carrrera 4G # 21Bis-220 torre 5 Apt 304</v>
          </cell>
          <cell r="V625" t="str">
            <v>San Francisco de Asis</v>
          </cell>
          <cell r="W625" t="str">
            <v>CERCANO</v>
          </cell>
          <cell r="X625">
            <v>3174636288</v>
          </cell>
          <cell r="Y625" t="str">
            <v>NORTE</v>
          </cell>
          <cell r="Z625"/>
          <cell r="AA625" t="str">
            <v>Valledupar</v>
          </cell>
          <cell r="AB625" t="str">
            <v>Valledupar</v>
          </cell>
          <cell r="AC625" t="str">
            <v>Carrera 7A # 28-62
Barrio 12 de Octubre</v>
          </cell>
          <cell r="AD625"/>
          <cell r="AE625">
            <v>13095</v>
          </cell>
          <cell r="AF625">
            <v>8000</v>
          </cell>
          <cell r="AG625" t="str">
            <v>4.3 km</v>
          </cell>
          <cell r="AH625" t="str">
            <v>7 min</v>
          </cell>
          <cell r="AI625">
            <v>15000</v>
          </cell>
          <cell r="AJ625">
            <v>13500</v>
          </cell>
          <cell r="AK625">
            <v>-5500</v>
          </cell>
          <cell r="AL625">
            <v>13095</v>
          </cell>
        </row>
        <row r="626">
          <cell r="T626" t="str">
            <v>GARCIA PEREZ LEIDY JOHANA</v>
          </cell>
          <cell r="U626" t="str">
            <v>Calle 13B # 14-104</v>
          </cell>
          <cell r="V626" t="str">
            <v>El Obrero</v>
          </cell>
          <cell r="W626" t="str">
            <v>CERCANO</v>
          </cell>
          <cell r="X626">
            <v>3232932572</v>
          </cell>
          <cell r="Y626" t="str">
            <v>NORTE</v>
          </cell>
          <cell r="Z626"/>
          <cell r="AA626" t="str">
            <v>Valledupar</v>
          </cell>
          <cell r="AB626" t="str">
            <v>Valledupar</v>
          </cell>
          <cell r="AC626" t="str">
            <v>Carrera 7A # 28-62
Barrio 12 de Octubre</v>
          </cell>
          <cell r="AD626"/>
          <cell r="AE626">
            <v>13095</v>
          </cell>
          <cell r="AF626">
            <v>8000</v>
          </cell>
          <cell r="AG626" t="str">
            <v>3.4 km</v>
          </cell>
          <cell r="AH626" t="str">
            <v>8 min</v>
          </cell>
          <cell r="AI626">
            <v>15000</v>
          </cell>
          <cell r="AJ626">
            <v>13500</v>
          </cell>
          <cell r="AK626">
            <v>-5500</v>
          </cell>
          <cell r="AL626">
            <v>13095</v>
          </cell>
        </row>
        <row r="627">
          <cell r="T627" t="str">
            <v>GARCIA SANCHEZ LUZ MERY</v>
          </cell>
          <cell r="U627" t="str">
            <v>AUXILIAR DE ENFERMERIA</v>
          </cell>
          <cell r="V627" t="str">
            <v>Altamira parte alta</v>
          </cell>
          <cell r="W627" t="str">
            <v>CERCANO</v>
          </cell>
          <cell r="X627">
            <v>3125838345</v>
          </cell>
          <cell r="Y627" t="str">
            <v>CENTRO</v>
          </cell>
          <cell r="Z627"/>
          <cell r="AA627" t="str">
            <v>Tunja</v>
          </cell>
          <cell r="AB627" t="str">
            <v>Tunja</v>
          </cell>
          <cell r="AC627" t="str">
            <v>Carrera 1B N 46A 18 Urb. Manolete</v>
          </cell>
          <cell r="AD627"/>
          <cell r="AE627">
            <v>13095</v>
          </cell>
          <cell r="AF627">
            <v>9000</v>
          </cell>
          <cell r="AG627" t="str">
            <v>3.9 km</v>
          </cell>
          <cell r="AH627" t="str">
            <v>13 min</v>
          </cell>
          <cell r="AI627">
            <v>15000</v>
          </cell>
          <cell r="AJ627">
            <v>13500</v>
          </cell>
          <cell r="AK627">
            <v>-4500</v>
          </cell>
          <cell r="AL627">
            <v>13095</v>
          </cell>
        </row>
        <row r="628">
          <cell r="T628" t="str">
            <v>GIRALDO JARAMILLO YULIANA</v>
          </cell>
          <cell r="U628" t="str">
            <v>Cra 26 #24_08</v>
          </cell>
          <cell r="V628" t="str">
            <v>Centro</v>
          </cell>
          <cell r="W628" t="str">
            <v>CERCANO</v>
          </cell>
          <cell r="X628">
            <v>3148542051</v>
          </cell>
          <cell r="Y628" t="str">
            <v>SUROCCIDENTE</v>
          </cell>
          <cell r="Z628"/>
          <cell r="AA628" t="str">
            <v>Manizales</v>
          </cell>
          <cell r="AB628" t="str">
            <v>Manizales</v>
          </cell>
          <cell r="AC628" t="str">
            <v>Cra. 23 # 39 - 25 Piso 2
Antiguo Edificio Clínica Manizales
(IPS Caprecom Clínica Manizales)</v>
          </cell>
          <cell r="AD628"/>
          <cell r="AE628">
            <v>13095</v>
          </cell>
          <cell r="AF628">
            <v>9000</v>
          </cell>
          <cell r="AG628" t="str">
            <v>1.4 km</v>
          </cell>
          <cell r="AH628" t="str">
            <v>5 min</v>
          </cell>
          <cell r="AI628">
            <v>15000</v>
          </cell>
          <cell r="AJ628">
            <v>13500</v>
          </cell>
          <cell r="AK628">
            <v>-4500</v>
          </cell>
          <cell r="AL628">
            <v>13095</v>
          </cell>
        </row>
        <row r="629">
          <cell r="T629" t="str">
            <v>GISELLA</v>
          </cell>
          <cell r="U629" t="str">
            <v xml:space="preserve">CALLE 115 # 31-61 LA PRADERA </v>
          </cell>
          <cell r="V629" t="str">
            <v>La Pradera</v>
          </cell>
          <cell r="W629" t="str">
            <v>LEJANO</v>
          </cell>
          <cell r="X629">
            <v>3054486194</v>
          </cell>
          <cell r="Y629" t="str">
            <v>NORTE</v>
          </cell>
          <cell r="Z629"/>
          <cell r="AA629" t="str">
            <v>Barranquilla</v>
          </cell>
          <cell r="AB629" t="str">
            <v>Murillo</v>
          </cell>
          <cell r="AC629" t="str">
            <v>Calle 45 # 9B - 08
Barrio La Victoria</v>
          </cell>
          <cell r="AD629"/>
          <cell r="AE629">
            <v>15714</v>
          </cell>
          <cell r="AF629">
            <v>11000</v>
          </cell>
          <cell r="AG629" t="str">
            <v>9.9 km</v>
          </cell>
          <cell r="AH629" t="str">
            <v>18 min</v>
          </cell>
          <cell r="AI629">
            <v>18000</v>
          </cell>
          <cell r="AJ629">
            <v>16200</v>
          </cell>
          <cell r="AK629">
            <v>-5200</v>
          </cell>
          <cell r="AL629">
            <v>15714</v>
          </cell>
        </row>
        <row r="630">
          <cell r="T630" t="str">
            <v>GOMEZ AHUMADA JEANNY ELENA</v>
          </cell>
          <cell r="U630" t="str">
            <v>Carrera 5D #39-63</v>
          </cell>
          <cell r="V630" t="str">
            <v>Panama</v>
          </cell>
          <cell r="W630" t="str">
            <v>CERCANO</v>
          </cell>
          <cell r="X630">
            <v>3184340241</v>
          </cell>
          <cell r="Y630" t="str">
            <v>NORTE</v>
          </cell>
          <cell r="Z630"/>
          <cell r="AA630" t="str">
            <v>Valledupar</v>
          </cell>
          <cell r="AB630" t="str">
            <v>Valledupar</v>
          </cell>
          <cell r="AC630" t="str">
            <v>Carrera 7A # 28-62
Barrio 12 de Octubre</v>
          </cell>
          <cell r="AD630"/>
          <cell r="AE630">
            <v>13095</v>
          </cell>
          <cell r="AF630">
            <v>8000</v>
          </cell>
          <cell r="AG630" t="str">
            <v>1.7 km</v>
          </cell>
          <cell r="AH630" t="str">
            <v>4 min</v>
          </cell>
          <cell r="AI630">
            <v>15000</v>
          </cell>
          <cell r="AJ630">
            <v>13500</v>
          </cell>
          <cell r="AK630">
            <v>-5500</v>
          </cell>
          <cell r="AL630">
            <v>13095</v>
          </cell>
        </row>
        <row r="631">
          <cell r="T631" t="str">
            <v>GRAJALES VELEZ MARTHA LILIANA</v>
          </cell>
          <cell r="U631" t="str">
            <v xml:space="preserve">Carrera 61 # 10 - 98 B/ pampalinda </v>
          </cell>
          <cell r="V631" t="str">
            <v>Pampalinda</v>
          </cell>
          <cell r="W631" t="str">
            <v>CERCANO</v>
          </cell>
          <cell r="X631">
            <v>3183271272</v>
          </cell>
          <cell r="Y631" t="str">
            <v>SUROCCIDENTE</v>
          </cell>
          <cell r="Z631"/>
          <cell r="AA631" t="str">
            <v>Cali</v>
          </cell>
          <cell r="AB631" t="str">
            <v>Imbanaco</v>
          </cell>
          <cell r="AC631" t="str">
            <v>Cll. 5B 4  # 38 -123</v>
          </cell>
          <cell r="AD631"/>
          <cell r="AE631">
            <v>13095</v>
          </cell>
          <cell r="AF631">
            <v>9000</v>
          </cell>
          <cell r="AG631" t="str">
            <v>3.7 km</v>
          </cell>
          <cell r="AH631" t="str">
            <v>10 min</v>
          </cell>
          <cell r="AI631">
            <v>15000</v>
          </cell>
          <cell r="AJ631">
            <v>13500</v>
          </cell>
          <cell r="AK631">
            <v>-4500</v>
          </cell>
          <cell r="AL631">
            <v>13095</v>
          </cell>
        </row>
        <row r="632">
          <cell r="T632" t="str">
            <v xml:space="preserve">GREYSSI </v>
          </cell>
          <cell r="U632" t="str">
            <v xml:space="preserve">CARRERA 25B # 63-61 LOS ANDES </v>
          </cell>
          <cell r="V632" t="str">
            <v>Los Andes</v>
          </cell>
          <cell r="W632" t="str">
            <v>CERCANO</v>
          </cell>
          <cell r="X632">
            <v>3205617937</v>
          </cell>
          <cell r="Y632" t="str">
            <v>NORTE</v>
          </cell>
          <cell r="Z632"/>
          <cell r="AA632" t="str">
            <v>Barranquilla</v>
          </cell>
          <cell r="AB632" t="str">
            <v>Murillo</v>
          </cell>
          <cell r="AC632" t="str">
            <v>Calle 45 # 9B - 08
Barrio La Victoria</v>
          </cell>
          <cell r="AD632"/>
          <cell r="AE632">
            <v>15714</v>
          </cell>
          <cell r="AF632">
            <v>11000</v>
          </cell>
          <cell r="AG632" t="str">
            <v>3.3 km</v>
          </cell>
          <cell r="AH632" t="str">
            <v>12 min</v>
          </cell>
          <cell r="AI632">
            <v>18000</v>
          </cell>
          <cell r="AJ632">
            <v>16200</v>
          </cell>
          <cell r="AK632">
            <v>-5200</v>
          </cell>
          <cell r="AL632">
            <v>15714</v>
          </cell>
        </row>
        <row r="633">
          <cell r="T633" t="str">
            <v>GUTIERREZ CASTRO MARTHA ELENA</v>
          </cell>
          <cell r="U633" t="str">
            <v>CLL 10 A NO. 2 - 14 VILLAMARIA</v>
          </cell>
          <cell r="V633" t="str">
            <v>Urapanes</v>
          </cell>
          <cell r="W633" t="str">
            <v>INTERMUNICIPAL</v>
          </cell>
          <cell r="X633">
            <v>3012099667</v>
          </cell>
          <cell r="Y633" t="str">
            <v>SUROCCIDENTE</v>
          </cell>
          <cell r="Z633"/>
          <cell r="AA633" t="str">
            <v>Manizales</v>
          </cell>
          <cell r="AB633" t="str">
            <v>Manizales</v>
          </cell>
          <cell r="AC633" t="str">
            <v>Cra. 23 # 39 - 25 Piso 2
Antiguo Edificio Clínica Manizales
(IPS Caprecom Clínica Manizales)</v>
          </cell>
          <cell r="AD633"/>
          <cell r="AE633">
            <v>30555</v>
          </cell>
          <cell r="AF633">
            <v>30000</v>
          </cell>
          <cell r="AG633" t="str">
            <v>13 km</v>
          </cell>
          <cell r="AH633" t="str">
            <v>20 min</v>
          </cell>
          <cell r="AI633">
            <v>20000</v>
          </cell>
          <cell r="AJ633">
            <v>18000</v>
          </cell>
          <cell r="AK633">
            <v>12000</v>
          </cell>
          <cell r="AL633">
            <v>17460</v>
          </cell>
        </row>
        <row r="634">
          <cell r="T634" t="str">
            <v>GUTIERREZ JIMENEZ LUDY IBONE</v>
          </cell>
          <cell r="U634" t="str">
            <v>JEFE DE ENFERMERIA</v>
          </cell>
          <cell r="V634" t="str">
            <v>Altos de Colservicios</v>
          </cell>
          <cell r="W634" t="str">
            <v>CERCANO</v>
          </cell>
          <cell r="X634">
            <v>3132506290</v>
          </cell>
          <cell r="Y634" t="str">
            <v>CENTRO</v>
          </cell>
          <cell r="Z634"/>
          <cell r="AA634" t="str">
            <v>Tunja</v>
          </cell>
          <cell r="AB634" t="str">
            <v>Tunja</v>
          </cell>
          <cell r="AC634" t="str">
            <v>Carrera 1B N 46A 18 Urb. Manolete</v>
          </cell>
          <cell r="AD634"/>
          <cell r="AE634">
            <v>10670</v>
          </cell>
          <cell r="AF634">
            <v>9000</v>
          </cell>
          <cell r="AG634" t="str">
            <v>550 metros</v>
          </cell>
          <cell r="AH634" t="str">
            <v>3 min</v>
          </cell>
          <cell r="AI634">
            <v>11000</v>
          </cell>
          <cell r="AJ634">
            <v>11000</v>
          </cell>
          <cell r="AK634">
            <v>-2000</v>
          </cell>
          <cell r="AL634">
            <v>10670</v>
          </cell>
        </row>
        <row r="635">
          <cell r="T635" t="str">
            <v>GUZMAN VEGA KELLYS JOHANA</v>
          </cell>
          <cell r="U635" t="str">
            <v>Calle 35 # 4E-9 Los Mayales</v>
          </cell>
          <cell r="V635" t="str">
            <v>Los Mayales</v>
          </cell>
          <cell r="W635" t="str">
            <v>CERCANO</v>
          </cell>
          <cell r="X635">
            <v>3172381835</v>
          </cell>
          <cell r="Y635" t="str">
            <v>NORTE</v>
          </cell>
          <cell r="Z635"/>
          <cell r="AA635" t="str">
            <v>Valledupar</v>
          </cell>
          <cell r="AB635" t="str">
            <v>Valledupar</v>
          </cell>
          <cell r="AC635" t="str">
            <v>Carrera 7A # 28-62
Barrio 12 de Octubre</v>
          </cell>
          <cell r="AD635"/>
          <cell r="AE635">
            <v>13095</v>
          </cell>
          <cell r="AF635">
            <v>8000</v>
          </cell>
          <cell r="AG635" t="str">
            <v>1.7 km</v>
          </cell>
          <cell r="AH635" t="str">
            <v>4 min</v>
          </cell>
          <cell r="AI635">
            <v>15000</v>
          </cell>
          <cell r="AJ635">
            <v>13500</v>
          </cell>
          <cell r="AK635">
            <v>-5500</v>
          </cell>
          <cell r="AL635">
            <v>13095</v>
          </cell>
        </row>
        <row r="636">
          <cell r="T636" t="str">
            <v xml:space="preserve">Henry De Avila </v>
          </cell>
          <cell r="U636" t="str">
            <v xml:space="preserve">Balcones de Casaloma Mz D casa 2 </v>
          </cell>
          <cell r="V636" t="str">
            <v>Balcones de Casaloma</v>
          </cell>
          <cell r="W636" t="str">
            <v>CERCANO</v>
          </cell>
          <cell r="X636">
            <v>3125313069</v>
          </cell>
          <cell r="Y636" t="str">
            <v>CENTRO</v>
          </cell>
          <cell r="Z636"/>
          <cell r="AA636" t="str">
            <v>Girardot</v>
          </cell>
          <cell r="AB636" t="str">
            <v>Girardot</v>
          </cell>
          <cell r="AC636" t="str">
            <v>Cra. 7 A # 31 - 54 Barrio La Magdalena</v>
          </cell>
          <cell r="AD636"/>
          <cell r="AE636">
            <v>13095</v>
          </cell>
          <cell r="AF636">
            <v>9000</v>
          </cell>
          <cell r="AG636" t="str">
            <v>3.7 km</v>
          </cell>
          <cell r="AH636" t="str">
            <v>10 min</v>
          </cell>
          <cell r="AI636">
            <v>15000</v>
          </cell>
          <cell r="AJ636">
            <v>13500</v>
          </cell>
          <cell r="AK636">
            <v>-4500</v>
          </cell>
          <cell r="AL636">
            <v>13095</v>
          </cell>
        </row>
        <row r="637">
          <cell r="T637" t="str">
            <v>HERNANDEZ CARMONA ERIKA NATALIA</v>
          </cell>
          <cell r="U637" t="str">
            <v>CRA 43B N. 11-16</v>
          </cell>
          <cell r="V637" t="str">
            <v>Estambul</v>
          </cell>
          <cell r="W637" t="str">
            <v>CERCANO</v>
          </cell>
          <cell r="X637">
            <v>3234573968</v>
          </cell>
          <cell r="Y637" t="str">
            <v>SUROCCIDENTE</v>
          </cell>
          <cell r="Z637"/>
          <cell r="AA637" t="str">
            <v>Manizales</v>
          </cell>
          <cell r="AB637" t="str">
            <v>Manizales</v>
          </cell>
          <cell r="AC637" t="str">
            <v>Cra. 23 # 39 - 25 Piso 2
Antiguo Edificio Clínica Manizales
(IPS Caprecom Clínica Manizales)</v>
          </cell>
          <cell r="AD637"/>
          <cell r="AE637">
            <v>13095</v>
          </cell>
          <cell r="AF637">
            <v>9000</v>
          </cell>
          <cell r="AG637" t="str">
            <v>6.4 km</v>
          </cell>
          <cell r="AH637" t="str">
            <v>13 min</v>
          </cell>
          <cell r="AI637">
            <v>15000</v>
          </cell>
          <cell r="AJ637">
            <v>13500</v>
          </cell>
          <cell r="AK637">
            <v>-4500</v>
          </cell>
          <cell r="AL637">
            <v>13095</v>
          </cell>
        </row>
        <row r="638">
          <cell r="T638" t="str">
            <v>HERNANDEZ ROJAS ELIZABETH</v>
          </cell>
          <cell r="U638" t="str">
            <v>TRANSV 22 No.14-54</v>
          </cell>
          <cell r="V638" t="str">
            <v>El Bosque</v>
          </cell>
          <cell r="W638" t="str">
            <v>CERCANO</v>
          </cell>
          <cell r="X638" t="e">
            <v>#REF!</v>
          </cell>
          <cell r="Y638" t="str">
            <v>CENTRO</v>
          </cell>
          <cell r="Z638"/>
          <cell r="AA638" t="str">
            <v>Duitama</v>
          </cell>
          <cell r="AB638" t="str">
            <v>Duitama</v>
          </cell>
          <cell r="AC638" t="str">
            <v>Calle 9 # 36 - 24 Barrio Sausalito</v>
          </cell>
          <cell r="AD638"/>
          <cell r="AE638">
            <v>13095</v>
          </cell>
          <cell r="AF638">
            <v>9000</v>
          </cell>
          <cell r="AG638" t="str">
            <v>3.6 km</v>
          </cell>
          <cell r="AH638" t="str">
            <v>9 min</v>
          </cell>
          <cell r="AI638" t="e">
            <v>#N/A</v>
          </cell>
          <cell r="AJ638">
            <v>13500</v>
          </cell>
          <cell r="AK638">
            <v>-4500</v>
          </cell>
          <cell r="AL638">
            <v>13095</v>
          </cell>
        </row>
        <row r="639">
          <cell r="T639" t="str">
            <v xml:space="preserve">IBET IBARRA </v>
          </cell>
          <cell r="U639" t="str">
            <v>CALLE 68#25-39</v>
          </cell>
          <cell r="V639" t="str">
            <v>San Felipe</v>
          </cell>
          <cell r="W639" t="str">
            <v>CERCANO</v>
          </cell>
          <cell r="X639">
            <v>3007050544</v>
          </cell>
          <cell r="Y639" t="str">
            <v>NORTE</v>
          </cell>
          <cell r="Z639"/>
          <cell r="AA639" t="str">
            <v>Barranquilla</v>
          </cell>
          <cell r="AB639" t="str">
            <v>Unirenal</v>
          </cell>
          <cell r="AC639" t="str">
            <v>Cll.  70B # 38-152</v>
          </cell>
          <cell r="AD639"/>
          <cell r="AE639">
            <v>13095</v>
          </cell>
          <cell r="AF639">
            <v>9000</v>
          </cell>
          <cell r="AG639" t="str">
            <v>1.9 km</v>
          </cell>
          <cell r="AH639" t="str">
            <v>6 min</v>
          </cell>
          <cell r="AI639">
            <v>15000</v>
          </cell>
          <cell r="AJ639">
            <v>13500</v>
          </cell>
          <cell r="AK639">
            <v>-4500</v>
          </cell>
          <cell r="AL639">
            <v>13095</v>
          </cell>
        </row>
        <row r="640">
          <cell r="T640" t="str">
            <v>IRMA LUCIA RODRIGUEZ GONZALEZ</v>
          </cell>
          <cell r="U640" t="str">
            <v>CLL 156 #21 sur - 20 ARBOLEDA CAMPESTRE</v>
          </cell>
          <cell r="V640" t="str">
            <v>Arboleda</v>
          </cell>
          <cell r="W640" t="str">
            <v>LEJANO</v>
          </cell>
          <cell r="X640">
            <v>3016382079</v>
          </cell>
          <cell r="Y640" t="str">
            <v>SUROCCIDENTE</v>
          </cell>
          <cell r="Z640"/>
          <cell r="AA640" t="str">
            <v>Ibague</v>
          </cell>
          <cell r="AB640" t="str">
            <v>Ibague</v>
          </cell>
          <cell r="AC640" t="str">
            <v>Calle 41 # 5 - 40 Barrio Restrepo</v>
          </cell>
          <cell r="AD640"/>
          <cell r="AE640">
            <v>24250</v>
          </cell>
          <cell r="AF640">
            <v>15000</v>
          </cell>
          <cell r="AG640" t="str">
            <v>12 km</v>
          </cell>
          <cell r="AH640" t="str">
            <v>25 min</v>
          </cell>
          <cell r="AI640">
            <v>15000</v>
          </cell>
          <cell r="AJ640">
            <v>15000</v>
          </cell>
          <cell r="AK640">
            <v>0</v>
          </cell>
          <cell r="AL640">
            <v>14550</v>
          </cell>
        </row>
        <row r="641">
          <cell r="T641" t="str">
            <v xml:space="preserve">Javier Mora </v>
          </cell>
          <cell r="U641" t="str">
            <v xml:space="preserve">Tranv 23 No. 7a-47 B/ la colina </v>
          </cell>
          <cell r="V641" t="str">
            <v>La Colina</v>
          </cell>
          <cell r="W641" t="str">
            <v>CERCANO</v>
          </cell>
          <cell r="X641">
            <v>3138557901</v>
          </cell>
          <cell r="Y641" t="str">
            <v>CENTRO</v>
          </cell>
          <cell r="Z641"/>
          <cell r="AA641" t="str">
            <v>Girardot</v>
          </cell>
          <cell r="AB641" t="str">
            <v>Girardot</v>
          </cell>
          <cell r="AC641" t="str">
            <v>Cra. 7 A # 31 - 54 Barrio La Magdalena</v>
          </cell>
          <cell r="AD641"/>
          <cell r="AE641">
            <v>13095</v>
          </cell>
          <cell r="AF641">
            <v>9000</v>
          </cell>
          <cell r="AG641" t="str">
            <v>3.7 km</v>
          </cell>
          <cell r="AH641" t="str">
            <v>10 min</v>
          </cell>
          <cell r="AI641">
            <v>15000</v>
          </cell>
          <cell r="AJ641">
            <v>13500</v>
          </cell>
          <cell r="AK641">
            <v>-4500</v>
          </cell>
          <cell r="AL641">
            <v>13095</v>
          </cell>
        </row>
        <row r="642">
          <cell r="T642" t="str">
            <v xml:space="preserve">Jhon Lozano </v>
          </cell>
          <cell r="U642" t="str">
            <v xml:space="preserve">Cra 9C No. 1b-36 la ceiba </v>
          </cell>
          <cell r="V642" t="str">
            <v>La Ceiba</v>
          </cell>
          <cell r="W642" t="str">
            <v>CERCANO</v>
          </cell>
          <cell r="X642">
            <v>3112737846</v>
          </cell>
          <cell r="Y642" t="str">
            <v>CENTRO</v>
          </cell>
          <cell r="Z642"/>
          <cell r="AA642" t="str">
            <v>Girardot</v>
          </cell>
          <cell r="AB642" t="str">
            <v>Girardot</v>
          </cell>
          <cell r="AC642" t="str">
            <v>Cra. 7 A # 31 - 54 Barrio La Magdalena</v>
          </cell>
          <cell r="AD642"/>
          <cell r="AE642">
            <v>13095</v>
          </cell>
          <cell r="AF642">
            <v>9000</v>
          </cell>
          <cell r="AG642" t="str">
            <v xml:space="preserve">3.5 km </v>
          </cell>
          <cell r="AH642" t="str">
            <v>9 min</v>
          </cell>
          <cell r="AI642">
            <v>15000</v>
          </cell>
          <cell r="AJ642">
            <v>13500</v>
          </cell>
          <cell r="AK642">
            <v>-4500</v>
          </cell>
          <cell r="AL642">
            <v>13095</v>
          </cell>
        </row>
        <row r="643">
          <cell r="T643" t="str">
            <v>JOHANA RINCON</v>
          </cell>
          <cell r="U643" t="str">
            <v>CALLE 3 # 1 – 35 TRIGAL DEL NORTE</v>
          </cell>
          <cell r="V643" t="str">
            <v>trigal del norte</v>
          </cell>
          <cell r="W643" t="str">
            <v>CERCANO</v>
          </cell>
          <cell r="X643" t="e">
            <v>#REF!</v>
          </cell>
          <cell r="Y643" t="str">
            <v>NORTE</v>
          </cell>
          <cell r="Z643"/>
          <cell r="AA643" t="str">
            <v>Cucuta</v>
          </cell>
          <cell r="AB643" t="str">
            <v>Cucuta</v>
          </cell>
          <cell r="AC643" t="str">
            <v>Calle 14 # 1-37 Barrio La Playa, Centro.</v>
          </cell>
          <cell r="AD643"/>
          <cell r="AE643">
            <v>13095</v>
          </cell>
          <cell r="AF643">
            <v>9000</v>
          </cell>
          <cell r="AG643" t="str">
            <v>9.4 km</v>
          </cell>
          <cell r="AH643" t="str">
            <v>20 min</v>
          </cell>
          <cell r="AI643" t="e">
            <v>#N/A</v>
          </cell>
          <cell r="AJ643">
            <v>13500</v>
          </cell>
          <cell r="AK643">
            <v>-4500</v>
          </cell>
          <cell r="AL643">
            <v>13095</v>
          </cell>
        </row>
        <row r="644">
          <cell r="T644" t="str">
            <v>JOHANIS CAMPO</v>
          </cell>
          <cell r="U644"/>
          <cell r="V644">
            <v>0</v>
          </cell>
          <cell r="W644" t="str">
            <v>CERCANO</v>
          </cell>
          <cell r="X644" t="e">
            <v>#REF!</v>
          </cell>
          <cell r="Y644" t="str">
            <v>NORTE</v>
          </cell>
          <cell r="Z644"/>
          <cell r="AA644" t="str">
            <v>Barranquilla</v>
          </cell>
          <cell r="AB644" t="str">
            <v>Unirenal</v>
          </cell>
          <cell r="AC644" t="str">
            <v>Cll.  70B # 38-152</v>
          </cell>
          <cell r="AD644"/>
          <cell r="AE644">
            <v>13095</v>
          </cell>
          <cell r="AF644">
            <v>9000</v>
          </cell>
          <cell r="AG644">
            <v>0</v>
          </cell>
          <cell r="AH644">
            <v>0</v>
          </cell>
          <cell r="AI644" t="e">
            <v>#N/A</v>
          </cell>
          <cell r="AJ644">
            <v>13500</v>
          </cell>
          <cell r="AK644">
            <v>-4500</v>
          </cell>
          <cell r="AL644">
            <v>13095</v>
          </cell>
        </row>
        <row r="645">
          <cell r="T645" t="str">
            <v xml:space="preserve">JOSE EFRAIN CASTAÑEDA SANCHEZ </v>
          </cell>
          <cell r="U645" t="str">
            <v xml:space="preserve">MA G CASA 3IBAGUE 2000 AMBALA </v>
          </cell>
          <cell r="V645" t="str">
            <v>Ibague 2000</v>
          </cell>
          <cell r="W645" t="str">
            <v>CERCANO</v>
          </cell>
          <cell r="X645" t="e">
            <v>#REF!</v>
          </cell>
          <cell r="Y645" t="str">
            <v>SUROCCIDENTE</v>
          </cell>
          <cell r="Z645"/>
          <cell r="AA645" t="str">
            <v>Ibague</v>
          </cell>
          <cell r="AB645" t="str">
            <v>Ibague</v>
          </cell>
          <cell r="AC645" t="str">
            <v>Calle 41 # 5 - 40 Barrio Restrepo</v>
          </cell>
          <cell r="AD645"/>
          <cell r="AE645">
            <v>13095</v>
          </cell>
          <cell r="AF645">
            <v>9000</v>
          </cell>
          <cell r="AG645" t="str">
            <v>4.4 km</v>
          </cell>
          <cell r="AH645" t="str">
            <v>9 min</v>
          </cell>
          <cell r="AI645" t="e">
            <v>#N/A</v>
          </cell>
          <cell r="AJ645">
            <v>13500</v>
          </cell>
          <cell r="AK645">
            <v>-4500</v>
          </cell>
          <cell r="AL645">
            <v>13095</v>
          </cell>
        </row>
        <row r="646">
          <cell r="T646" t="str">
            <v>KATERINE CAICEDO ESCOBAR</v>
          </cell>
          <cell r="U646" t="str">
            <v>CONDOMINIO SANTODOMINGO TORRE 4 APTO 208</v>
          </cell>
          <cell r="V646" t="str">
            <v>Santodomingo</v>
          </cell>
          <cell r="W646" t="str">
            <v>LEJANO</v>
          </cell>
          <cell r="X646">
            <v>3222707775</v>
          </cell>
          <cell r="Y646" t="str">
            <v>SUROCCIDENTE</v>
          </cell>
          <cell r="Z646"/>
          <cell r="AA646" t="str">
            <v>Ibague</v>
          </cell>
          <cell r="AB646" t="str">
            <v>Ibague</v>
          </cell>
          <cell r="AC646" t="str">
            <v>Calle 41 # 5 - 40 Barrio Restrepo</v>
          </cell>
          <cell r="AD646"/>
          <cell r="AE646">
            <v>24250</v>
          </cell>
          <cell r="AF646">
            <v>9000</v>
          </cell>
          <cell r="AG646" t="str">
            <v>10 km</v>
          </cell>
          <cell r="AH646" t="str">
            <v>22 min</v>
          </cell>
          <cell r="AI646">
            <v>15000</v>
          </cell>
          <cell r="AJ646">
            <v>15000</v>
          </cell>
          <cell r="AK646">
            <v>-6000</v>
          </cell>
          <cell r="AL646">
            <v>14550</v>
          </cell>
        </row>
        <row r="647">
          <cell r="T647" t="str">
            <v>LAURA PATRICIA CASAS GUERRA</v>
          </cell>
          <cell r="U647" t="str">
            <v>CRA 9 # 79 BOSQUE LARGO T2 APTO 302</v>
          </cell>
          <cell r="V647" t="str">
            <v>Bosque Largo</v>
          </cell>
          <cell r="W647" t="str">
            <v>CERCANO</v>
          </cell>
          <cell r="X647" t="e">
            <v>#REF!</v>
          </cell>
          <cell r="Y647" t="str">
            <v>SUROCCIDENTE</v>
          </cell>
          <cell r="Z647"/>
          <cell r="AA647" t="str">
            <v>Ibague</v>
          </cell>
          <cell r="AB647" t="str">
            <v>Ibague</v>
          </cell>
          <cell r="AC647" t="str">
            <v>Calle 41 # 5 - 40 Barrio Restrepo</v>
          </cell>
          <cell r="AD647"/>
          <cell r="AE647">
            <v>13095</v>
          </cell>
          <cell r="AF647">
            <v>9000</v>
          </cell>
          <cell r="AG647" t="str">
            <v>7.2 km</v>
          </cell>
          <cell r="AH647" t="str">
            <v>16 min</v>
          </cell>
          <cell r="AI647" t="e">
            <v>#N/A</v>
          </cell>
          <cell r="AJ647">
            <v>13500</v>
          </cell>
          <cell r="AK647">
            <v>-4500</v>
          </cell>
          <cell r="AL647">
            <v>13095</v>
          </cell>
        </row>
        <row r="648">
          <cell r="T648" t="str">
            <v>LEIDY GONZALEZ</v>
          </cell>
          <cell r="U648" t="str">
            <v>CALLE 46B#1C49</v>
          </cell>
          <cell r="V648" t="str">
            <v>Ciudadela 20 de Julio</v>
          </cell>
          <cell r="W648" t="str">
            <v>CERCANO</v>
          </cell>
          <cell r="X648">
            <v>3012651583</v>
          </cell>
          <cell r="Y648" t="str">
            <v>NORTE</v>
          </cell>
          <cell r="Z648"/>
          <cell r="AA648" t="str">
            <v>Barranquilla</v>
          </cell>
          <cell r="AB648" t="str">
            <v>Unirenal</v>
          </cell>
          <cell r="AC648" t="str">
            <v>Cll.  70B # 38-152</v>
          </cell>
          <cell r="AD648"/>
          <cell r="AE648">
            <v>13095</v>
          </cell>
          <cell r="AF648">
            <v>9000</v>
          </cell>
          <cell r="AG648">
            <v>0</v>
          </cell>
          <cell r="AH648">
            <v>0</v>
          </cell>
          <cell r="AI648">
            <v>15000</v>
          </cell>
          <cell r="AJ648">
            <v>13500</v>
          </cell>
          <cell r="AK648">
            <v>-4500</v>
          </cell>
          <cell r="AL648">
            <v>13095</v>
          </cell>
        </row>
        <row r="649">
          <cell r="T649" t="str">
            <v>LEYTON MENESES JUAN JOSE</v>
          </cell>
          <cell r="U649" t="str">
            <v>CALLE 69B No 27-95 apt 4a Edificio Apeninos</v>
          </cell>
          <cell r="V649" t="str">
            <v>Palermo</v>
          </cell>
          <cell r="W649" t="str">
            <v>CERCANO</v>
          </cell>
          <cell r="X649">
            <v>3156615051</v>
          </cell>
          <cell r="Y649" t="str">
            <v>SUROCCIDENTE</v>
          </cell>
          <cell r="Z649"/>
          <cell r="AA649" t="str">
            <v>Manizales</v>
          </cell>
          <cell r="AB649" t="str">
            <v>Manizales</v>
          </cell>
          <cell r="AC649" t="str">
            <v>Cra. 23 # 39 - 25 Piso 2
Antiguo Edificio Clínica Manizales
(IPS Caprecom Clínica Manizales)</v>
          </cell>
          <cell r="AD649"/>
          <cell r="AE649">
            <v>13095</v>
          </cell>
          <cell r="AF649">
            <v>9000</v>
          </cell>
          <cell r="AG649" t="str">
            <v>4.2 km</v>
          </cell>
          <cell r="AH649" t="str">
            <v>11 min</v>
          </cell>
          <cell r="AI649">
            <v>15000</v>
          </cell>
          <cell r="AJ649">
            <v>13500</v>
          </cell>
          <cell r="AK649">
            <v>-4500</v>
          </cell>
          <cell r="AL649">
            <v>13095</v>
          </cell>
        </row>
        <row r="650">
          <cell r="T650" t="str">
            <v>LICETH NATALIA GOMEZ CORTES</v>
          </cell>
          <cell r="U650" t="str">
            <v>MZ 8 CASA 20 ETAPA 1 PRADERAS DE SANTA RITA</v>
          </cell>
          <cell r="V650" t="str">
            <v>Santa Rita</v>
          </cell>
          <cell r="W650" t="str">
            <v>CERCANO</v>
          </cell>
          <cell r="X650">
            <v>3114555159</v>
          </cell>
          <cell r="Y650" t="str">
            <v>SUROCCIDENTE</v>
          </cell>
          <cell r="Z650"/>
          <cell r="AA650" t="str">
            <v>Ibague</v>
          </cell>
          <cell r="AB650" t="str">
            <v>Ibague</v>
          </cell>
          <cell r="AC650" t="str">
            <v>Calle 41 # 5 - 40 Barrio Restrepo</v>
          </cell>
          <cell r="AD650"/>
          <cell r="AE650">
            <v>13095</v>
          </cell>
          <cell r="AF650">
            <v>9000</v>
          </cell>
          <cell r="AG650" t="str">
            <v>9.2 km</v>
          </cell>
          <cell r="AH650" t="str">
            <v>15 min</v>
          </cell>
          <cell r="AI650">
            <v>15000</v>
          </cell>
          <cell r="AJ650">
            <v>13500</v>
          </cell>
          <cell r="AK650">
            <v>-4500</v>
          </cell>
          <cell r="AL650">
            <v>13095</v>
          </cell>
        </row>
        <row r="651">
          <cell r="T651" t="str">
            <v>LILIANA BARRETO</v>
          </cell>
          <cell r="U651" t="str">
            <v>CALLE 6 # 18 -59 SIGLO XX1</v>
          </cell>
          <cell r="V651" t="str">
            <v>Siglo XXI</v>
          </cell>
          <cell r="W651" t="str">
            <v>CERCANO</v>
          </cell>
          <cell r="X651" t="e">
            <v>#REF!</v>
          </cell>
          <cell r="Y651" t="str">
            <v>NORTE</v>
          </cell>
          <cell r="Z651"/>
          <cell r="AA651" t="str">
            <v>Cucuta</v>
          </cell>
          <cell r="AB651" t="str">
            <v>Cucuta</v>
          </cell>
          <cell r="AC651" t="str">
            <v>Calle 14 # 1-37 Barrio La Playa, Centro.</v>
          </cell>
          <cell r="AD651"/>
          <cell r="AE651">
            <v>13095</v>
          </cell>
          <cell r="AF651">
            <v>9000</v>
          </cell>
          <cell r="AG651" t="str">
            <v>5.2 km</v>
          </cell>
          <cell r="AH651" t="str">
            <v>12 min</v>
          </cell>
          <cell r="AI651" t="e">
            <v>#N/A</v>
          </cell>
          <cell r="AJ651">
            <v>13500</v>
          </cell>
          <cell r="AK651">
            <v>-4500</v>
          </cell>
          <cell r="AL651">
            <v>13095</v>
          </cell>
        </row>
        <row r="652">
          <cell r="T652" t="str">
            <v xml:space="preserve">Lina Torres </v>
          </cell>
          <cell r="U652" t="str">
            <v xml:space="preserve">Mz G1 casa 23 Cenderos de la acacias </v>
          </cell>
          <cell r="V652" t="str">
            <v>Cenderos de la Acacias</v>
          </cell>
          <cell r="W652" t="str">
            <v>CERCANO</v>
          </cell>
          <cell r="X652">
            <v>3006300606</v>
          </cell>
          <cell r="Y652" t="str">
            <v>CENTRO</v>
          </cell>
          <cell r="Z652"/>
          <cell r="AA652" t="str">
            <v>Girardot</v>
          </cell>
          <cell r="AB652" t="str">
            <v>Girardot</v>
          </cell>
          <cell r="AC652" t="str">
            <v>Cra. 7 A # 31 - 54 Barrio La Magdalena</v>
          </cell>
          <cell r="AD652"/>
          <cell r="AE652">
            <v>13095</v>
          </cell>
          <cell r="AF652">
            <v>9000</v>
          </cell>
          <cell r="AG652" t="str">
            <v>1.9 km</v>
          </cell>
          <cell r="AH652" t="str">
            <v>6 min</v>
          </cell>
          <cell r="AI652">
            <v>15000</v>
          </cell>
          <cell r="AJ652">
            <v>13500</v>
          </cell>
          <cell r="AK652">
            <v>-4500</v>
          </cell>
          <cell r="AL652">
            <v>13095</v>
          </cell>
        </row>
        <row r="653">
          <cell r="T653" t="str">
            <v xml:space="preserve">LOURDES </v>
          </cell>
          <cell r="U653" t="str">
            <v>CALLE 69C # 32-60 OLAYA (40 km - 1h) (palmar de varela)</v>
          </cell>
          <cell r="V653" t="str">
            <v>Alfonso Lopez-palmar de varela</v>
          </cell>
          <cell r="W653" t="str">
            <v>INTERMUNICIPAL</v>
          </cell>
          <cell r="X653">
            <v>3145919152</v>
          </cell>
          <cell r="Y653" t="str">
            <v>NORTE</v>
          </cell>
          <cell r="Z653"/>
          <cell r="AA653" t="str">
            <v>Barranquilla</v>
          </cell>
          <cell r="AB653" t="str">
            <v>Murillo</v>
          </cell>
          <cell r="AC653" t="str">
            <v>Calle 45 # 9B - 08
Barrio La Victoria</v>
          </cell>
          <cell r="AD653"/>
          <cell r="AE653">
            <v>69840</v>
          </cell>
          <cell r="AF653">
            <v>65000</v>
          </cell>
          <cell r="AG653" t="str">
            <v>5 km</v>
          </cell>
          <cell r="AH653" t="str">
            <v>16 min</v>
          </cell>
          <cell r="AI653">
            <v>18000</v>
          </cell>
          <cell r="AJ653">
            <v>16200</v>
          </cell>
          <cell r="AK653">
            <v>48800</v>
          </cell>
          <cell r="AL653">
            <v>15714</v>
          </cell>
        </row>
        <row r="654">
          <cell r="T654" t="str">
            <v>LUIS ALEJANDRO BAUTISTA MORALES</v>
          </cell>
          <cell r="U654" t="str">
            <v>CARRERA 8 # 123 - 154 TRR 8 AP 202 / CONJUNTO TREVISO</v>
          </cell>
          <cell r="V654" t="str">
            <v>Treviso</v>
          </cell>
          <cell r="W654" t="str">
            <v>CERCANO</v>
          </cell>
          <cell r="X654" t="e">
            <v>#REF!</v>
          </cell>
          <cell r="Y654" t="str">
            <v>SUROCCIDENTE</v>
          </cell>
          <cell r="Z654"/>
          <cell r="AA654" t="str">
            <v>Ibague</v>
          </cell>
          <cell r="AB654" t="str">
            <v>Ibague</v>
          </cell>
          <cell r="AC654" t="str">
            <v>Calle 41 # 5 - 40 Barrio Restrepo</v>
          </cell>
          <cell r="AD654"/>
          <cell r="AE654">
            <v>13095</v>
          </cell>
          <cell r="AF654">
            <v>9000</v>
          </cell>
          <cell r="AG654" t="str">
            <v>6.2 km</v>
          </cell>
          <cell r="AH654" t="str">
            <v>12 min</v>
          </cell>
          <cell r="AI654" t="e">
            <v>#N/A</v>
          </cell>
          <cell r="AJ654">
            <v>13500</v>
          </cell>
          <cell r="AK654">
            <v>-4500</v>
          </cell>
          <cell r="AL654">
            <v>13095</v>
          </cell>
        </row>
        <row r="655">
          <cell r="T655" t="str">
            <v>LUZ FONTALVO</v>
          </cell>
          <cell r="U655" t="str">
            <v>Cra 17 # 22 C - 21 , Barrio Simón Bolivar</v>
          </cell>
          <cell r="V655" t="str">
            <v>Simon Bolivar</v>
          </cell>
          <cell r="W655" t="str">
            <v>CERCANO</v>
          </cell>
          <cell r="X655">
            <v>3155114013</v>
          </cell>
          <cell r="Y655" t="str">
            <v>NORTE</v>
          </cell>
          <cell r="Z655"/>
          <cell r="AA655" t="str">
            <v>Valledupar</v>
          </cell>
          <cell r="AB655" t="str">
            <v>Valledupar</v>
          </cell>
          <cell r="AC655" t="str">
            <v>Carrera 7A # 28-62
Barrio 12 de Octubre</v>
          </cell>
          <cell r="AD655"/>
          <cell r="AE655">
            <v>13095</v>
          </cell>
          <cell r="AF655">
            <v>8000</v>
          </cell>
          <cell r="AG655" t="str">
            <v>1 km</v>
          </cell>
          <cell r="AH655" t="str">
            <v>3 min</v>
          </cell>
          <cell r="AI655">
            <v>15000</v>
          </cell>
          <cell r="AJ655">
            <v>13500</v>
          </cell>
          <cell r="AK655">
            <v>-5500</v>
          </cell>
          <cell r="AL655">
            <v>13095</v>
          </cell>
        </row>
        <row r="656">
          <cell r="T656" t="str">
            <v>LUZ KARIME DIAZ</v>
          </cell>
          <cell r="U656" t="str">
            <v>Calle 76e # 17b 26</v>
          </cell>
          <cell r="V656" t="str">
            <v>Los Robles/soledad</v>
          </cell>
          <cell r="W656" t="str">
            <v>INTERMUNICIPAL</v>
          </cell>
          <cell r="X656">
            <v>3024060382</v>
          </cell>
          <cell r="Y656" t="str">
            <v>NORTE</v>
          </cell>
          <cell r="Z656"/>
          <cell r="AA656" t="str">
            <v>Barranquilla</v>
          </cell>
          <cell r="AB656" t="str">
            <v>Riomar</v>
          </cell>
          <cell r="AC656" t="str">
            <v>Cra. 51 # 82-197</v>
          </cell>
          <cell r="AD656"/>
          <cell r="AE656">
            <v>39285</v>
          </cell>
          <cell r="AF656">
            <v>30000</v>
          </cell>
          <cell r="AG656">
            <v>12.9</v>
          </cell>
          <cell r="AH656">
            <v>22</v>
          </cell>
          <cell r="AI656">
            <v>20000</v>
          </cell>
          <cell r="AJ656">
            <v>18000</v>
          </cell>
          <cell r="AK656">
            <v>12000</v>
          </cell>
          <cell r="AL656">
            <v>17460</v>
          </cell>
        </row>
        <row r="657">
          <cell r="T657" t="str">
            <v xml:space="preserve">MACHADO NUÑEZ JASBLEYDI TATIANA </v>
          </cell>
          <cell r="U657" t="str">
            <v>MZ 38 Casa 2 Ciudadela Simon Bolivar Etapa 1</v>
          </cell>
          <cell r="V657" t="str">
            <v>Simon Bolivar</v>
          </cell>
          <cell r="W657" t="str">
            <v>CERCANO</v>
          </cell>
          <cell r="X657">
            <v>3102049394</v>
          </cell>
          <cell r="Y657" t="str">
            <v>SUROCCIDENTE</v>
          </cell>
          <cell r="Z657"/>
          <cell r="AA657" t="str">
            <v>Ibague</v>
          </cell>
          <cell r="AB657" t="str">
            <v>Ibague</v>
          </cell>
          <cell r="AC657" t="str">
            <v>Calle 41 # 5 - 40 Barrio Restrepo</v>
          </cell>
          <cell r="AD657"/>
          <cell r="AE657">
            <v>13095</v>
          </cell>
          <cell r="AF657">
            <v>9000</v>
          </cell>
          <cell r="AG657" t="str">
            <v>6.2 km</v>
          </cell>
          <cell r="AH657" t="str">
            <v>14 min</v>
          </cell>
          <cell r="AI657">
            <v>15000</v>
          </cell>
          <cell r="AJ657">
            <v>13500</v>
          </cell>
          <cell r="AK657">
            <v>-4500</v>
          </cell>
          <cell r="AL657">
            <v>13095</v>
          </cell>
        </row>
        <row r="658">
          <cell r="T658" t="str">
            <v>MAESTRE HASBUM NERYS TERESA</v>
          </cell>
          <cell r="U658" t="str">
            <v>CRA 19 EZ # 9C-35 BARRIO EL AMPARO</v>
          </cell>
          <cell r="V658" t="str">
            <v>El Amparo</v>
          </cell>
          <cell r="W658" t="str">
            <v>CERCANO</v>
          </cell>
          <cell r="X658" t="e">
            <v>#REF!</v>
          </cell>
          <cell r="Y658" t="str">
            <v>NORTE</v>
          </cell>
          <cell r="Z658"/>
          <cell r="AA658" t="str">
            <v>Valledupar</v>
          </cell>
          <cell r="AB658" t="str">
            <v>Valledupar</v>
          </cell>
          <cell r="AC658" t="str">
            <v>Carrera 7A # 28-62
Barrio 12 de Octubre</v>
          </cell>
          <cell r="AD658"/>
          <cell r="AE658">
            <v>13095</v>
          </cell>
          <cell r="AF658">
            <v>8000</v>
          </cell>
          <cell r="AG658" t="str">
            <v>8.6 km</v>
          </cell>
          <cell r="AH658" t="str">
            <v>15 min</v>
          </cell>
          <cell r="AI658" t="e">
            <v>#N/A</v>
          </cell>
          <cell r="AJ658">
            <v>13500</v>
          </cell>
          <cell r="AK658">
            <v>-5500</v>
          </cell>
          <cell r="AL658">
            <v>13095</v>
          </cell>
        </row>
        <row r="659">
          <cell r="T659" t="str">
            <v>MAHECHA PERALTA ERICA PAOLA</v>
          </cell>
          <cell r="U659" t="str">
            <v>Ciudadela Comfenalco Mz 37 Casa 35 2da Etapa</v>
          </cell>
          <cell r="V659" t="str">
            <v>Comfenalco</v>
          </cell>
          <cell r="W659" t="str">
            <v>CERCANO</v>
          </cell>
          <cell r="X659" t="e">
            <v>#REF!</v>
          </cell>
          <cell r="Y659" t="str">
            <v>SUROCCIDENTE</v>
          </cell>
          <cell r="Z659"/>
          <cell r="AA659" t="str">
            <v>Ibague</v>
          </cell>
          <cell r="AB659" t="str">
            <v>Ibague</v>
          </cell>
          <cell r="AC659" t="str">
            <v>Calle 41 # 5 - 40 Barrio Restrepo</v>
          </cell>
          <cell r="AD659"/>
          <cell r="AE659">
            <v>13095</v>
          </cell>
          <cell r="AF659">
            <v>9000</v>
          </cell>
          <cell r="AG659" t="str">
            <v>10.8 km</v>
          </cell>
          <cell r="AH659" t="str">
            <v>15 min</v>
          </cell>
          <cell r="AI659" t="e">
            <v>#N/A</v>
          </cell>
          <cell r="AJ659">
            <v>13500</v>
          </cell>
          <cell r="AK659">
            <v>-4500</v>
          </cell>
          <cell r="AL659">
            <v>13095</v>
          </cell>
        </row>
        <row r="660">
          <cell r="T660" t="str">
            <v xml:space="preserve">MARHTA </v>
          </cell>
          <cell r="U660" t="str">
            <v xml:space="preserve">TRANSV 1D # 64-21 VILLA LINDA </v>
          </cell>
          <cell r="V660" t="str">
            <v>Villa Linda</v>
          </cell>
          <cell r="W660" t="str">
            <v>INTERMUNICIPAL</v>
          </cell>
          <cell r="X660" t="e">
            <v>#REF!</v>
          </cell>
          <cell r="Y660" t="str">
            <v>NORTE</v>
          </cell>
          <cell r="Z660"/>
          <cell r="AA660" t="str">
            <v>Barranquilla</v>
          </cell>
          <cell r="AB660" t="str">
            <v>Murillo</v>
          </cell>
          <cell r="AC660" t="str">
            <v>Calle 45 # 9B - 08
Barrio La Victoria</v>
          </cell>
          <cell r="AD660"/>
          <cell r="AE660">
            <v>15714</v>
          </cell>
          <cell r="AF660">
            <v>11000</v>
          </cell>
          <cell r="AG660" t="str">
            <v>5 km</v>
          </cell>
          <cell r="AH660" t="str">
            <v>14 min</v>
          </cell>
          <cell r="AI660" t="e">
            <v>#N/A</v>
          </cell>
          <cell r="AJ660">
            <v>16200</v>
          </cell>
          <cell r="AK660">
            <v>-5200</v>
          </cell>
          <cell r="AL660">
            <v>15714</v>
          </cell>
        </row>
        <row r="661">
          <cell r="T661" t="str">
            <v xml:space="preserve">Maria Del Carmen Sanchez </v>
          </cell>
          <cell r="U661" t="str">
            <v xml:space="preserve">Mz 30 casa 27 B/ Quintas de Flandes </v>
          </cell>
          <cell r="V661" t="str">
            <v>Quintas</v>
          </cell>
          <cell r="W661" t="str">
            <v>CERCANO</v>
          </cell>
          <cell r="X661">
            <v>3213600392</v>
          </cell>
          <cell r="Y661" t="str">
            <v>CENTRO</v>
          </cell>
          <cell r="Z661"/>
          <cell r="AA661" t="str">
            <v>Girardot</v>
          </cell>
          <cell r="AB661" t="str">
            <v>Girardot</v>
          </cell>
          <cell r="AC661" t="str">
            <v>Cra. 7 A # 31 - 54 Barrio La Magdalena</v>
          </cell>
          <cell r="AD661"/>
          <cell r="AE661">
            <v>13095</v>
          </cell>
          <cell r="AF661">
            <v>9000</v>
          </cell>
          <cell r="AG661" t="str">
            <v>4.2 km</v>
          </cell>
          <cell r="AH661" t="str">
            <v>10 min</v>
          </cell>
          <cell r="AI661">
            <v>15000</v>
          </cell>
          <cell r="AJ661">
            <v>13500</v>
          </cell>
          <cell r="AK661">
            <v>-4500</v>
          </cell>
          <cell r="AL661">
            <v>13095</v>
          </cell>
        </row>
        <row r="662">
          <cell r="T662" t="str">
            <v>MARIBEL</v>
          </cell>
          <cell r="U662" t="str">
            <v xml:space="preserve">CARRERA 7F # 44-33 ALBORAYA </v>
          </cell>
          <cell r="V662" t="str">
            <v>Alboraya</v>
          </cell>
          <cell r="W662" t="str">
            <v>CERCANO</v>
          </cell>
          <cell r="X662">
            <v>3004080106</v>
          </cell>
          <cell r="Y662" t="str">
            <v>NORTE</v>
          </cell>
          <cell r="Z662"/>
          <cell r="AA662" t="str">
            <v>Barranquilla</v>
          </cell>
          <cell r="AB662" t="str">
            <v>Murillo</v>
          </cell>
          <cell r="AC662" t="str">
            <v>Calle 45 # 9B - 08
Barrio La Victoria</v>
          </cell>
          <cell r="AD662"/>
          <cell r="AE662">
            <v>10670</v>
          </cell>
          <cell r="AF662">
            <v>9000</v>
          </cell>
          <cell r="AG662" t="str">
            <v>800 metros</v>
          </cell>
          <cell r="AH662" t="str">
            <v>4 min</v>
          </cell>
          <cell r="AI662">
            <v>11000</v>
          </cell>
          <cell r="AJ662">
            <v>11000</v>
          </cell>
          <cell r="AK662">
            <v>-2000</v>
          </cell>
          <cell r="AL662">
            <v>10670</v>
          </cell>
        </row>
        <row r="663">
          <cell r="T663" t="str">
            <v>MARLA CABALLERO</v>
          </cell>
          <cell r="U663" t="str">
            <v>KRA 43B#82&amp;2</v>
          </cell>
          <cell r="V663" t="str">
            <v>El Tabor</v>
          </cell>
          <cell r="W663" t="str">
            <v>CERCANO</v>
          </cell>
          <cell r="X663">
            <v>3142384570</v>
          </cell>
          <cell r="Y663" t="str">
            <v>NORTE</v>
          </cell>
          <cell r="Z663"/>
          <cell r="AA663" t="str">
            <v>Barranquilla</v>
          </cell>
          <cell r="AB663" t="str">
            <v>Unirenal</v>
          </cell>
          <cell r="AC663" t="str">
            <v>Cll.  70B # 38-152</v>
          </cell>
          <cell r="AD663"/>
          <cell r="AE663">
            <v>13095</v>
          </cell>
          <cell r="AF663">
            <v>9000</v>
          </cell>
          <cell r="AG663" t="str">
            <v>3.2 km</v>
          </cell>
          <cell r="AH663" t="str">
            <v>10 min</v>
          </cell>
          <cell r="AI663">
            <v>15000</v>
          </cell>
          <cell r="AJ663">
            <v>13500</v>
          </cell>
          <cell r="AK663">
            <v>-4500</v>
          </cell>
          <cell r="AL663">
            <v>13095</v>
          </cell>
        </row>
        <row r="664">
          <cell r="T664" t="str">
            <v xml:space="preserve">MARLEDY RUIZ </v>
          </cell>
          <cell r="U664" t="str">
            <v>CRA 38D # 4C - 63 BARRIO SANTA ISABEL</v>
          </cell>
          <cell r="V664" t="str">
            <v>Santa Isabel</v>
          </cell>
          <cell r="W664" t="str">
            <v>CERCANO</v>
          </cell>
          <cell r="X664">
            <v>3043938620</v>
          </cell>
          <cell r="Y664" t="str">
            <v>SUROCCIDENTE</v>
          </cell>
          <cell r="Z664"/>
          <cell r="AA664" t="str">
            <v>Cali</v>
          </cell>
          <cell r="AB664" t="str">
            <v>Imbanaco</v>
          </cell>
          <cell r="AC664" t="str">
            <v>Cll. 5B 4  # 38 -123</v>
          </cell>
          <cell r="AD664"/>
          <cell r="AE664">
            <v>13095</v>
          </cell>
          <cell r="AF664">
            <v>9000</v>
          </cell>
          <cell r="AG664" t="str">
            <v>2.1 km</v>
          </cell>
          <cell r="AH664" t="str">
            <v>6 min</v>
          </cell>
          <cell r="AI664">
            <v>15000</v>
          </cell>
          <cell r="AJ664">
            <v>13500</v>
          </cell>
          <cell r="AK664">
            <v>-4500</v>
          </cell>
          <cell r="AL664">
            <v>13095</v>
          </cell>
        </row>
        <row r="665">
          <cell r="T665" t="str">
            <v>MARTHA DELGADO</v>
          </cell>
          <cell r="U665" t="str">
            <v>KRA 2A#38B-169</v>
          </cell>
          <cell r="V665" t="str">
            <v>El Galan</v>
          </cell>
          <cell r="W665" t="str">
            <v>CERCANO</v>
          </cell>
          <cell r="X665">
            <v>3107079173</v>
          </cell>
          <cell r="Y665" t="str">
            <v>NORTE</v>
          </cell>
          <cell r="Z665"/>
          <cell r="AA665" t="str">
            <v>Barranquilla</v>
          </cell>
          <cell r="AB665" t="str">
            <v>Unirenal</v>
          </cell>
          <cell r="AC665" t="str">
            <v>Cll.  70B # 38-152</v>
          </cell>
          <cell r="AD665"/>
          <cell r="AE665">
            <v>13095</v>
          </cell>
          <cell r="AF665">
            <v>9000</v>
          </cell>
          <cell r="AG665">
            <v>0</v>
          </cell>
          <cell r="AH665">
            <v>0</v>
          </cell>
          <cell r="AI665">
            <v>15000</v>
          </cell>
          <cell r="AJ665">
            <v>13500</v>
          </cell>
          <cell r="AK665">
            <v>-4500</v>
          </cell>
          <cell r="AL665">
            <v>13095</v>
          </cell>
        </row>
        <row r="666">
          <cell r="T666" t="str">
            <v>MARTINEZ ABAD INMACULADA CONCEPCION</v>
          </cell>
          <cell r="U666" t="str">
            <v>Mz 11 Casa 3a La Castellana</v>
          </cell>
          <cell r="V666" t="str">
            <v>La Castellana</v>
          </cell>
          <cell r="W666" t="str">
            <v>LEJANO</v>
          </cell>
          <cell r="X666">
            <v>3174375457</v>
          </cell>
          <cell r="Y666" t="str">
            <v>NORTE</v>
          </cell>
          <cell r="Z666"/>
          <cell r="AA666" t="str">
            <v>Valledupar</v>
          </cell>
          <cell r="AB666" t="str">
            <v>Valledupar</v>
          </cell>
          <cell r="AC666" t="str">
            <v>Carrera 7A # 28-62
Barrio 12 de Octubre</v>
          </cell>
          <cell r="AD666"/>
          <cell r="AE666">
            <v>19400</v>
          </cell>
          <cell r="AF666">
            <v>15000</v>
          </cell>
          <cell r="AG666" t="str">
            <v>12.6 km</v>
          </cell>
          <cell r="AH666" t="str">
            <v>22 min</v>
          </cell>
          <cell r="AI666">
            <v>20000</v>
          </cell>
          <cell r="AJ666">
            <v>20000</v>
          </cell>
          <cell r="AK666">
            <v>-5000</v>
          </cell>
          <cell r="AL666">
            <v>19400</v>
          </cell>
        </row>
        <row r="667">
          <cell r="T667" t="str">
            <v>MARTINEZ BORDA GILSON FABIAN</v>
          </cell>
          <cell r="U667" t="str">
            <v>AUXILIAR DE ENFERMERIA</v>
          </cell>
          <cell r="V667" t="str">
            <v>Nazareth</v>
          </cell>
          <cell r="W667" t="str">
            <v>CERCANO</v>
          </cell>
          <cell r="X667" t="e">
            <v>#REF!</v>
          </cell>
          <cell r="Y667" t="str">
            <v>CENTRO</v>
          </cell>
          <cell r="Z667"/>
          <cell r="AA667" t="str">
            <v>Tunja</v>
          </cell>
          <cell r="AB667" t="str">
            <v>Tunja</v>
          </cell>
          <cell r="AC667" t="str">
            <v>Carrera 1B N 46A 18 Urb. Manolete</v>
          </cell>
          <cell r="AD667"/>
          <cell r="AE667">
            <v>13095</v>
          </cell>
          <cell r="AF667">
            <v>9000</v>
          </cell>
          <cell r="AG667" t="str">
            <v>5.1 km</v>
          </cell>
          <cell r="AH667" t="str">
            <v>9 min</v>
          </cell>
          <cell r="AI667" t="e">
            <v>#N/A</v>
          </cell>
          <cell r="AJ667">
            <v>13500</v>
          </cell>
          <cell r="AK667">
            <v>-4500</v>
          </cell>
          <cell r="AL667">
            <v>13095</v>
          </cell>
        </row>
        <row r="668">
          <cell r="T668" t="str">
            <v>MASIAS KURE KAROL JANEN</v>
          </cell>
          <cell r="U668" t="str">
            <v xml:space="preserve">Calle 56 # 2BN - 43 B/ los alamos </v>
          </cell>
          <cell r="V668" t="str">
            <v>Los Alamos</v>
          </cell>
          <cell r="W668" t="str">
            <v>CERCANO</v>
          </cell>
          <cell r="X668">
            <v>3104675126</v>
          </cell>
          <cell r="Y668" t="str">
            <v>SUROCCIDENTE</v>
          </cell>
          <cell r="Z668"/>
          <cell r="AA668" t="str">
            <v>Cali</v>
          </cell>
          <cell r="AB668" t="str">
            <v>Imbanaco</v>
          </cell>
          <cell r="AC668" t="str">
            <v>Cll. 5B 4  # 38 -123</v>
          </cell>
          <cell r="AD668"/>
          <cell r="AE668">
            <v>13095</v>
          </cell>
          <cell r="AF668">
            <v>9000</v>
          </cell>
          <cell r="AG668" t="str">
            <v>9.3 km</v>
          </cell>
          <cell r="AH668" t="str">
            <v>18 min</v>
          </cell>
          <cell r="AI668">
            <v>15000</v>
          </cell>
          <cell r="AJ668">
            <v>13500</v>
          </cell>
          <cell r="AK668">
            <v>-4500</v>
          </cell>
          <cell r="AL668">
            <v>13095</v>
          </cell>
        </row>
        <row r="669">
          <cell r="T669" t="str">
            <v xml:space="preserve">MAX DEVIA ERICA VICTORIA </v>
          </cell>
          <cell r="U669" t="str">
            <v>Calle 3 No. 7-29 Apto 1 Barrio Belen</v>
          </cell>
          <cell r="V669" t="str">
            <v>Belen</v>
          </cell>
          <cell r="W669" t="str">
            <v>CERCANO</v>
          </cell>
          <cell r="X669">
            <v>3223066546</v>
          </cell>
          <cell r="Y669" t="str">
            <v>SUROCCIDENTE</v>
          </cell>
          <cell r="Z669"/>
          <cell r="AA669" t="str">
            <v>Ibague</v>
          </cell>
          <cell r="AB669" t="str">
            <v>Ibague</v>
          </cell>
          <cell r="AC669" t="str">
            <v>Calle 41 # 5 - 40 Barrio Restrepo</v>
          </cell>
          <cell r="AD669"/>
          <cell r="AE669">
            <v>13095</v>
          </cell>
          <cell r="AF669">
            <v>9000</v>
          </cell>
          <cell r="AG669" t="str">
            <v>4.3 km</v>
          </cell>
          <cell r="AH669" t="str">
            <v>10 min</v>
          </cell>
          <cell r="AI669">
            <v>15000</v>
          </cell>
          <cell r="AJ669">
            <v>13500</v>
          </cell>
          <cell r="AK669">
            <v>-4500</v>
          </cell>
          <cell r="AL669">
            <v>13095</v>
          </cell>
        </row>
        <row r="670">
          <cell r="T670" t="str">
            <v>MEDINA SAENZ OLGA LUCIA</v>
          </cell>
          <cell r="U670" t="str">
            <v>Manzana 19 Casa 18 II Etapa Villa Café</v>
          </cell>
          <cell r="V670" t="str">
            <v>Villa Cafe</v>
          </cell>
          <cell r="W670" t="str">
            <v>CERCANO</v>
          </cell>
          <cell r="X670" t="str">
            <v>2675691 - 3168669583</v>
          </cell>
          <cell r="Y670" t="str">
            <v>SUROCCIDENTE</v>
          </cell>
          <cell r="Z670"/>
          <cell r="AA670" t="str">
            <v>Ibague</v>
          </cell>
          <cell r="AB670" t="str">
            <v>Ibague</v>
          </cell>
          <cell r="AC670" t="str">
            <v>Calle 41 # 5 - 40 Barrio Restrepo</v>
          </cell>
          <cell r="AD670"/>
          <cell r="AE670">
            <v>13095</v>
          </cell>
          <cell r="AF670">
            <v>9000</v>
          </cell>
          <cell r="AG670" t="str">
            <v>4.9 km</v>
          </cell>
          <cell r="AH670" t="str">
            <v>9 min</v>
          </cell>
          <cell r="AI670">
            <v>15000</v>
          </cell>
          <cell r="AJ670">
            <v>13500</v>
          </cell>
          <cell r="AK670">
            <v>-4500</v>
          </cell>
          <cell r="AL670">
            <v>13095</v>
          </cell>
        </row>
        <row r="671">
          <cell r="T671" t="str">
            <v xml:space="preserve">MEGY NAVARRO </v>
          </cell>
          <cell r="U671" t="str">
            <v>CALLE 12#14C-04</v>
          </cell>
          <cell r="V671" t="str">
            <v>Soledad 2000</v>
          </cell>
          <cell r="W671" t="str">
            <v>INTERMUNICIPAL</v>
          </cell>
          <cell r="X671">
            <v>3003926639</v>
          </cell>
          <cell r="Y671" t="str">
            <v>NORTE</v>
          </cell>
          <cell r="Z671"/>
          <cell r="AA671" t="str">
            <v>Barranquilla</v>
          </cell>
          <cell r="AB671" t="str">
            <v>Unirenal</v>
          </cell>
          <cell r="AC671" t="str">
            <v>Cll.  70B # 38-152</v>
          </cell>
          <cell r="AD671"/>
          <cell r="AE671">
            <v>39285</v>
          </cell>
          <cell r="AF671">
            <v>30000</v>
          </cell>
          <cell r="AG671" t="str">
            <v>12.4 km</v>
          </cell>
          <cell r="AH671" t="str">
            <v>30 min</v>
          </cell>
          <cell r="AI671">
            <v>45000</v>
          </cell>
          <cell r="AJ671">
            <v>40500</v>
          </cell>
          <cell r="AK671">
            <v>-10500</v>
          </cell>
          <cell r="AL671">
            <v>39285</v>
          </cell>
        </row>
        <row r="672">
          <cell r="T672" t="str">
            <v xml:space="preserve">Mercedes Bocanegra </v>
          </cell>
          <cell r="U672" t="str">
            <v xml:space="preserve">Tranv 9 # 44-27 B/ Portachuelo Condominio Atlantis </v>
          </cell>
          <cell r="V672" t="str">
            <v>Portachuelo</v>
          </cell>
          <cell r="W672" t="str">
            <v>CERCANO</v>
          </cell>
          <cell r="X672">
            <v>3204659738</v>
          </cell>
          <cell r="Y672" t="str">
            <v>CENTRO</v>
          </cell>
          <cell r="Z672"/>
          <cell r="AA672" t="str">
            <v>Girardot</v>
          </cell>
          <cell r="AB672" t="str">
            <v>Girardot</v>
          </cell>
          <cell r="AC672" t="str">
            <v>Cra. 7 A # 31 - 54 Barrio La Magdalena</v>
          </cell>
          <cell r="AD672"/>
          <cell r="AE672">
            <v>13095</v>
          </cell>
          <cell r="AF672">
            <v>9000</v>
          </cell>
          <cell r="AG672" t="str">
            <v>1.8 km</v>
          </cell>
          <cell r="AH672" t="str">
            <v>5 min</v>
          </cell>
          <cell r="AI672">
            <v>15000</v>
          </cell>
          <cell r="AJ672">
            <v>13500</v>
          </cell>
          <cell r="AK672">
            <v>-4500</v>
          </cell>
          <cell r="AL672">
            <v>13095</v>
          </cell>
        </row>
        <row r="673">
          <cell r="T673" t="str">
            <v xml:space="preserve">Miguel Morales </v>
          </cell>
          <cell r="U673" t="str">
            <v xml:space="preserve">Cra 9a # 35-04 la paz flandes </v>
          </cell>
          <cell r="V673" t="str">
            <v>La Paz</v>
          </cell>
          <cell r="W673" t="str">
            <v>CERCANO</v>
          </cell>
          <cell r="X673">
            <v>3213902923</v>
          </cell>
          <cell r="Y673" t="str">
            <v>CENTRO</v>
          </cell>
          <cell r="Z673"/>
          <cell r="AA673" t="str">
            <v>Girardot</v>
          </cell>
          <cell r="AB673" t="str">
            <v>Girardot</v>
          </cell>
          <cell r="AC673" t="str">
            <v>Cra. 7 A # 31 - 54 Barrio La Magdalena</v>
          </cell>
          <cell r="AD673"/>
          <cell r="AE673">
            <v>13095</v>
          </cell>
          <cell r="AF673">
            <v>9000</v>
          </cell>
          <cell r="AG673" t="str">
            <v>4.2 km</v>
          </cell>
          <cell r="AH673" t="str">
            <v>10 min</v>
          </cell>
          <cell r="AI673">
            <v>15000</v>
          </cell>
          <cell r="AJ673">
            <v>13500</v>
          </cell>
          <cell r="AK673">
            <v>-4500</v>
          </cell>
          <cell r="AL673">
            <v>13095</v>
          </cell>
        </row>
        <row r="674">
          <cell r="T674" t="str">
            <v>MILAGROS FONTALVO</v>
          </cell>
          <cell r="U674" t="str">
            <v>CRA 5A # 41B 27 LA MAGDALENA</v>
          </cell>
          <cell r="V674" t="str">
            <v>La Magdalena</v>
          </cell>
          <cell r="W674" t="str">
            <v>LEJANO</v>
          </cell>
          <cell r="X674">
            <v>3004355467</v>
          </cell>
          <cell r="Y674" t="str">
            <v>NORTE</v>
          </cell>
          <cell r="Z674"/>
          <cell r="AA674" t="str">
            <v>Barranquilla</v>
          </cell>
          <cell r="AB674" t="str">
            <v>Riomar</v>
          </cell>
          <cell r="AC674" t="str">
            <v>Cra. 51 # 82-197</v>
          </cell>
          <cell r="AD674"/>
          <cell r="AE674">
            <v>17460</v>
          </cell>
          <cell r="AF674">
            <v>9000</v>
          </cell>
          <cell r="AG674" t="str">
            <v>16.2 km</v>
          </cell>
          <cell r="AH674" t="str">
            <v>29 min</v>
          </cell>
          <cell r="AI674">
            <v>20000</v>
          </cell>
          <cell r="AJ674">
            <v>18000</v>
          </cell>
          <cell r="AK674">
            <v>-9000</v>
          </cell>
          <cell r="AL674">
            <v>17460</v>
          </cell>
        </row>
        <row r="675">
          <cell r="T675" t="str">
            <v>MOLINA REDONDO ISAREMA</v>
          </cell>
          <cell r="U675" t="str">
            <v>CRA 30C # 18 BIS - 06 BARRIO MANANTIAL</v>
          </cell>
          <cell r="V675" t="str">
            <v>Manantial</v>
          </cell>
          <cell r="W675" t="str">
            <v>CERCANO</v>
          </cell>
          <cell r="X675">
            <v>3104938356</v>
          </cell>
          <cell r="Y675" t="str">
            <v>NORTE</v>
          </cell>
          <cell r="Z675"/>
          <cell r="AA675" t="str">
            <v>Valledupar</v>
          </cell>
          <cell r="AB675" t="str">
            <v>Valledupar</v>
          </cell>
          <cell r="AC675" t="str">
            <v>Carrera 7A # 28-62
Barrio 12 de Octubre</v>
          </cell>
          <cell r="AD675"/>
          <cell r="AE675">
            <v>13095</v>
          </cell>
          <cell r="AF675">
            <v>8000</v>
          </cell>
          <cell r="AG675" t="str">
            <v>5 km</v>
          </cell>
          <cell r="AH675" t="str">
            <v>9 min</v>
          </cell>
          <cell r="AI675">
            <v>15000</v>
          </cell>
          <cell r="AJ675">
            <v>13500</v>
          </cell>
          <cell r="AK675">
            <v>-5500</v>
          </cell>
          <cell r="AL675">
            <v>13095</v>
          </cell>
        </row>
        <row r="676">
          <cell r="T676" t="str">
            <v>MONICA ESCALANTE</v>
          </cell>
          <cell r="U676" t="str">
            <v>KRA13B#51-28</v>
          </cell>
          <cell r="V676" t="str">
            <v>Ciudadela Real Del Caribe</v>
          </cell>
          <cell r="W676" t="str">
            <v>INTERMUNICIPAL</v>
          </cell>
          <cell r="X676">
            <v>3003923165</v>
          </cell>
          <cell r="Y676" t="str">
            <v>NORTE</v>
          </cell>
          <cell r="Z676"/>
          <cell r="AA676" t="str">
            <v>Barranquilla</v>
          </cell>
          <cell r="AB676" t="str">
            <v>Unirenal</v>
          </cell>
          <cell r="AC676" t="str">
            <v>Cll.  70B # 38-152</v>
          </cell>
          <cell r="AD676"/>
          <cell r="AE676">
            <v>39285</v>
          </cell>
          <cell r="AF676">
            <v>30000</v>
          </cell>
          <cell r="AG676" t="str">
            <v>18.2 km</v>
          </cell>
          <cell r="AH676" t="str">
            <v>36 min</v>
          </cell>
          <cell r="AI676">
            <v>45000</v>
          </cell>
          <cell r="AJ676">
            <v>40500</v>
          </cell>
          <cell r="AK676">
            <v>-10500</v>
          </cell>
          <cell r="AL676">
            <v>39285</v>
          </cell>
        </row>
        <row r="677">
          <cell r="T677" t="str">
            <v xml:space="preserve">MONICA SILVA CABRERA </v>
          </cell>
          <cell r="U677" t="str">
            <v>CONJUNTO RES ALTAGRACIA Cra 8 sur No.93-65 TORR1 APT 502</v>
          </cell>
          <cell r="V677" t="str">
            <v>Ricaurte</v>
          </cell>
          <cell r="W677" t="str">
            <v>CERCANO</v>
          </cell>
          <cell r="X677" t="e">
            <v>#REF!</v>
          </cell>
          <cell r="Y677" t="str">
            <v>SUROCCIDENTE</v>
          </cell>
          <cell r="Z677"/>
          <cell r="AA677" t="str">
            <v>Ibague</v>
          </cell>
          <cell r="AB677" t="str">
            <v>Ibague</v>
          </cell>
          <cell r="AC677" t="str">
            <v>Calle 41 # 5 - 40 Barrio Restrepo</v>
          </cell>
          <cell r="AD677"/>
          <cell r="AE677">
            <v>13095</v>
          </cell>
          <cell r="AF677">
            <v>9000</v>
          </cell>
          <cell r="AG677" t="str">
            <v>4.8 km</v>
          </cell>
          <cell r="AH677" t="str">
            <v>12 min</v>
          </cell>
          <cell r="AI677" t="e">
            <v>#N/A</v>
          </cell>
          <cell r="AJ677">
            <v>13500</v>
          </cell>
          <cell r="AK677">
            <v>-4500</v>
          </cell>
          <cell r="AL677">
            <v>13095</v>
          </cell>
        </row>
        <row r="678">
          <cell r="T678" t="str">
            <v>MONTES DELGADO ARIADNIS YULEIMIS</v>
          </cell>
          <cell r="U678" t="str">
            <v>MZ64 CASA 14 CIUDADELA 450 AÑOS 2 ETAPA</v>
          </cell>
          <cell r="V678" t="str">
            <v>Ciudadela 450</v>
          </cell>
          <cell r="W678" t="str">
            <v>CERCANO</v>
          </cell>
          <cell r="X678">
            <v>3227284653</v>
          </cell>
          <cell r="Y678" t="str">
            <v>NORTE</v>
          </cell>
          <cell r="Z678"/>
          <cell r="AA678" t="str">
            <v>Valledupar</v>
          </cell>
          <cell r="AB678" t="str">
            <v>Valledupar</v>
          </cell>
          <cell r="AC678" t="str">
            <v>Carrera 7A # 28-62
Barrio 12 de Octubre</v>
          </cell>
          <cell r="AD678"/>
          <cell r="AE678">
            <v>13095</v>
          </cell>
          <cell r="AF678">
            <v>8000</v>
          </cell>
          <cell r="AG678" t="str">
            <v>6.2 km</v>
          </cell>
          <cell r="AH678" t="str">
            <v>14 min</v>
          </cell>
          <cell r="AI678">
            <v>15000</v>
          </cell>
          <cell r="AJ678">
            <v>13500</v>
          </cell>
          <cell r="AK678">
            <v>-5500</v>
          </cell>
          <cell r="AL678">
            <v>13095</v>
          </cell>
        </row>
        <row r="679">
          <cell r="T679" t="str">
            <v>MONTOYA OCAMPO DIANA YANETH</v>
          </cell>
          <cell r="U679" t="str">
            <v>Calle 105f # 27 - 08 conjunto residencial bosques de la enea</v>
          </cell>
          <cell r="V679" t="str">
            <v>La Enea</v>
          </cell>
          <cell r="W679" t="str">
            <v>INTERMUNICIPAL</v>
          </cell>
          <cell r="X679">
            <v>3164468195</v>
          </cell>
          <cell r="Y679" t="str">
            <v>SUROCCIDENTE</v>
          </cell>
          <cell r="Z679"/>
          <cell r="AA679" t="str">
            <v>Manizales</v>
          </cell>
          <cell r="AB679" t="str">
            <v>Manizales</v>
          </cell>
          <cell r="AC679" t="str">
            <v>Cra. 23 # 39 - 25 Piso 2
Antiguo Edificio Clínica Manizales
(IPS Caprecom Clínica Manizales)</v>
          </cell>
          <cell r="AD679"/>
          <cell r="AE679">
            <v>30555</v>
          </cell>
          <cell r="AF679">
            <v>30000</v>
          </cell>
          <cell r="AG679" t="str">
            <v>15 km</v>
          </cell>
          <cell r="AH679" t="str">
            <v>25 min</v>
          </cell>
          <cell r="AI679">
            <v>20000</v>
          </cell>
          <cell r="AJ679">
            <v>18000</v>
          </cell>
          <cell r="AK679">
            <v>12000</v>
          </cell>
          <cell r="AL679">
            <v>17460</v>
          </cell>
        </row>
        <row r="680">
          <cell r="T680" t="str">
            <v>MORA PINZON ADRIANA PATRICIA</v>
          </cell>
          <cell r="U680" t="str">
            <v>JEFE DE ENFERMERIA</v>
          </cell>
          <cell r="V680" t="str">
            <v>La Fuente</v>
          </cell>
          <cell r="W680" t="str">
            <v>CERCANO</v>
          </cell>
          <cell r="X680" t="e">
            <v>#REF!</v>
          </cell>
          <cell r="Y680" t="str">
            <v>CENTRO</v>
          </cell>
          <cell r="Z680"/>
          <cell r="AA680" t="str">
            <v>Tunja</v>
          </cell>
          <cell r="AB680" t="str">
            <v>Tunja</v>
          </cell>
          <cell r="AC680" t="str">
            <v>Carrera 1B N 46A 18 Urb. Manolete</v>
          </cell>
          <cell r="AD680"/>
          <cell r="AE680">
            <v>13095</v>
          </cell>
          <cell r="AF680">
            <v>9000</v>
          </cell>
          <cell r="AG680" t="str">
            <v>2.7 km</v>
          </cell>
          <cell r="AH680" t="str">
            <v>7 min</v>
          </cell>
          <cell r="AI680" t="e">
            <v>#N/A</v>
          </cell>
          <cell r="AJ680">
            <v>13500</v>
          </cell>
          <cell r="AK680">
            <v>-4500</v>
          </cell>
          <cell r="AL680">
            <v>13095</v>
          </cell>
        </row>
        <row r="681">
          <cell r="T681" t="str">
            <v>MORALES MARTINEZ BELKYS SULAY</v>
          </cell>
          <cell r="U681" t="str">
            <v>Cra 29 # 25 - 94 Soledad</v>
          </cell>
          <cell r="V681" t="str">
            <v>Ciudadela 20 de Julio-soledad</v>
          </cell>
          <cell r="W681" t="str">
            <v>INTERMUNICIPAL</v>
          </cell>
          <cell r="X681">
            <v>3013723061</v>
          </cell>
          <cell r="Y681" t="str">
            <v>NORTE</v>
          </cell>
          <cell r="Z681"/>
          <cell r="AA681" t="str">
            <v>Barranquilla</v>
          </cell>
          <cell r="AB681" t="str">
            <v>Riomar</v>
          </cell>
          <cell r="AC681" t="str">
            <v>Cra. 51 # 82-197</v>
          </cell>
          <cell r="AD681"/>
          <cell r="AE681">
            <v>39285</v>
          </cell>
          <cell r="AF681">
            <v>30000</v>
          </cell>
          <cell r="AG681" t="str">
            <v>17.7 km</v>
          </cell>
          <cell r="AH681" t="str">
            <v>30 min</v>
          </cell>
          <cell r="AI681">
            <v>45000</v>
          </cell>
          <cell r="AJ681">
            <v>40500</v>
          </cell>
          <cell r="AK681">
            <v>-10500</v>
          </cell>
          <cell r="AL681">
            <v>39285</v>
          </cell>
        </row>
        <row r="682">
          <cell r="T682" t="str">
            <v>MORENO SANTOS ANGELA LIZETH</v>
          </cell>
          <cell r="U682" t="str">
            <v>KRA 16 No. 27a-13</v>
          </cell>
          <cell r="V682" t="str">
            <v>La Paz</v>
          </cell>
          <cell r="W682" t="str">
            <v>CERCANO</v>
          </cell>
          <cell r="X682" t="e">
            <v>#REF!</v>
          </cell>
          <cell r="Y682" t="str">
            <v>CENTRO</v>
          </cell>
          <cell r="Z682"/>
          <cell r="AA682" t="str">
            <v>Duitama</v>
          </cell>
          <cell r="AB682" t="str">
            <v>Duitama</v>
          </cell>
          <cell r="AC682" t="str">
            <v>Calle 9 # 36 - 24 Barrio Sausalito</v>
          </cell>
          <cell r="AD682"/>
          <cell r="AE682">
            <v>13095</v>
          </cell>
          <cell r="AF682">
            <v>9000</v>
          </cell>
          <cell r="AG682" t="str">
            <v>3 km</v>
          </cell>
          <cell r="AH682" t="str">
            <v>11 min</v>
          </cell>
          <cell r="AI682" t="e">
            <v>#N/A</v>
          </cell>
          <cell r="AJ682">
            <v>13500</v>
          </cell>
          <cell r="AK682">
            <v>-4500</v>
          </cell>
          <cell r="AL682">
            <v>13095</v>
          </cell>
        </row>
        <row r="683">
          <cell r="T683" t="str">
            <v>MURCIA MORENO DIEGO</v>
          </cell>
          <cell r="U683" t="str">
            <v xml:space="preserve">Fortaleza 2 Torre F Apartamento 11-05 </v>
          </cell>
          <cell r="V683" t="str">
            <v>Fortaleza 2</v>
          </cell>
          <cell r="W683" t="str">
            <v>CERCANO</v>
          </cell>
          <cell r="X683">
            <v>3015559742</v>
          </cell>
          <cell r="Y683" t="str">
            <v>SUROCCIDENTE</v>
          </cell>
          <cell r="Z683"/>
          <cell r="AA683" t="str">
            <v>Ibague</v>
          </cell>
          <cell r="AB683" t="str">
            <v>Ibague</v>
          </cell>
          <cell r="AC683" t="str">
            <v>Calle 41 # 5 - 40 Barrio Restrepo</v>
          </cell>
          <cell r="AD683"/>
          <cell r="AE683">
            <v>13095</v>
          </cell>
          <cell r="AF683">
            <v>9000</v>
          </cell>
          <cell r="AG683" t="str">
            <v>6.3 km</v>
          </cell>
          <cell r="AH683" t="str">
            <v>12 min</v>
          </cell>
          <cell r="AI683">
            <v>15000</v>
          </cell>
          <cell r="AJ683">
            <v>13500</v>
          </cell>
          <cell r="AK683">
            <v>-4500</v>
          </cell>
          <cell r="AL683">
            <v>13095</v>
          </cell>
        </row>
        <row r="684">
          <cell r="T684" t="str">
            <v>NADYN DAZA</v>
          </cell>
          <cell r="U684" t="str">
            <v>CALLE4#9-128</v>
          </cell>
          <cell r="V684" t="str">
            <v>7 de Abril</v>
          </cell>
          <cell r="W684" t="str">
            <v>CERCANO</v>
          </cell>
          <cell r="X684" t="e">
            <v>#REF!</v>
          </cell>
          <cell r="Y684" t="str">
            <v>NORTE</v>
          </cell>
          <cell r="Z684"/>
          <cell r="AA684" t="str">
            <v>Barranquilla</v>
          </cell>
          <cell r="AB684" t="str">
            <v>Unirenal</v>
          </cell>
          <cell r="AC684" t="str">
            <v>Cll.  70B # 38-152</v>
          </cell>
          <cell r="AD684"/>
          <cell r="AE684">
            <v>13095</v>
          </cell>
          <cell r="AF684">
            <v>9000</v>
          </cell>
          <cell r="AG684" t="str">
            <v>5.7 km</v>
          </cell>
          <cell r="AH684" t="str">
            <v>15 min</v>
          </cell>
          <cell r="AI684" t="e">
            <v>#N/A</v>
          </cell>
          <cell r="AJ684">
            <v>13500</v>
          </cell>
          <cell r="AK684">
            <v>-4500</v>
          </cell>
          <cell r="AL684">
            <v>13095</v>
          </cell>
        </row>
        <row r="685">
          <cell r="T685" t="str">
            <v xml:space="preserve">NARLIN </v>
          </cell>
          <cell r="U685" t="str">
            <v xml:space="preserve">CARRERA 8A # 44-29 ALBORAYA </v>
          </cell>
          <cell r="V685" t="str">
            <v>Alboraya</v>
          </cell>
          <cell r="W685" t="str">
            <v>CERCANO</v>
          </cell>
          <cell r="X685">
            <v>3003365760</v>
          </cell>
          <cell r="Y685" t="str">
            <v>NORTE</v>
          </cell>
          <cell r="Z685"/>
          <cell r="AA685" t="str">
            <v>Barranquilla</v>
          </cell>
          <cell r="AB685" t="str">
            <v>Murillo</v>
          </cell>
          <cell r="AC685" t="str">
            <v>Calle 45 # 9B - 08
Barrio La Victoria</v>
          </cell>
          <cell r="AD685"/>
          <cell r="AE685">
            <v>10670</v>
          </cell>
          <cell r="AF685">
            <v>9000</v>
          </cell>
          <cell r="AG685" t="str">
            <v>700 metro</v>
          </cell>
          <cell r="AH685" t="str">
            <v>3 min</v>
          </cell>
          <cell r="AI685">
            <v>11000</v>
          </cell>
          <cell r="AJ685">
            <v>11000</v>
          </cell>
          <cell r="AK685">
            <v>-2000</v>
          </cell>
          <cell r="AL685">
            <v>10670</v>
          </cell>
        </row>
        <row r="686">
          <cell r="T686" t="str">
            <v xml:space="preserve">NEIDER JHOAN RODRIGUEZ RODRIGUEZ </v>
          </cell>
          <cell r="U686" t="str">
            <v>URBANICACION AMBALA CASA 31</v>
          </cell>
          <cell r="V686" t="str">
            <v>Ambala</v>
          </cell>
          <cell r="W686" t="str">
            <v>CERCANO</v>
          </cell>
          <cell r="X686">
            <v>3222700968</v>
          </cell>
          <cell r="Y686" t="str">
            <v>SUROCCIDENTE</v>
          </cell>
          <cell r="Z686"/>
          <cell r="AA686" t="str">
            <v>Ibague</v>
          </cell>
          <cell r="AB686" t="str">
            <v>Ibague</v>
          </cell>
          <cell r="AC686" t="str">
            <v>Calle 41 # 5 - 40 Barrio Restrepo</v>
          </cell>
          <cell r="AD686"/>
          <cell r="AE686">
            <v>13095</v>
          </cell>
          <cell r="AF686">
            <v>9000</v>
          </cell>
          <cell r="AG686" t="str">
            <v>4.5 km</v>
          </cell>
          <cell r="AH686" t="str">
            <v>10 min</v>
          </cell>
          <cell r="AI686">
            <v>15000</v>
          </cell>
          <cell r="AJ686">
            <v>13500</v>
          </cell>
          <cell r="AK686">
            <v>-4500</v>
          </cell>
          <cell r="AL686">
            <v>13095</v>
          </cell>
        </row>
        <row r="687">
          <cell r="T687" t="str">
            <v>NOHORA GARCIA</v>
          </cell>
          <cell r="U687" t="str">
            <v>MANZANA C CASA 17 LA FLORIDA VILLA CAMILA</v>
          </cell>
          <cell r="V687" t="str">
            <v>urbanizacion villa camila</v>
          </cell>
          <cell r="W687" t="str">
            <v>CERCANO</v>
          </cell>
          <cell r="X687" t="e">
            <v>#REF!</v>
          </cell>
          <cell r="Y687" t="str">
            <v>NORTE</v>
          </cell>
          <cell r="Z687"/>
          <cell r="AA687" t="str">
            <v>Cucuta</v>
          </cell>
          <cell r="AB687" t="str">
            <v>Cucuta</v>
          </cell>
          <cell r="AC687" t="str">
            <v>Calle 14 # 1-37 Barrio La Playa, Centro.</v>
          </cell>
          <cell r="AD687"/>
          <cell r="AE687">
            <v>13095</v>
          </cell>
          <cell r="AF687">
            <v>9000</v>
          </cell>
          <cell r="AG687" t="str">
            <v>6.4 km</v>
          </cell>
          <cell r="AH687" t="str">
            <v>11 min</v>
          </cell>
          <cell r="AI687" t="e">
            <v>#N/A</v>
          </cell>
          <cell r="AJ687">
            <v>13500</v>
          </cell>
          <cell r="AK687">
            <v>-4500</v>
          </cell>
          <cell r="AL687">
            <v>13095</v>
          </cell>
        </row>
        <row r="688">
          <cell r="T688" t="str">
            <v xml:space="preserve">NUÑEZ GUZMAN MARIA DEL CARMEN </v>
          </cell>
          <cell r="U688" t="str">
            <v>Carrera 3a  70-31 B/ Valparaiso III</v>
          </cell>
          <cell r="V688" t="str">
            <v>Valparaiso III</v>
          </cell>
          <cell r="W688" t="str">
            <v>CERCANO</v>
          </cell>
          <cell r="X688">
            <v>3104789198</v>
          </cell>
          <cell r="Y688" t="str">
            <v>SUROCCIDENTE</v>
          </cell>
          <cell r="Z688"/>
          <cell r="AA688" t="str">
            <v>Ibague</v>
          </cell>
          <cell r="AB688" t="str">
            <v>Ibague</v>
          </cell>
          <cell r="AC688" t="str">
            <v>Calle 41 # 5 - 40 Barrio Restrepo</v>
          </cell>
          <cell r="AD688"/>
          <cell r="AE688">
            <v>13095</v>
          </cell>
          <cell r="AF688">
            <v>9000</v>
          </cell>
          <cell r="AG688" t="str">
            <v>2.3 km</v>
          </cell>
          <cell r="AH688" t="str">
            <v>7 min</v>
          </cell>
          <cell r="AI688">
            <v>15000</v>
          </cell>
          <cell r="AJ688">
            <v>13500</v>
          </cell>
          <cell r="AK688">
            <v>-4500</v>
          </cell>
          <cell r="AL688">
            <v>13095</v>
          </cell>
        </row>
        <row r="689">
          <cell r="T689" t="str">
            <v>ORLANDO GAMBOA</v>
          </cell>
          <cell r="U689" t="str">
            <v>CALLE 53 No. 6-12 EL TORREON (detrás del Hospital Federico Lleras)</v>
          </cell>
          <cell r="V689" t="str">
            <v>Torreon</v>
          </cell>
          <cell r="W689" t="str">
            <v>CERCANO</v>
          </cell>
          <cell r="X689">
            <v>3505620503</v>
          </cell>
          <cell r="Y689" t="str">
            <v>SUROCCIDENTE</v>
          </cell>
          <cell r="Z689"/>
          <cell r="AA689" t="str">
            <v>Ibague</v>
          </cell>
          <cell r="AB689" t="str">
            <v>Ibague</v>
          </cell>
          <cell r="AC689" t="str">
            <v>Calle 41 # 5 - 40 Barrio Restrepo</v>
          </cell>
          <cell r="AD689"/>
          <cell r="AE689">
            <v>13095</v>
          </cell>
          <cell r="AF689">
            <v>9000</v>
          </cell>
          <cell r="AG689" t="str">
            <v>800 metros</v>
          </cell>
          <cell r="AH689" t="str">
            <v>2 min</v>
          </cell>
          <cell r="AI689">
            <v>15000</v>
          </cell>
          <cell r="AJ689">
            <v>13500</v>
          </cell>
          <cell r="AK689">
            <v>-4500</v>
          </cell>
          <cell r="AL689">
            <v>13095</v>
          </cell>
        </row>
        <row r="690">
          <cell r="T690" t="str">
            <v>OROZCO LOPEZ PAULA ALEJANDRA</v>
          </cell>
          <cell r="U690" t="str">
            <v>CR 11 No 13-05 TORRES DE COMPOHERMOS Apt 404 torre A</v>
          </cell>
          <cell r="V690" t="str">
            <v>Chipre</v>
          </cell>
          <cell r="W690" t="str">
            <v>CERCANO</v>
          </cell>
          <cell r="X690">
            <v>3013891655</v>
          </cell>
          <cell r="Y690" t="str">
            <v>SUROCCIDENTE</v>
          </cell>
          <cell r="Z690"/>
          <cell r="AA690" t="str">
            <v>Manizales</v>
          </cell>
          <cell r="AB690" t="str">
            <v>Manizales</v>
          </cell>
          <cell r="AC690" t="str">
            <v>Cra. 23 # 39 - 25 Piso 2
Antiguo Edificio Clínica Manizales
(IPS Caprecom Clínica Manizales)</v>
          </cell>
          <cell r="AD690"/>
          <cell r="AE690">
            <v>13095</v>
          </cell>
          <cell r="AF690">
            <v>9000</v>
          </cell>
          <cell r="AG690" t="str">
            <v xml:space="preserve">3.1 km </v>
          </cell>
          <cell r="AH690" t="str">
            <v>8 min</v>
          </cell>
          <cell r="AI690">
            <v>15000</v>
          </cell>
          <cell r="AJ690">
            <v>13500</v>
          </cell>
          <cell r="AK690">
            <v>-4500</v>
          </cell>
          <cell r="AL690">
            <v>13095</v>
          </cell>
        </row>
        <row r="691">
          <cell r="T691" t="str">
            <v>ORTEGA HERNANDEZ CARLOS DANIEL</v>
          </cell>
          <cell r="U691" t="str">
            <v>Calle 45 G # 18 - 30 Barranquilla</v>
          </cell>
          <cell r="V691" t="str">
            <v>San Jose</v>
          </cell>
          <cell r="W691" t="str">
            <v>LEJANO</v>
          </cell>
          <cell r="X691">
            <v>3126646174</v>
          </cell>
          <cell r="Y691" t="str">
            <v>NORTE</v>
          </cell>
          <cell r="Z691"/>
          <cell r="AA691" t="str">
            <v>Barranquilla</v>
          </cell>
          <cell r="AB691" t="str">
            <v>Riomar</v>
          </cell>
          <cell r="AC691" t="str">
            <v>Cra. 51 # 82-197</v>
          </cell>
          <cell r="AD691"/>
          <cell r="AE691">
            <v>17460</v>
          </cell>
          <cell r="AF691">
            <v>9000</v>
          </cell>
          <cell r="AG691" t="str">
            <v>7.8 km</v>
          </cell>
          <cell r="AH691" t="str">
            <v>23 min</v>
          </cell>
          <cell r="AI691">
            <v>20000</v>
          </cell>
          <cell r="AJ691">
            <v>18000</v>
          </cell>
          <cell r="AK691">
            <v>-9000</v>
          </cell>
          <cell r="AL691">
            <v>17460</v>
          </cell>
        </row>
        <row r="692">
          <cell r="T692" t="str">
            <v>OSORIO ALDANA IVON SOLEY</v>
          </cell>
          <cell r="U692" t="str">
            <v>Mz B Casa 7 Los Angeles Ambala</v>
          </cell>
          <cell r="V692" t="str">
            <v>Los Angeles</v>
          </cell>
          <cell r="W692" t="str">
            <v>CERCANO</v>
          </cell>
          <cell r="X692" t="e">
            <v>#REF!</v>
          </cell>
          <cell r="Y692" t="str">
            <v>SUROCCIDENTE</v>
          </cell>
          <cell r="Z692"/>
          <cell r="AA692" t="str">
            <v>Ibague</v>
          </cell>
          <cell r="AB692" t="str">
            <v>Ibague</v>
          </cell>
          <cell r="AC692" t="str">
            <v>Calle 41 # 5 - 40 Barrio Restrepo</v>
          </cell>
          <cell r="AD692"/>
          <cell r="AE692">
            <v>13095</v>
          </cell>
          <cell r="AF692">
            <v>9000</v>
          </cell>
          <cell r="AG692" t="str">
            <v>4.5 km</v>
          </cell>
          <cell r="AH692" t="str">
            <v>10 min</v>
          </cell>
          <cell r="AI692" t="e">
            <v>#N/A</v>
          </cell>
          <cell r="AJ692">
            <v>13500</v>
          </cell>
          <cell r="AK692">
            <v>-4500</v>
          </cell>
          <cell r="AL692">
            <v>13095</v>
          </cell>
        </row>
        <row r="693">
          <cell r="T693" t="str">
            <v>OSORIO FRANCO CLEMENCIA</v>
          </cell>
          <cell r="U693" t="str">
            <v>Calle 47 # 96 - 55 B/ Valle de Lili - edificio  Atrium</v>
          </cell>
          <cell r="V693" t="str">
            <v>Valle del Lili</v>
          </cell>
          <cell r="W693" t="str">
            <v>CERCANO</v>
          </cell>
          <cell r="X693">
            <v>3204343385</v>
          </cell>
          <cell r="Y693" t="str">
            <v>SUROCCIDENTE</v>
          </cell>
          <cell r="Z693"/>
          <cell r="AA693" t="str">
            <v>Cali</v>
          </cell>
          <cell r="AB693" t="str">
            <v>Imbanaco</v>
          </cell>
          <cell r="AC693" t="str">
            <v>Cll. 5B 4  # 38 -123</v>
          </cell>
          <cell r="AD693"/>
          <cell r="AE693">
            <v>13095</v>
          </cell>
          <cell r="AF693">
            <v>9000</v>
          </cell>
          <cell r="AG693" t="str">
            <v>9.8 km</v>
          </cell>
          <cell r="AH693" t="str">
            <v>19 min</v>
          </cell>
          <cell r="AI693">
            <v>15000</v>
          </cell>
          <cell r="AJ693">
            <v>13500</v>
          </cell>
          <cell r="AK693">
            <v>-4500</v>
          </cell>
          <cell r="AL693">
            <v>13095</v>
          </cell>
        </row>
        <row r="694">
          <cell r="T694" t="str">
            <v>PADILLA PARRALES DIANA MARCELA</v>
          </cell>
          <cell r="U694" t="str">
            <v>Cra 4b No. 78b-79 2da Etapa Jardin</v>
          </cell>
          <cell r="V694" t="str">
            <v>Jardin etapa 2</v>
          </cell>
          <cell r="W694" t="str">
            <v>CERCANO</v>
          </cell>
          <cell r="X694">
            <v>3134864091</v>
          </cell>
          <cell r="Y694" t="str">
            <v>SUROCCIDENTE</v>
          </cell>
          <cell r="Z694"/>
          <cell r="AA694" t="str">
            <v>Ibague</v>
          </cell>
          <cell r="AB694" t="str">
            <v>Ibague</v>
          </cell>
          <cell r="AC694" t="str">
            <v>Calle 41 # 5 - 40 Barrio Restrepo</v>
          </cell>
          <cell r="AD694"/>
          <cell r="AE694">
            <v>13095</v>
          </cell>
          <cell r="AF694">
            <v>9000</v>
          </cell>
          <cell r="AG694" t="str">
            <v>2.1 km</v>
          </cell>
          <cell r="AH694" t="str">
            <v>6 min</v>
          </cell>
          <cell r="AI694">
            <v>15000</v>
          </cell>
          <cell r="AJ694">
            <v>13500</v>
          </cell>
          <cell r="AK694">
            <v>-4500</v>
          </cell>
          <cell r="AL694">
            <v>13095</v>
          </cell>
        </row>
        <row r="695">
          <cell r="T695" t="str">
            <v>PALMA BRAVO ELENA JOHANA</v>
          </cell>
          <cell r="U695" t="str">
            <v>Calle 21 No 19 - 52 Soledad</v>
          </cell>
          <cell r="V695" t="str">
            <v>Soledad</v>
          </cell>
          <cell r="W695" t="str">
            <v>INTERMUNICIPAL</v>
          </cell>
          <cell r="X695">
            <v>3157349370</v>
          </cell>
          <cell r="Y695" t="str">
            <v>NORTE</v>
          </cell>
          <cell r="Z695"/>
          <cell r="AA695" t="str">
            <v>Barranquilla</v>
          </cell>
          <cell r="AB695" t="str">
            <v>Riomar</v>
          </cell>
          <cell r="AC695" t="str">
            <v>Cra. 51 # 82-197</v>
          </cell>
          <cell r="AD695"/>
          <cell r="AE695">
            <v>39285</v>
          </cell>
          <cell r="AF695">
            <v>30000</v>
          </cell>
          <cell r="AG695" t="str">
            <v>12.6 km</v>
          </cell>
          <cell r="AH695" t="str">
            <v>25 min</v>
          </cell>
          <cell r="AI695">
            <v>45000</v>
          </cell>
          <cell r="AJ695">
            <v>40500</v>
          </cell>
          <cell r="AK695">
            <v>-10500</v>
          </cell>
          <cell r="AL695">
            <v>39285</v>
          </cell>
        </row>
        <row r="696">
          <cell r="T696" t="str">
            <v>PAOLA VASQUEZ</v>
          </cell>
          <cell r="U696" t="str">
            <v>Cra 25b # 64 - 44 Barrio los Andes</v>
          </cell>
          <cell r="V696" t="str">
            <v>Los Andes</v>
          </cell>
          <cell r="W696" t="str">
            <v>LEJANO</v>
          </cell>
          <cell r="X696">
            <v>3007528466</v>
          </cell>
          <cell r="Y696" t="str">
            <v>NORTE</v>
          </cell>
          <cell r="Z696"/>
          <cell r="AA696" t="str">
            <v>Barranquilla</v>
          </cell>
          <cell r="AB696" t="str">
            <v>Riomar</v>
          </cell>
          <cell r="AC696" t="str">
            <v>Cra. 51 # 82-197</v>
          </cell>
          <cell r="AD696"/>
          <cell r="AE696">
            <v>17460</v>
          </cell>
          <cell r="AF696">
            <v>9000</v>
          </cell>
          <cell r="AG696" t="str">
            <v>5.8 km</v>
          </cell>
          <cell r="AH696" t="str">
            <v>17 min</v>
          </cell>
          <cell r="AI696">
            <v>20000</v>
          </cell>
          <cell r="AJ696">
            <v>18000</v>
          </cell>
          <cell r="AK696">
            <v>-9000</v>
          </cell>
          <cell r="AL696">
            <v>17460</v>
          </cell>
        </row>
        <row r="697">
          <cell r="T697" t="str">
            <v>PATRICIA MARIN</v>
          </cell>
          <cell r="U697" t="str">
            <v>CRA7B#35A49</v>
          </cell>
          <cell r="V697" t="str">
            <v>Las Palmas</v>
          </cell>
          <cell r="W697" t="str">
            <v>INTERMUNICIPAL</v>
          </cell>
          <cell r="X697">
            <v>3017719750</v>
          </cell>
          <cell r="Y697" t="str">
            <v>NORTE</v>
          </cell>
          <cell r="Z697"/>
          <cell r="AA697" t="str">
            <v>Barranquilla</v>
          </cell>
          <cell r="AB697" t="str">
            <v>Unirenal</v>
          </cell>
          <cell r="AC697" t="str">
            <v>Cll.  70B # 38-152</v>
          </cell>
          <cell r="AD697"/>
          <cell r="AE697">
            <v>39285</v>
          </cell>
          <cell r="AF697">
            <v>30000</v>
          </cell>
          <cell r="AG697" t="str">
            <v>7.8 km</v>
          </cell>
          <cell r="AH697" t="str">
            <v>22 min</v>
          </cell>
          <cell r="AI697">
            <v>45000</v>
          </cell>
          <cell r="AJ697">
            <v>40500</v>
          </cell>
          <cell r="AK697">
            <v>-10500</v>
          </cell>
          <cell r="AL697">
            <v>39285</v>
          </cell>
        </row>
        <row r="698">
          <cell r="T698" t="str">
            <v>PRIETO CASILIMA INGRID JOHANNA</v>
          </cell>
          <cell r="U698" t="str">
            <v>Mz E C 18 B/ Nuevo Horizonte</v>
          </cell>
          <cell r="V698" t="str">
            <v>Nuevo Horizonte</v>
          </cell>
          <cell r="W698" t="str">
            <v>CERCANO</v>
          </cell>
          <cell r="X698" t="e">
            <v>#REF!</v>
          </cell>
          <cell r="Y698" t="str">
            <v>SUROCCIDENTE</v>
          </cell>
          <cell r="Z698"/>
          <cell r="AA698" t="str">
            <v>Ibague</v>
          </cell>
          <cell r="AB698" t="str">
            <v>Ibague</v>
          </cell>
          <cell r="AC698" t="str">
            <v>Calle 41 # 5 - 40 Barrio Restrepo</v>
          </cell>
          <cell r="AD698"/>
          <cell r="AE698">
            <v>13095</v>
          </cell>
          <cell r="AF698">
            <v>9000</v>
          </cell>
          <cell r="AG698" t="str">
            <v>4 km</v>
          </cell>
          <cell r="AH698" t="str">
            <v>11 min</v>
          </cell>
          <cell r="AI698" t="e">
            <v>#N/A</v>
          </cell>
          <cell r="AJ698">
            <v>13500</v>
          </cell>
          <cell r="AK698">
            <v>-4500</v>
          </cell>
          <cell r="AL698">
            <v>13095</v>
          </cell>
        </row>
        <row r="699">
          <cell r="T699" t="str">
            <v>PULIDO VEGA JORGE ENRIQUE</v>
          </cell>
          <cell r="U699" t="str">
            <v>MEDICO GENERAL</v>
          </cell>
          <cell r="V699" t="str">
            <v>Las Quintas</v>
          </cell>
          <cell r="W699" t="str">
            <v>CERCANO</v>
          </cell>
          <cell r="X699" t="e">
            <v>#REF!</v>
          </cell>
          <cell r="Y699" t="str">
            <v>CENTRO</v>
          </cell>
          <cell r="Z699"/>
          <cell r="AA699" t="str">
            <v>Tunja</v>
          </cell>
          <cell r="AB699" t="str">
            <v>Tunja</v>
          </cell>
          <cell r="AC699" t="str">
            <v>Carrera 1B N 46A 18 Urb. Manolete</v>
          </cell>
          <cell r="AD699"/>
          <cell r="AE699">
            <v>13095</v>
          </cell>
          <cell r="AF699">
            <v>9000</v>
          </cell>
          <cell r="AG699" t="str">
            <v>2.3 km</v>
          </cell>
          <cell r="AH699" t="str">
            <v>4 min</v>
          </cell>
          <cell r="AI699" t="e">
            <v>#N/A</v>
          </cell>
          <cell r="AJ699">
            <v>13500</v>
          </cell>
          <cell r="AK699">
            <v>-4500</v>
          </cell>
          <cell r="AL699">
            <v>13095</v>
          </cell>
        </row>
        <row r="700">
          <cell r="T700" t="str">
            <v>QUEYTIS</v>
          </cell>
          <cell r="U700" t="str">
            <v>CALLE 13 # 6A-20 ALFONSO LOPEZ -palmar de varela</v>
          </cell>
          <cell r="V700" t="str">
            <v>palmar de varela</v>
          </cell>
          <cell r="W700" t="str">
            <v>INTERMUNICIPAL</v>
          </cell>
          <cell r="X700">
            <v>3012765874</v>
          </cell>
          <cell r="Y700" t="str">
            <v>NORTE</v>
          </cell>
          <cell r="Z700"/>
          <cell r="AA700" t="str">
            <v>Barranquilla</v>
          </cell>
          <cell r="AB700" t="str">
            <v>Murillo</v>
          </cell>
          <cell r="AC700" t="str">
            <v>Calle 45 # 9B - 08
Barrio La Victoria</v>
          </cell>
          <cell r="AD700"/>
          <cell r="AE700">
            <v>69840</v>
          </cell>
          <cell r="AF700">
            <v>65000</v>
          </cell>
          <cell r="AG700" t="str">
            <v>27.9 km</v>
          </cell>
          <cell r="AH700" t="str">
            <v>41 min</v>
          </cell>
          <cell r="AI700">
            <v>80000</v>
          </cell>
          <cell r="AJ700">
            <v>72000</v>
          </cell>
          <cell r="AK700">
            <v>-7000</v>
          </cell>
          <cell r="AL700">
            <v>69840</v>
          </cell>
        </row>
        <row r="701">
          <cell r="T701" t="str">
            <v>RAMOS SIERRA OSCAR ANDRES</v>
          </cell>
          <cell r="U701" t="str">
            <v>KRA 13 No.32-19</v>
          </cell>
          <cell r="V701">
            <v>0</v>
          </cell>
          <cell r="W701" t="str">
            <v>CERCANO</v>
          </cell>
          <cell r="X701" t="e">
            <v>#REF!</v>
          </cell>
          <cell r="Y701" t="str">
            <v>CENTRO</v>
          </cell>
          <cell r="Z701"/>
          <cell r="AA701" t="str">
            <v>Duitama</v>
          </cell>
          <cell r="AB701" t="str">
            <v>Duitama</v>
          </cell>
          <cell r="AC701" t="str">
            <v>Calle 9 # 36 - 24 Barrio Sausalito</v>
          </cell>
          <cell r="AD701"/>
          <cell r="AE701">
            <v>13095</v>
          </cell>
          <cell r="AF701">
            <v>9000</v>
          </cell>
          <cell r="AG701">
            <v>0</v>
          </cell>
          <cell r="AH701">
            <v>0</v>
          </cell>
          <cell r="AI701" t="e">
            <v>#N/A</v>
          </cell>
          <cell r="AJ701">
            <v>13500</v>
          </cell>
          <cell r="AK701">
            <v>-4500</v>
          </cell>
          <cell r="AL701">
            <v>13095</v>
          </cell>
        </row>
        <row r="702">
          <cell r="T702" t="str">
            <v>RESTREPO GONZALEZ GERARDO ANDRES</v>
          </cell>
          <cell r="U702" t="str">
            <v xml:space="preserve">Calle 103A # 32a-65 </v>
          </cell>
          <cell r="V702" t="str">
            <v>La Enea</v>
          </cell>
          <cell r="W702" t="str">
            <v>INTERMUNICIPAL</v>
          </cell>
          <cell r="X702">
            <v>3122157912</v>
          </cell>
          <cell r="Y702" t="str">
            <v>SUROCCIDENTE</v>
          </cell>
          <cell r="Z702"/>
          <cell r="AA702" t="str">
            <v>Manizales</v>
          </cell>
          <cell r="AB702" t="str">
            <v>Manizales</v>
          </cell>
          <cell r="AC702" t="str">
            <v>Cra. 23 # 39 - 25 Piso 2
Antiguo Edificio Clínica Manizales
(IPS Caprecom Clínica Manizales)</v>
          </cell>
          <cell r="AD702"/>
          <cell r="AE702">
            <v>30555</v>
          </cell>
          <cell r="AF702">
            <v>30000</v>
          </cell>
          <cell r="AG702" t="str">
            <v>15 km</v>
          </cell>
          <cell r="AH702" t="str">
            <v>25 min</v>
          </cell>
          <cell r="AI702">
            <v>20000</v>
          </cell>
          <cell r="AJ702">
            <v>18000</v>
          </cell>
          <cell r="AK702">
            <v>12000</v>
          </cell>
          <cell r="AL702">
            <v>17460</v>
          </cell>
        </row>
        <row r="703">
          <cell r="T703" t="str">
            <v>RINCON CAÑON SANDRA PATRICIA</v>
          </cell>
          <cell r="U703" t="str">
            <v>Calle 47D No 12c-02 alto caribe</v>
          </cell>
          <cell r="V703" t="str">
            <v xml:space="preserve">ALTO CARIBE </v>
          </cell>
          <cell r="W703" t="str">
            <v>CERCANO</v>
          </cell>
          <cell r="X703">
            <v>3115965803</v>
          </cell>
          <cell r="Y703" t="str">
            <v>NORTE</v>
          </cell>
          <cell r="Z703"/>
          <cell r="AA703" t="str">
            <v>Valledupar</v>
          </cell>
          <cell r="AB703" t="str">
            <v>Valledupar</v>
          </cell>
          <cell r="AC703" t="str">
            <v>Carrera 7A # 28-62
Barrio 12 de Octubre</v>
          </cell>
          <cell r="AD703"/>
          <cell r="AE703">
            <v>13095</v>
          </cell>
          <cell r="AF703">
            <v>8000</v>
          </cell>
          <cell r="AG703" t="str">
            <v>3.1 km</v>
          </cell>
          <cell r="AH703" t="str">
            <v>9 min</v>
          </cell>
          <cell r="AI703" t="e">
            <v>#N/A</v>
          </cell>
          <cell r="AJ703">
            <v>13500</v>
          </cell>
          <cell r="AK703">
            <v>-5500</v>
          </cell>
          <cell r="AL703">
            <v>13095</v>
          </cell>
        </row>
        <row r="704">
          <cell r="T704" t="str">
            <v xml:space="preserve">RIVERA VARGAS DERNY YALIF </v>
          </cell>
          <cell r="U704" t="str">
            <v xml:space="preserve">MZ 11A Casa 3 Topacio </v>
          </cell>
          <cell r="V704" t="str">
            <v>Topacio</v>
          </cell>
          <cell r="W704" t="str">
            <v>CERCANO</v>
          </cell>
          <cell r="X704">
            <v>3115962682</v>
          </cell>
          <cell r="Y704" t="str">
            <v>SUROCCIDENTE</v>
          </cell>
          <cell r="Z704"/>
          <cell r="AA704" t="str">
            <v>Ibague</v>
          </cell>
          <cell r="AB704" t="str">
            <v>Ibague</v>
          </cell>
          <cell r="AC704" t="str">
            <v>Calle 41 # 5 - 40 Barrio Restrepo</v>
          </cell>
          <cell r="AD704"/>
          <cell r="AE704">
            <v>13095</v>
          </cell>
          <cell r="AF704">
            <v>9000</v>
          </cell>
          <cell r="AG704" t="str">
            <v>5.8 km</v>
          </cell>
          <cell r="AH704" t="str">
            <v>14 min</v>
          </cell>
          <cell r="AI704">
            <v>15000</v>
          </cell>
          <cell r="AJ704">
            <v>13500</v>
          </cell>
          <cell r="AK704">
            <v>-4500</v>
          </cell>
          <cell r="AL704">
            <v>13095</v>
          </cell>
        </row>
        <row r="705">
          <cell r="T705" t="str">
            <v xml:space="preserve">Roberto Carlos Cotes </v>
          </cell>
          <cell r="U705" t="str">
            <v xml:space="preserve">Cra 10 No. 33-07 B/ Rosa Blanca </v>
          </cell>
          <cell r="V705" t="str">
            <v>Rosa Blanca</v>
          </cell>
          <cell r="W705" t="str">
            <v>CERCANO</v>
          </cell>
          <cell r="X705">
            <v>3223082766</v>
          </cell>
          <cell r="Y705" t="str">
            <v>CENTRO</v>
          </cell>
          <cell r="Z705"/>
          <cell r="AA705" t="str">
            <v>Girardot</v>
          </cell>
          <cell r="AB705" t="str">
            <v>Girardot</v>
          </cell>
          <cell r="AC705" t="str">
            <v>Cra. 7 A # 31 - 54 Barrio La Magdalena</v>
          </cell>
          <cell r="AD705"/>
          <cell r="AE705">
            <v>13095</v>
          </cell>
          <cell r="AF705">
            <v>9000</v>
          </cell>
          <cell r="AG705" t="str">
            <v>1.1 km</v>
          </cell>
          <cell r="AH705" t="str">
            <v>4 min</v>
          </cell>
          <cell r="AI705">
            <v>15000</v>
          </cell>
          <cell r="AJ705">
            <v>13500</v>
          </cell>
          <cell r="AK705">
            <v>-4500</v>
          </cell>
          <cell r="AL705">
            <v>13095</v>
          </cell>
        </row>
        <row r="706">
          <cell r="T706" t="str">
            <v>ROBERTO FLOREZ LIDA MARIA</v>
          </cell>
          <cell r="U706" t="str">
            <v>AUXILIAR DE ENFERMERIA</v>
          </cell>
          <cell r="V706" t="str">
            <v>Sol De Oriente</v>
          </cell>
          <cell r="W706" t="str">
            <v>CERCANO</v>
          </cell>
          <cell r="X706">
            <v>3115040315</v>
          </cell>
          <cell r="Y706" t="str">
            <v>CENTRO</v>
          </cell>
          <cell r="Z706"/>
          <cell r="AA706" t="str">
            <v>Tunja</v>
          </cell>
          <cell r="AB706" t="str">
            <v>Tunja</v>
          </cell>
          <cell r="AC706" t="str">
            <v>Carrera 1B N 46A 18 Urb. Manolete</v>
          </cell>
          <cell r="AD706"/>
          <cell r="AE706">
            <v>13095</v>
          </cell>
          <cell r="AF706">
            <v>9000</v>
          </cell>
          <cell r="AG706" t="str">
            <v>5.9 km</v>
          </cell>
          <cell r="AH706" t="str">
            <v>11 min</v>
          </cell>
          <cell r="AI706">
            <v>15000</v>
          </cell>
          <cell r="AJ706">
            <v>13500</v>
          </cell>
          <cell r="AK706">
            <v>-4500</v>
          </cell>
          <cell r="AL706">
            <v>13095</v>
          </cell>
        </row>
        <row r="707">
          <cell r="T707" t="str">
            <v>ROSADO MENDOZA NEMESIA DE JESUS</v>
          </cell>
          <cell r="U707" t="str">
            <v>Calle 10 # 21-73 Barrio Iracal</v>
          </cell>
          <cell r="V707" t="str">
            <v>Iracal</v>
          </cell>
          <cell r="W707" t="str">
            <v>CERCANO</v>
          </cell>
          <cell r="X707">
            <v>3113749303</v>
          </cell>
          <cell r="Y707" t="str">
            <v>NORTE</v>
          </cell>
          <cell r="Z707"/>
          <cell r="AA707" t="str">
            <v>Valledupar</v>
          </cell>
          <cell r="AB707" t="str">
            <v>Valledupar</v>
          </cell>
          <cell r="AC707" t="str">
            <v>Carrera 7A # 28-62
Barrio 12 de Octubre</v>
          </cell>
          <cell r="AD707"/>
          <cell r="AE707">
            <v>13095</v>
          </cell>
          <cell r="AF707">
            <v>8000</v>
          </cell>
          <cell r="AG707" t="str">
            <v>4.2 km</v>
          </cell>
          <cell r="AH707" t="str">
            <v>10 min</v>
          </cell>
          <cell r="AI707">
            <v>15000</v>
          </cell>
          <cell r="AJ707">
            <v>13500</v>
          </cell>
          <cell r="AK707">
            <v>-5500</v>
          </cell>
          <cell r="AL707">
            <v>13095</v>
          </cell>
        </row>
        <row r="708">
          <cell r="T708" t="str">
            <v xml:space="preserve">Ruben Rojas </v>
          </cell>
          <cell r="U708" t="str">
            <v xml:space="preserve">Tranv 9 con calle 35 casa #13 B/ Los Naranjos </v>
          </cell>
          <cell r="V708" t="str">
            <v>Los Naranjos</v>
          </cell>
          <cell r="W708" t="str">
            <v>CERCANO</v>
          </cell>
          <cell r="X708">
            <v>3015234473</v>
          </cell>
          <cell r="Y708" t="str">
            <v>CENTRO</v>
          </cell>
          <cell r="Z708"/>
          <cell r="AA708" t="str">
            <v>Girardot</v>
          </cell>
          <cell r="AB708" t="str">
            <v>Girardot</v>
          </cell>
          <cell r="AC708" t="str">
            <v>Cra. 7 A # 31 - 54 Barrio La Magdalena</v>
          </cell>
          <cell r="AD708"/>
          <cell r="AE708">
            <v>13095</v>
          </cell>
          <cell r="AF708">
            <v>9000</v>
          </cell>
          <cell r="AG708" t="str">
            <v>1.7 km</v>
          </cell>
          <cell r="AH708" t="str">
            <v>5 min</v>
          </cell>
          <cell r="AI708">
            <v>15000</v>
          </cell>
          <cell r="AJ708">
            <v>13500</v>
          </cell>
          <cell r="AK708">
            <v>-4500</v>
          </cell>
          <cell r="AL708">
            <v>13095</v>
          </cell>
        </row>
        <row r="709">
          <cell r="T709" t="str">
            <v>RUBIO GUZMAN DIANA CAROLINA</v>
          </cell>
          <cell r="U709" t="str">
            <v xml:space="preserve">Conjunto Alminar Samoa </v>
          </cell>
          <cell r="V709" t="str">
            <v>Samoa</v>
          </cell>
          <cell r="W709" t="str">
            <v>CERCANO</v>
          </cell>
          <cell r="X709" t="e">
            <v>#REF!</v>
          </cell>
          <cell r="Y709" t="str">
            <v>SUROCCIDENTE</v>
          </cell>
          <cell r="Z709"/>
          <cell r="AA709" t="str">
            <v>Ibague</v>
          </cell>
          <cell r="AB709" t="str">
            <v>Ibague</v>
          </cell>
          <cell r="AC709" t="str">
            <v>Calle 41 # 5 - 40 Barrio Restrepo</v>
          </cell>
          <cell r="AD709"/>
          <cell r="AE709">
            <v>13095</v>
          </cell>
          <cell r="AF709">
            <v>9000</v>
          </cell>
          <cell r="AG709" t="str">
            <v>5.7 km</v>
          </cell>
          <cell r="AH709" t="str">
            <v>13 min</v>
          </cell>
          <cell r="AI709" t="e">
            <v>#N/A</v>
          </cell>
          <cell r="AJ709">
            <v>13500</v>
          </cell>
          <cell r="AK709">
            <v>-4500</v>
          </cell>
          <cell r="AL709">
            <v>13095</v>
          </cell>
        </row>
        <row r="710">
          <cell r="T710" t="str">
            <v>SAEZ  MONTEALEGRE YAMILE</v>
          </cell>
          <cell r="U710" t="str">
            <v>Calle 64  23-121 Apto 102B Torres de los Rosales</v>
          </cell>
          <cell r="V710" t="str">
            <v>Los Rosales</v>
          </cell>
          <cell r="W710" t="str">
            <v>CERCANO</v>
          </cell>
          <cell r="X710">
            <v>3164699494</v>
          </cell>
          <cell r="Y710" t="str">
            <v>SUROCCIDENTE</v>
          </cell>
          <cell r="Z710"/>
          <cell r="AA710" t="str">
            <v>Ibague</v>
          </cell>
          <cell r="AB710" t="str">
            <v>Ibague</v>
          </cell>
          <cell r="AC710" t="str">
            <v>Calle 41 # 5 - 40 Barrio Restrepo</v>
          </cell>
          <cell r="AD710"/>
          <cell r="AE710">
            <v>13095</v>
          </cell>
          <cell r="AF710">
            <v>9000</v>
          </cell>
          <cell r="AG710" t="str">
            <v>3.9 km</v>
          </cell>
          <cell r="AH710" t="str">
            <v>11 min</v>
          </cell>
          <cell r="AI710">
            <v>15000</v>
          </cell>
          <cell r="AJ710">
            <v>13500</v>
          </cell>
          <cell r="AK710">
            <v>-4500</v>
          </cell>
          <cell r="AL710">
            <v>13095</v>
          </cell>
        </row>
        <row r="711">
          <cell r="T711" t="str">
            <v xml:space="preserve">SALAS DE LA ROSA SALLY TATIANA </v>
          </cell>
          <cell r="U711" t="str">
            <v>mz 88 # 16Garupal 4 etapa</v>
          </cell>
          <cell r="V711" t="str">
            <v>Garupal etapa 4</v>
          </cell>
          <cell r="W711" t="str">
            <v>CERCANO</v>
          </cell>
          <cell r="X711">
            <v>3102551706</v>
          </cell>
          <cell r="Y711" t="str">
            <v>NORTE</v>
          </cell>
          <cell r="Z711"/>
          <cell r="AA711" t="str">
            <v>Valledupar</v>
          </cell>
          <cell r="AB711" t="str">
            <v>Valledupar</v>
          </cell>
          <cell r="AC711" t="str">
            <v>Carrera 7A # 28-62
Barrio 12 de Octubre</v>
          </cell>
          <cell r="AD711"/>
          <cell r="AE711">
            <v>13095</v>
          </cell>
          <cell r="AF711">
            <v>8000</v>
          </cell>
          <cell r="AG711" t="str">
            <v>3.9 km</v>
          </cell>
          <cell r="AH711" t="str">
            <v>9 min</v>
          </cell>
          <cell r="AI711">
            <v>15000</v>
          </cell>
          <cell r="AJ711">
            <v>13500</v>
          </cell>
          <cell r="AK711">
            <v>-5500</v>
          </cell>
          <cell r="AL711">
            <v>13095</v>
          </cell>
        </row>
        <row r="712">
          <cell r="T712" t="str">
            <v>SALAZAR CORREA LUISA FERNANDA</v>
          </cell>
          <cell r="U712" t="str">
            <v>CLL 49G N. 34C-27</v>
          </cell>
          <cell r="V712" t="str">
            <v>El Guamal</v>
          </cell>
          <cell r="W712" t="str">
            <v>CERCANO</v>
          </cell>
          <cell r="X712">
            <v>3207202410</v>
          </cell>
          <cell r="Y712" t="str">
            <v>SUROCCIDENTE</v>
          </cell>
          <cell r="Z712"/>
          <cell r="AA712" t="str">
            <v>Manizales</v>
          </cell>
          <cell r="AB712" t="str">
            <v>Manizales</v>
          </cell>
          <cell r="AC712" t="str">
            <v>Cra. 23 # 39 - 25 Piso 2
Antiguo Edificio Clínica Manizales
(IPS Caprecom Clínica Manizales)</v>
          </cell>
          <cell r="AD712"/>
          <cell r="AE712">
            <v>13095</v>
          </cell>
          <cell r="AF712">
            <v>9000</v>
          </cell>
          <cell r="AG712" t="str">
            <v>2.8 km</v>
          </cell>
          <cell r="AH712" t="str">
            <v>7 min</v>
          </cell>
          <cell r="AI712">
            <v>15000</v>
          </cell>
          <cell r="AJ712">
            <v>13500</v>
          </cell>
          <cell r="AK712">
            <v>-4500</v>
          </cell>
          <cell r="AL712">
            <v>13095</v>
          </cell>
        </row>
        <row r="713">
          <cell r="T713" t="str">
            <v>SALAZAR GONZALES GIOVANNA STELLA</v>
          </cell>
          <cell r="U713" t="str">
            <v xml:space="preserve">Carrera 38A # 13- 38 B/ el dorado </v>
          </cell>
          <cell r="V713" t="str">
            <v>El Dorado</v>
          </cell>
          <cell r="W713" t="str">
            <v>CERCANO</v>
          </cell>
          <cell r="X713">
            <v>3104677903</v>
          </cell>
          <cell r="Y713" t="str">
            <v>SUROCCIDENTE</v>
          </cell>
          <cell r="Z713"/>
          <cell r="AA713" t="str">
            <v>Cali</v>
          </cell>
          <cell r="AB713" t="str">
            <v>Imbanaco</v>
          </cell>
          <cell r="AC713" t="str">
            <v>Cll. 5B 4  # 38 -123</v>
          </cell>
          <cell r="AD713"/>
          <cell r="AE713">
            <v>13095</v>
          </cell>
          <cell r="AF713">
            <v>9000</v>
          </cell>
          <cell r="AG713" t="str">
            <v>4 km</v>
          </cell>
          <cell r="AH713" t="str">
            <v>11 min</v>
          </cell>
          <cell r="AI713">
            <v>15000</v>
          </cell>
          <cell r="AJ713">
            <v>13500</v>
          </cell>
          <cell r="AK713">
            <v>-4500</v>
          </cell>
          <cell r="AL713">
            <v>13095</v>
          </cell>
        </row>
        <row r="714">
          <cell r="T714" t="str">
            <v>SAMUEL RESTREPO AGUJA</v>
          </cell>
          <cell r="U714" t="str">
            <v>Calle 85 # 2802 - 84 B/ Mojica</v>
          </cell>
          <cell r="V714" t="str">
            <v>Mojica</v>
          </cell>
          <cell r="W714" t="str">
            <v>CERCANO</v>
          </cell>
          <cell r="X714">
            <v>3052636472</v>
          </cell>
          <cell r="Y714" t="str">
            <v>SUROCCIDENTE</v>
          </cell>
          <cell r="Z714"/>
          <cell r="AA714" t="str">
            <v>Cali</v>
          </cell>
          <cell r="AB714" t="str">
            <v>Imbanaco</v>
          </cell>
          <cell r="AC714" t="str">
            <v>Cll. 5B 4  # 38 -123</v>
          </cell>
          <cell r="AD714"/>
          <cell r="AE714">
            <v>13095</v>
          </cell>
          <cell r="AF714">
            <v>9000</v>
          </cell>
          <cell r="AG714" t="str">
            <v>8.6 km</v>
          </cell>
          <cell r="AH714" t="str">
            <v>21 min</v>
          </cell>
          <cell r="AI714">
            <v>15000</v>
          </cell>
          <cell r="AJ714">
            <v>13500</v>
          </cell>
          <cell r="AK714">
            <v>-4500</v>
          </cell>
          <cell r="AL714">
            <v>13095</v>
          </cell>
        </row>
        <row r="715">
          <cell r="T715" t="str">
            <v>SARYURIS MEDRA</v>
          </cell>
          <cell r="U715" t="str">
            <v>CALLE8#17-43</v>
          </cell>
          <cell r="V715" t="str">
            <v>Av Principal</v>
          </cell>
          <cell r="W715" t="str">
            <v>INTERMUNICIPAL</v>
          </cell>
          <cell r="X715">
            <v>3135488878</v>
          </cell>
          <cell r="Y715" t="str">
            <v>NORTE</v>
          </cell>
          <cell r="Z715"/>
          <cell r="AA715" t="str">
            <v>Barranquilla</v>
          </cell>
          <cell r="AB715" t="str">
            <v>Unirenal</v>
          </cell>
          <cell r="AC715" t="str">
            <v>Cll.  70B # 38-152</v>
          </cell>
          <cell r="AD715"/>
          <cell r="AE715">
            <v>39285</v>
          </cell>
          <cell r="AF715">
            <v>30000</v>
          </cell>
          <cell r="AG715" t="str">
            <v>16.4 km</v>
          </cell>
          <cell r="AH715" t="str">
            <v>25 min</v>
          </cell>
          <cell r="AI715">
            <v>45000</v>
          </cell>
          <cell r="AJ715">
            <v>40500</v>
          </cell>
          <cell r="AK715">
            <v>-10500</v>
          </cell>
          <cell r="AL715">
            <v>39285</v>
          </cell>
        </row>
        <row r="716">
          <cell r="T716" t="str">
            <v>SIERRA ANDREA</v>
          </cell>
          <cell r="U716" t="str">
            <v>VILLA LIGIA III MZ B CASA 11</v>
          </cell>
          <cell r="V716" t="str">
            <v>Villa Ligia III</v>
          </cell>
          <cell r="W716" t="str">
            <v>CERCANO</v>
          </cell>
          <cell r="X716">
            <v>3042503992</v>
          </cell>
          <cell r="Y716" t="str">
            <v>NORTE</v>
          </cell>
          <cell r="Z716"/>
          <cell r="AA716" t="str">
            <v>Valledupar</v>
          </cell>
          <cell r="AB716" t="str">
            <v>Valledupar</v>
          </cell>
          <cell r="AC716" t="str">
            <v>Carrera 7A # 28-62
Barrio 12 de Octubre</v>
          </cell>
          <cell r="AD716"/>
          <cell r="AE716">
            <v>10670</v>
          </cell>
          <cell r="AF716">
            <v>8000</v>
          </cell>
          <cell r="AG716" t="str">
            <v>6.5 km</v>
          </cell>
          <cell r="AH716" t="str">
            <v>17 min</v>
          </cell>
          <cell r="AI716">
            <v>15000</v>
          </cell>
          <cell r="AJ716">
            <v>15000</v>
          </cell>
          <cell r="AK716">
            <v>-7000</v>
          </cell>
          <cell r="AL716">
            <v>14550</v>
          </cell>
        </row>
        <row r="717">
          <cell r="T717" t="str">
            <v>SIERRA FUENTES SAMARHA MASSIEL</v>
          </cell>
          <cell r="U717" t="str">
            <v>Carrrera 4G # 21Bis-220 Torre 3 Apt 203</v>
          </cell>
          <cell r="V717" t="str">
            <v>San Francisco de Asis</v>
          </cell>
          <cell r="W717" t="str">
            <v>CERCANO</v>
          </cell>
          <cell r="X717">
            <v>3013867435</v>
          </cell>
          <cell r="Y717" t="str">
            <v>NORTE</v>
          </cell>
          <cell r="Z717"/>
          <cell r="AA717" t="str">
            <v>Valledupar</v>
          </cell>
          <cell r="AB717" t="str">
            <v>Valledupar</v>
          </cell>
          <cell r="AC717" t="str">
            <v>Carrera 7A # 28-62
Barrio 12 de Octubre</v>
          </cell>
          <cell r="AD717"/>
          <cell r="AE717">
            <v>13095</v>
          </cell>
          <cell r="AF717">
            <v>8000</v>
          </cell>
          <cell r="AG717" t="str">
            <v>4.3 km</v>
          </cell>
          <cell r="AH717" t="str">
            <v>7 min</v>
          </cell>
          <cell r="AI717">
            <v>15000</v>
          </cell>
          <cell r="AJ717">
            <v>13500</v>
          </cell>
          <cell r="AK717">
            <v>-5500</v>
          </cell>
          <cell r="AL717">
            <v>13095</v>
          </cell>
        </row>
        <row r="718">
          <cell r="T718" t="str">
            <v>SIERRA REDONDO YENIS</v>
          </cell>
          <cell r="U718" t="str">
            <v>CRA 30 A #11B 49</v>
          </cell>
          <cell r="V718" t="str">
            <v>20 De Julio</v>
          </cell>
          <cell r="W718" t="str">
            <v>CERCANO</v>
          </cell>
          <cell r="X718">
            <v>3177118055</v>
          </cell>
          <cell r="Y718" t="str">
            <v>NORTE</v>
          </cell>
          <cell r="Z718"/>
          <cell r="AA718" t="str">
            <v>Valledupar</v>
          </cell>
          <cell r="AB718" t="str">
            <v>Valledupar</v>
          </cell>
          <cell r="AC718" t="str">
            <v>Carrera 7A # 28-62
Barrio 12 de Octubre</v>
          </cell>
          <cell r="AD718"/>
          <cell r="AE718">
            <v>13095</v>
          </cell>
          <cell r="AF718">
            <v>8000</v>
          </cell>
          <cell r="AG718" t="str">
            <v>3.3 km</v>
          </cell>
          <cell r="AH718" t="str">
            <v>9 min</v>
          </cell>
          <cell r="AI718">
            <v>15000</v>
          </cell>
          <cell r="AJ718">
            <v>13500</v>
          </cell>
          <cell r="AK718">
            <v>-5500</v>
          </cell>
          <cell r="AL718">
            <v>13095</v>
          </cell>
        </row>
        <row r="719">
          <cell r="T719" t="str">
            <v>TABARES OSPINA LEYDY YULIANA</v>
          </cell>
          <cell r="U719" t="str">
            <v>APT DE COLORES 803  PUERTAS DEL SOL</v>
          </cell>
          <cell r="V719" t="str">
            <v>Puerta del Sol</v>
          </cell>
          <cell r="W719" t="str">
            <v>CERCANO</v>
          </cell>
          <cell r="X719">
            <v>3148855901</v>
          </cell>
          <cell r="Y719" t="str">
            <v>SUROCCIDENTE</v>
          </cell>
          <cell r="Z719"/>
          <cell r="AA719" t="str">
            <v>Manizales</v>
          </cell>
          <cell r="AB719" t="str">
            <v>Manizales</v>
          </cell>
          <cell r="AC719" t="str">
            <v>Cra. 23 # 39 - 25 Piso 2
Antiguo Edificio Clínica Manizales
(IPS Caprecom Clínica Manizales)</v>
          </cell>
          <cell r="AD719"/>
          <cell r="AE719">
            <v>13095</v>
          </cell>
          <cell r="AF719">
            <v>9000</v>
          </cell>
          <cell r="AG719" t="str">
            <v>4.2 km</v>
          </cell>
          <cell r="AH719" t="str">
            <v>9 min</v>
          </cell>
          <cell r="AI719">
            <v>15000</v>
          </cell>
          <cell r="AJ719">
            <v>13500</v>
          </cell>
          <cell r="AK719">
            <v>-4500</v>
          </cell>
          <cell r="AL719">
            <v>13095</v>
          </cell>
        </row>
        <row r="720">
          <cell r="T720" t="str">
            <v>TERESA ORTIZ</v>
          </cell>
          <cell r="U720" t="str">
            <v>AV 19 #3ª-12 SIGLO XXI</v>
          </cell>
          <cell r="V720" t="str">
            <v>Siglo XXI</v>
          </cell>
          <cell r="W720" t="str">
            <v>CERCANO</v>
          </cell>
          <cell r="X720" t="e">
            <v>#REF!</v>
          </cell>
          <cell r="Y720" t="str">
            <v>NORTE</v>
          </cell>
          <cell r="Z720"/>
          <cell r="AA720" t="str">
            <v>Cucuta</v>
          </cell>
          <cell r="AB720" t="str">
            <v>Cucuta</v>
          </cell>
          <cell r="AC720" t="str">
            <v>Calle 14 # 1-37 Barrio La Playa, Centro.</v>
          </cell>
          <cell r="AD720"/>
          <cell r="AE720">
            <v>13095</v>
          </cell>
          <cell r="AF720">
            <v>9000</v>
          </cell>
          <cell r="AG720" t="str">
            <v>5.2 km</v>
          </cell>
          <cell r="AH720" t="str">
            <v>12 min</v>
          </cell>
          <cell r="AI720" t="e">
            <v>#N/A</v>
          </cell>
          <cell r="AJ720">
            <v>13500</v>
          </cell>
          <cell r="AK720">
            <v>-4500</v>
          </cell>
          <cell r="AL720">
            <v>13095</v>
          </cell>
        </row>
        <row r="721">
          <cell r="T721" t="str">
            <v>TOCARRUNCHO ECHEVERRIA GLORIA NELLY</v>
          </cell>
          <cell r="U721" t="str">
            <v>AUXILIAR DE ENFERMERIA</v>
          </cell>
          <cell r="V721" t="str">
            <v>La Calleja</v>
          </cell>
          <cell r="W721" t="str">
            <v>CERCANO</v>
          </cell>
          <cell r="X721">
            <v>3212328703</v>
          </cell>
          <cell r="Y721" t="str">
            <v>CENTRO</v>
          </cell>
          <cell r="Z721"/>
          <cell r="AA721" t="str">
            <v>Tunja</v>
          </cell>
          <cell r="AB721" t="str">
            <v>Tunja</v>
          </cell>
          <cell r="AC721" t="str">
            <v>Carrera 1B N 46A 18 Urb. Manolete</v>
          </cell>
          <cell r="AD721"/>
          <cell r="AE721">
            <v>13095</v>
          </cell>
          <cell r="AF721">
            <v>9000</v>
          </cell>
          <cell r="AG721" t="str">
            <v>6.1 km</v>
          </cell>
          <cell r="AH721" t="str">
            <v>14 min</v>
          </cell>
          <cell r="AI721">
            <v>15000</v>
          </cell>
          <cell r="AJ721">
            <v>13500</v>
          </cell>
          <cell r="AK721">
            <v>-4500</v>
          </cell>
          <cell r="AL721">
            <v>13095</v>
          </cell>
        </row>
        <row r="722">
          <cell r="T722" t="str">
            <v>TORRES ACEVEDO SANDRA</v>
          </cell>
          <cell r="U722" t="str">
            <v>AUXILIAR DE ENFERMERIA</v>
          </cell>
          <cell r="V722" t="str">
            <v>Centro</v>
          </cell>
          <cell r="W722" t="str">
            <v>CERCANO</v>
          </cell>
          <cell r="X722" t="e">
            <v>#REF!</v>
          </cell>
          <cell r="Y722" t="str">
            <v>CENTRO</v>
          </cell>
          <cell r="Z722"/>
          <cell r="AA722" t="str">
            <v>Tunja</v>
          </cell>
          <cell r="AB722" t="str">
            <v>Tunja</v>
          </cell>
          <cell r="AC722" t="str">
            <v>Carrera 1B N 46A 18 Urb. Manolete</v>
          </cell>
          <cell r="AD722"/>
          <cell r="AE722">
            <v>13095</v>
          </cell>
          <cell r="AF722">
            <v>9000</v>
          </cell>
          <cell r="AG722" t="str">
            <v>3.8 km</v>
          </cell>
          <cell r="AH722" t="str">
            <v>13 min</v>
          </cell>
          <cell r="AI722" t="e">
            <v>#N/A</v>
          </cell>
          <cell r="AJ722">
            <v>13500</v>
          </cell>
          <cell r="AK722">
            <v>-4500</v>
          </cell>
          <cell r="AL722">
            <v>13095</v>
          </cell>
        </row>
        <row r="723">
          <cell r="T723" t="str">
            <v>TREJOS TREJOS LUZ ANGELA</v>
          </cell>
          <cell r="U723" t="str">
            <v>Carrera 39 # 7- 10 apto 102 Unidad Nueva Granada</v>
          </cell>
          <cell r="V723" t="str">
            <v>Templeto</v>
          </cell>
          <cell r="W723" t="str">
            <v>CERCANO</v>
          </cell>
          <cell r="X723">
            <v>3136928457</v>
          </cell>
          <cell r="Y723" t="str">
            <v>SUROCCIDENTE</v>
          </cell>
          <cell r="Z723"/>
          <cell r="AA723" t="str">
            <v>Cali</v>
          </cell>
          <cell r="AB723" t="str">
            <v>Imbanaco</v>
          </cell>
          <cell r="AC723" t="str">
            <v>Cll. 5B 4  # 38 -123</v>
          </cell>
          <cell r="AD723"/>
          <cell r="AE723">
            <v>13095</v>
          </cell>
          <cell r="AF723">
            <v>9000</v>
          </cell>
          <cell r="AG723" t="str">
            <v>1.3 km</v>
          </cell>
          <cell r="AH723" t="str">
            <v>5 min</v>
          </cell>
          <cell r="AI723">
            <v>15000</v>
          </cell>
          <cell r="AJ723">
            <v>13500</v>
          </cell>
          <cell r="AK723">
            <v>-4500</v>
          </cell>
          <cell r="AL723">
            <v>13095</v>
          </cell>
        </row>
        <row r="724">
          <cell r="T724" t="str">
            <v>TRIANA PERICO FAER ANTONIO</v>
          </cell>
          <cell r="U724" t="str">
            <v>KRA 40 No.22-193</v>
          </cell>
          <cell r="V724" t="str">
            <v>San Jose</v>
          </cell>
          <cell r="W724" t="str">
            <v>CERCANO</v>
          </cell>
          <cell r="X724">
            <v>3103110094</v>
          </cell>
          <cell r="Y724" t="str">
            <v>CENTRO</v>
          </cell>
          <cell r="Z724"/>
          <cell r="AA724" t="str">
            <v>Duitama</v>
          </cell>
          <cell r="AB724" t="str">
            <v>Duitama</v>
          </cell>
          <cell r="AC724" t="str">
            <v>Calle 9 # 36 - 24 Barrio Sausalito</v>
          </cell>
          <cell r="AD724"/>
          <cell r="AE724">
            <v>13095</v>
          </cell>
          <cell r="AF724">
            <v>9000</v>
          </cell>
          <cell r="AG724" t="str">
            <v>2.3 km</v>
          </cell>
          <cell r="AH724" t="str">
            <v>8 min</v>
          </cell>
          <cell r="AI724">
            <v>15000</v>
          </cell>
          <cell r="AJ724">
            <v>13500</v>
          </cell>
          <cell r="AK724">
            <v>-4500</v>
          </cell>
          <cell r="AL724">
            <v>13095</v>
          </cell>
        </row>
        <row r="725">
          <cell r="T725" t="str">
            <v>TRINIDAD MENDOZA</v>
          </cell>
          <cell r="U725" t="str">
            <v>CALLE 6 # 9-29 ALTOS DEL PAMPLONITO</v>
          </cell>
          <cell r="V725" t="str">
            <v>Alto de pamplonita</v>
          </cell>
          <cell r="W725" t="str">
            <v>CERCANO</v>
          </cell>
          <cell r="X725" t="e">
            <v>#REF!</v>
          </cell>
          <cell r="Y725" t="str">
            <v>NORTE</v>
          </cell>
          <cell r="Z725"/>
          <cell r="AA725" t="str">
            <v>Cucuta</v>
          </cell>
          <cell r="AB725" t="str">
            <v>Cucuta</v>
          </cell>
          <cell r="AC725" t="str">
            <v>Calle 14 # 1-37 Barrio La Playa, Centro.</v>
          </cell>
          <cell r="AD725"/>
          <cell r="AE725">
            <v>13095</v>
          </cell>
          <cell r="AF725">
            <v>9000</v>
          </cell>
          <cell r="AG725" t="str">
            <v>4.2 km</v>
          </cell>
          <cell r="AH725" t="str">
            <v>9 min</v>
          </cell>
          <cell r="AI725" t="e">
            <v>#N/A</v>
          </cell>
          <cell r="AJ725">
            <v>13500</v>
          </cell>
          <cell r="AK725">
            <v>-4500</v>
          </cell>
          <cell r="AL725">
            <v>13095</v>
          </cell>
        </row>
        <row r="726">
          <cell r="T726" t="str">
            <v>VEGA CORREA LUISA ALEXANDRA</v>
          </cell>
          <cell r="U726" t="str">
            <v>KRA 40 No.22-193</v>
          </cell>
          <cell r="V726" t="str">
            <v>San Cayetano</v>
          </cell>
          <cell r="W726" t="str">
            <v>CERCANO</v>
          </cell>
          <cell r="X726">
            <v>3132076552</v>
          </cell>
          <cell r="Y726" t="str">
            <v>CENTRO</v>
          </cell>
          <cell r="Z726"/>
          <cell r="AA726" t="str">
            <v>Duitama</v>
          </cell>
          <cell r="AB726" t="str">
            <v>Duitama</v>
          </cell>
          <cell r="AC726" t="str">
            <v>Calle 9 # 36 - 24 Barrio Sausalito</v>
          </cell>
          <cell r="AD726"/>
          <cell r="AE726">
            <v>13095</v>
          </cell>
          <cell r="AF726">
            <v>9000</v>
          </cell>
          <cell r="AG726" t="str">
            <v>1.4 km</v>
          </cell>
          <cell r="AH726" t="str">
            <v>6 min</v>
          </cell>
          <cell r="AI726">
            <v>15000</v>
          </cell>
          <cell r="AJ726">
            <v>13500</v>
          </cell>
          <cell r="AK726">
            <v>-4500</v>
          </cell>
          <cell r="AL726">
            <v>13095</v>
          </cell>
        </row>
        <row r="727">
          <cell r="T727" t="str">
            <v>VEGA CUELLO SULEIMA YULIETH</v>
          </cell>
          <cell r="U727" t="str">
            <v>CALLE 4B # 19C - 19 TORRE 1 APTO 302 CONJUNTO CERRADO CITARINGA</v>
          </cell>
          <cell r="V727" t="str">
            <v>Citaringa</v>
          </cell>
          <cell r="W727" t="str">
            <v>CERCANO</v>
          </cell>
          <cell r="X727">
            <v>3017647622</v>
          </cell>
          <cell r="Y727" t="str">
            <v>NORTE</v>
          </cell>
          <cell r="Z727"/>
          <cell r="AA727" t="str">
            <v>Valledupar</v>
          </cell>
          <cell r="AB727" t="str">
            <v>Valledupar</v>
          </cell>
          <cell r="AC727" t="str">
            <v>Carrera 7A # 28-62
Barrio 12 de Octubre</v>
          </cell>
          <cell r="AD727"/>
          <cell r="AE727">
            <v>10670</v>
          </cell>
          <cell r="AF727">
            <v>8000</v>
          </cell>
          <cell r="AG727" t="str">
            <v>5.7 km</v>
          </cell>
          <cell r="AH727" t="str">
            <v>14 min</v>
          </cell>
          <cell r="AI727">
            <v>20000</v>
          </cell>
          <cell r="AJ727">
            <v>18000</v>
          </cell>
          <cell r="AK727">
            <v>-10000</v>
          </cell>
          <cell r="AL727">
            <v>17460</v>
          </cell>
        </row>
        <row r="728">
          <cell r="T728" t="str">
            <v>VIDAL DIEGO FERNANDO</v>
          </cell>
          <cell r="U728" t="str">
            <v xml:space="preserve">Carrera 27 # 5b - 42 apto 203 B/ sanfernando  </v>
          </cell>
          <cell r="V728" t="str">
            <v>Santo Domingo</v>
          </cell>
          <cell r="W728" t="str">
            <v>CERCANO</v>
          </cell>
          <cell r="X728">
            <v>3004420569</v>
          </cell>
          <cell r="Y728" t="str">
            <v>SUROCCIDENTE</v>
          </cell>
          <cell r="Z728"/>
          <cell r="AA728" t="str">
            <v>Cali</v>
          </cell>
          <cell r="AB728" t="str">
            <v>Imbanaco</v>
          </cell>
          <cell r="AC728" t="str">
            <v>Cll. 5B 4  # 38 -123</v>
          </cell>
          <cell r="AD728"/>
          <cell r="AE728">
            <v>13095</v>
          </cell>
          <cell r="AF728">
            <v>9000</v>
          </cell>
          <cell r="AG728" t="str">
            <v>1.4 km</v>
          </cell>
          <cell r="AH728" t="str">
            <v>4 min</v>
          </cell>
          <cell r="AI728">
            <v>15000</v>
          </cell>
          <cell r="AJ728">
            <v>13500</v>
          </cell>
          <cell r="AK728">
            <v>-4500</v>
          </cell>
          <cell r="AL728">
            <v>13095</v>
          </cell>
        </row>
        <row r="729">
          <cell r="T729" t="str">
            <v>VILLAZON ALFARO YULIETH KISSED</v>
          </cell>
          <cell r="U729" t="str">
            <v>CRA 6 # 6A 1 # 55 - 89 MZ 5 CS 207 CONJUNTO CERRADO VIVE ALTO</v>
          </cell>
          <cell r="V729" t="str">
            <v>San Fernando</v>
          </cell>
          <cell r="W729" t="str">
            <v>CERCANO</v>
          </cell>
          <cell r="X729">
            <v>3017958208</v>
          </cell>
          <cell r="Y729" t="str">
            <v>NORTE</v>
          </cell>
          <cell r="Z729"/>
          <cell r="AA729" t="str">
            <v>Valledupar</v>
          </cell>
          <cell r="AB729" t="str">
            <v>Valledupar</v>
          </cell>
          <cell r="AC729" t="str">
            <v>Carrera 7A # 28-62
Barrio 12 de Octubre</v>
          </cell>
          <cell r="AD729"/>
          <cell r="AE729">
            <v>13095</v>
          </cell>
          <cell r="AF729">
            <v>8000</v>
          </cell>
          <cell r="AG729" t="str">
            <v>3.4 km</v>
          </cell>
          <cell r="AH729" t="str">
            <v>8 min</v>
          </cell>
          <cell r="AI729">
            <v>15000</v>
          </cell>
          <cell r="AJ729">
            <v>13500</v>
          </cell>
          <cell r="AK729">
            <v>-5500</v>
          </cell>
          <cell r="AL729">
            <v>13095</v>
          </cell>
        </row>
        <row r="730">
          <cell r="T730" t="str">
            <v xml:space="preserve">YERLIS </v>
          </cell>
          <cell r="U730" t="str">
            <v xml:space="preserve">CARRERA 4 # 35B-60 LAS PALMAS </v>
          </cell>
          <cell r="V730" t="str">
            <v>Las Palmas</v>
          </cell>
          <cell r="W730" t="str">
            <v>CERCANO</v>
          </cell>
          <cell r="X730">
            <v>3006659227</v>
          </cell>
          <cell r="Y730" t="str">
            <v>NORTE</v>
          </cell>
          <cell r="Z730"/>
          <cell r="AA730" t="str">
            <v>Barranquilla</v>
          </cell>
          <cell r="AB730" t="str">
            <v>Murillo</v>
          </cell>
          <cell r="AC730" t="str">
            <v>Calle 45 # 9B - 08
Barrio La Victoria</v>
          </cell>
          <cell r="AD730"/>
          <cell r="AE730">
            <v>10670</v>
          </cell>
          <cell r="AF730">
            <v>9000</v>
          </cell>
          <cell r="AG730" t="str">
            <v>2.5 km</v>
          </cell>
          <cell r="AH730" t="str">
            <v>7 min</v>
          </cell>
          <cell r="AI730">
            <v>11000</v>
          </cell>
          <cell r="AJ730">
            <v>11000</v>
          </cell>
          <cell r="AK730">
            <v>-2000</v>
          </cell>
          <cell r="AL730">
            <v>10670</v>
          </cell>
        </row>
        <row r="731">
          <cell r="T731" t="str">
            <v>YESID</v>
          </cell>
          <cell r="U731" t="str">
            <v xml:space="preserve">CARRERA 3A # 52B-62 7 DE ABRIL </v>
          </cell>
          <cell r="V731" t="str">
            <v>7 de Abril</v>
          </cell>
          <cell r="W731" t="str">
            <v>CERCANO</v>
          </cell>
          <cell r="X731">
            <v>3002022182</v>
          </cell>
          <cell r="Y731" t="str">
            <v>NORTE</v>
          </cell>
          <cell r="Z731"/>
          <cell r="AA731" t="str">
            <v>Barranquilla</v>
          </cell>
          <cell r="AB731" t="str">
            <v>Murillo</v>
          </cell>
          <cell r="AC731" t="str">
            <v>Calle 45 # 9B - 08
Barrio La Victoria</v>
          </cell>
          <cell r="AD731"/>
          <cell r="AE731">
            <v>10670</v>
          </cell>
          <cell r="AF731">
            <v>9000</v>
          </cell>
          <cell r="AG731" t="str">
            <v>2.3 km</v>
          </cell>
          <cell r="AH731" t="str">
            <v>6 min</v>
          </cell>
          <cell r="AI731">
            <v>11000</v>
          </cell>
          <cell r="AJ731">
            <v>11000</v>
          </cell>
          <cell r="AK731">
            <v>-2000</v>
          </cell>
          <cell r="AL731">
            <v>10670</v>
          </cell>
        </row>
        <row r="732">
          <cell r="T732" t="str">
            <v>TATIANA GIRALDO</v>
          </cell>
          <cell r="U732" t="str">
            <v>CALLE 12C # 29B - 115 Apto 808</v>
          </cell>
          <cell r="V732" t="str">
            <v>Colseguros</v>
          </cell>
          <cell r="W732" t="str">
            <v>CERCANO</v>
          </cell>
          <cell r="X732">
            <v>0</v>
          </cell>
          <cell r="Y732" t="str">
            <v>SUROCCIDENTE</v>
          </cell>
          <cell r="Z732"/>
          <cell r="AA732" t="str">
            <v xml:space="preserve">Cali </v>
          </cell>
          <cell r="AB732" t="str">
            <v>NSR -  CALI</v>
          </cell>
          <cell r="AC732" t="str">
            <v>Cll. 10  # 33 - 51 piso  4 Barrio Colseguros</v>
          </cell>
          <cell r="AD732"/>
          <cell r="AE732">
            <v>13095</v>
          </cell>
          <cell r="AF732">
            <v>9000</v>
          </cell>
          <cell r="AG732" t="str">
            <v>800 metros</v>
          </cell>
          <cell r="AH732" t="str">
            <v>2 min</v>
          </cell>
          <cell r="AI732" t="e">
            <v>#N/A</v>
          </cell>
          <cell r="AJ732">
            <v>13500</v>
          </cell>
          <cell r="AK732">
            <v>-4500</v>
          </cell>
          <cell r="AL732">
            <v>13095</v>
          </cell>
        </row>
        <row r="733">
          <cell r="T733" t="str">
            <v>LINA</v>
          </cell>
          <cell r="U733" t="str">
            <v>CALLE 9 # 8 - 63 PISO VILLAMARIA</v>
          </cell>
          <cell r="V733" t="str">
            <v>Alto el porton</v>
          </cell>
          <cell r="W733" t="str">
            <v>INTERMUNICIPAL</v>
          </cell>
          <cell r="X733">
            <v>3122762030</v>
          </cell>
          <cell r="Y733" t="str">
            <v>SUROCCIDENTE</v>
          </cell>
          <cell r="Z733"/>
          <cell r="AA733" t="str">
            <v>Manizales</v>
          </cell>
          <cell r="AB733" t="str">
            <v>Manizales</v>
          </cell>
          <cell r="AC733" t="str">
            <v>Cra. 23 # 39 - 25 Piso 2
Antiguo Edificio Clínica Manizales
(IPS Caprecom Clínica Manizales)</v>
          </cell>
          <cell r="AD733"/>
          <cell r="AE733">
            <v>30555</v>
          </cell>
          <cell r="AF733">
            <v>30000</v>
          </cell>
          <cell r="AG733" t="str">
            <v>13 km</v>
          </cell>
          <cell r="AH733" t="str">
            <v>20 min</v>
          </cell>
          <cell r="AI733">
            <v>20000</v>
          </cell>
          <cell r="AJ733">
            <v>18000</v>
          </cell>
          <cell r="AK733">
            <v>12000</v>
          </cell>
          <cell r="AL733">
            <v>17460</v>
          </cell>
        </row>
        <row r="734">
          <cell r="T734" t="str">
            <v>ELIANA ZENITH MUNIVE</v>
          </cell>
          <cell r="U734" t="str">
            <v>Cra 41a # 28 - 43 Costa Hermosa</v>
          </cell>
          <cell r="V734" t="str">
            <v>Costa Hermosa</v>
          </cell>
          <cell r="W734" t="str">
            <v>LEJANO</v>
          </cell>
          <cell r="X734">
            <v>3012807716</v>
          </cell>
          <cell r="Y734" t="str">
            <v>NORTE</v>
          </cell>
          <cell r="Z734"/>
          <cell r="AA734" t="str">
            <v>Barranquilla</v>
          </cell>
          <cell r="AB734" t="str">
            <v>Riomar</v>
          </cell>
          <cell r="AC734" t="str">
            <v>Cra. 51 # 82-197</v>
          </cell>
          <cell r="AD734"/>
          <cell r="AE734">
            <v>17460</v>
          </cell>
          <cell r="AF734">
            <v>9000</v>
          </cell>
          <cell r="AG734" t="str">
            <v>15.3 km</v>
          </cell>
          <cell r="AH734" t="str">
            <v>30 min</v>
          </cell>
          <cell r="AI734">
            <v>20000</v>
          </cell>
          <cell r="AJ734">
            <v>18000</v>
          </cell>
          <cell r="AK734">
            <v>-9000</v>
          </cell>
          <cell r="AL734">
            <v>17460</v>
          </cell>
        </row>
        <row r="735">
          <cell r="T735" t="str">
            <v>MARCELA BUSTILLO SERRANO</v>
          </cell>
          <cell r="U735" t="str">
            <v>Cra 13b # 54 - 08 Barrio Cevillar</v>
          </cell>
          <cell r="V735" t="str">
            <v>Cevillar</v>
          </cell>
          <cell r="W735" t="str">
            <v>LEJANO</v>
          </cell>
          <cell r="X735" t="e">
            <v>#REF!</v>
          </cell>
          <cell r="Y735" t="str">
            <v>NORTE</v>
          </cell>
          <cell r="Z735"/>
          <cell r="AA735" t="str">
            <v>Barranquilla</v>
          </cell>
          <cell r="AB735" t="str">
            <v>Riomar</v>
          </cell>
          <cell r="AC735" t="str">
            <v>Cra. 51 # 82-197</v>
          </cell>
          <cell r="AD735"/>
          <cell r="AE735">
            <v>17460</v>
          </cell>
          <cell r="AF735">
            <v>9000</v>
          </cell>
          <cell r="AG735" t="str">
            <v>8.4 km</v>
          </cell>
          <cell r="AH735" t="str">
            <v>25 min</v>
          </cell>
          <cell r="AI735" t="e">
            <v>#N/A</v>
          </cell>
          <cell r="AJ735">
            <v>18000</v>
          </cell>
          <cell r="AK735">
            <v>-9000</v>
          </cell>
          <cell r="AL735">
            <v>17460</v>
          </cell>
        </row>
        <row r="736">
          <cell r="T736" t="str">
            <v>Medina Castrellon Elbia Judith</v>
          </cell>
          <cell r="U736" t="str">
            <v>Cra 14d # 68a - 14 BarrioVilla Estadio Soledad</v>
          </cell>
          <cell r="V736" t="str">
            <v>Villa Estadio-soledad</v>
          </cell>
          <cell r="W736" t="str">
            <v>INTERMUNICIPAL</v>
          </cell>
          <cell r="X736" t="e">
            <v>#REF!</v>
          </cell>
          <cell r="Y736" t="str">
            <v>NORTE</v>
          </cell>
          <cell r="Z736"/>
          <cell r="AA736" t="str">
            <v>Barranquilla</v>
          </cell>
          <cell r="AB736" t="str">
            <v>Riomar</v>
          </cell>
          <cell r="AC736" t="str">
            <v>Cra. 51 # 82-197</v>
          </cell>
          <cell r="AD736"/>
          <cell r="AE736">
            <v>38800</v>
          </cell>
          <cell r="AF736">
            <v>30000</v>
          </cell>
          <cell r="AG736" t="str">
            <v>15.1 km</v>
          </cell>
          <cell r="AH736" t="str">
            <v>27 min</v>
          </cell>
          <cell r="AI736" t="e">
            <v>#N/A</v>
          </cell>
          <cell r="AJ736">
            <v>40000</v>
          </cell>
          <cell r="AK736">
            <v>-10000</v>
          </cell>
          <cell r="AL736">
            <v>38800</v>
          </cell>
        </row>
        <row r="737">
          <cell r="T737" t="str">
            <v>TORRES ARENAS ANTONIA MARIA</v>
          </cell>
          <cell r="U737" t="str">
            <v>Cll 47 # 33 - 90 Chiquinquira</v>
          </cell>
          <cell r="V737" t="str">
            <v>Chiquinquira</v>
          </cell>
          <cell r="W737" t="str">
            <v>LEJANO</v>
          </cell>
          <cell r="X737" t="e">
            <v>#REF!</v>
          </cell>
          <cell r="Y737" t="str">
            <v>NORTE</v>
          </cell>
          <cell r="Z737"/>
          <cell r="AA737" t="str">
            <v>Barranquilla</v>
          </cell>
          <cell r="AB737" t="str">
            <v>Riomar</v>
          </cell>
          <cell r="AC737" t="str">
            <v>Cra. 51 # 82-197</v>
          </cell>
          <cell r="AD737"/>
          <cell r="AE737">
            <v>17460</v>
          </cell>
          <cell r="AF737">
            <v>9000</v>
          </cell>
          <cell r="AG737" t="str">
            <v>6.2 km</v>
          </cell>
          <cell r="AH737" t="str">
            <v>19 min</v>
          </cell>
          <cell r="AI737" t="e">
            <v>#N/A</v>
          </cell>
          <cell r="AJ737">
            <v>18000</v>
          </cell>
          <cell r="AK737">
            <v>-9000</v>
          </cell>
          <cell r="AL737">
            <v>17460</v>
          </cell>
        </row>
        <row r="738">
          <cell r="T738" t="str">
            <v>CABALLERO VILLAREAL DILAN JASIR</v>
          </cell>
          <cell r="U738" t="str">
            <v>Cra 5c # 91 - 26 San Luis</v>
          </cell>
          <cell r="V738" t="str">
            <v>San Luis</v>
          </cell>
          <cell r="W738" t="str">
            <v>LEJANO</v>
          </cell>
          <cell r="X738" t="e">
            <v>#REF!</v>
          </cell>
          <cell r="Y738" t="str">
            <v>NORTE</v>
          </cell>
          <cell r="Z738"/>
          <cell r="AA738" t="str">
            <v>Barranquilla</v>
          </cell>
          <cell r="AB738" t="str">
            <v>Riomar</v>
          </cell>
          <cell r="AC738" t="str">
            <v>Cra. 51 # 82-197</v>
          </cell>
          <cell r="AD738"/>
          <cell r="AE738">
            <v>17460</v>
          </cell>
          <cell r="AF738">
            <v>9000</v>
          </cell>
          <cell r="AG738" t="str">
            <v>9.8 km</v>
          </cell>
          <cell r="AH738" t="str">
            <v>20 min</v>
          </cell>
          <cell r="AI738" t="e">
            <v>#N/A</v>
          </cell>
          <cell r="AJ738">
            <v>18000</v>
          </cell>
          <cell r="AK738">
            <v>-9000</v>
          </cell>
          <cell r="AL738">
            <v>17460</v>
          </cell>
        </row>
        <row r="739">
          <cell r="T739" t="str">
            <v>ANTONIA TORRES</v>
          </cell>
          <cell r="U739" t="str">
            <v>Calle 47 # 33 - 90 Chiquinquira</v>
          </cell>
          <cell r="V739" t="str">
            <v>Chiquinquira</v>
          </cell>
          <cell r="W739" t="str">
            <v>LEJANO</v>
          </cell>
          <cell r="X739" t="e">
            <v>#REF!</v>
          </cell>
          <cell r="Y739" t="str">
            <v>NORTE</v>
          </cell>
          <cell r="Z739"/>
          <cell r="AA739" t="str">
            <v>Barranquilla</v>
          </cell>
          <cell r="AB739" t="str">
            <v>Riomar</v>
          </cell>
          <cell r="AC739" t="str">
            <v>Cra. 51 # 82-197</v>
          </cell>
          <cell r="AD739"/>
          <cell r="AE739">
            <v>17460</v>
          </cell>
          <cell r="AF739">
            <v>9000</v>
          </cell>
          <cell r="AG739" t="str">
            <v>6.2 km</v>
          </cell>
          <cell r="AH739" t="str">
            <v>19 min</v>
          </cell>
          <cell r="AI739" t="e">
            <v>#N/A</v>
          </cell>
          <cell r="AJ739">
            <v>18000</v>
          </cell>
          <cell r="AK739">
            <v>-9000</v>
          </cell>
          <cell r="AL739">
            <v>17460</v>
          </cell>
        </row>
        <row r="740">
          <cell r="T740" t="str">
            <v>ELIAS SERMEÑO</v>
          </cell>
          <cell r="U740" t="str">
            <v>Carrrera 4G # 21Bis-220 torre supermanzana A3 apto 403</v>
          </cell>
          <cell r="V740" t="str">
            <v>San Francisco de Asis</v>
          </cell>
          <cell r="W740" t="str">
            <v>CERCANO</v>
          </cell>
          <cell r="X740" t="e">
            <v>#REF!</v>
          </cell>
          <cell r="Y740" t="str">
            <v>NORTE</v>
          </cell>
          <cell r="Z740"/>
          <cell r="AA740" t="str">
            <v>Valledupar</v>
          </cell>
          <cell r="AB740" t="str">
            <v>Valledupar</v>
          </cell>
          <cell r="AC740" t="str">
            <v>Carrera 7A # 28-62
Barrio 12 de Octubre</v>
          </cell>
          <cell r="AD740"/>
          <cell r="AE740">
            <v>13095</v>
          </cell>
          <cell r="AF740">
            <v>8000</v>
          </cell>
          <cell r="AG740" t="str">
            <v>4.3 km</v>
          </cell>
          <cell r="AH740" t="str">
            <v>7 min</v>
          </cell>
          <cell r="AI740" t="e">
            <v>#N/A</v>
          </cell>
          <cell r="AJ740">
            <v>13500</v>
          </cell>
          <cell r="AK740">
            <v>-5500</v>
          </cell>
          <cell r="AL740">
            <v>13095</v>
          </cell>
        </row>
        <row r="741">
          <cell r="T741" t="str">
            <v>Yacquelina Garzon</v>
          </cell>
          <cell r="U741" t="str">
            <v>mz 6 casa 1 altos del peñon</v>
          </cell>
          <cell r="V741" t="str">
            <v>Altos del Peñon</v>
          </cell>
          <cell r="W741" t="str">
            <v>CERCANO</v>
          </cell>
          <cell r="X741" t="e">
            <v>#REF!</v>
          </cell>
          <cell r="Y741" t="str">
            <v>CENTRO</v>
          </cell>
          <cell r="Z741"/>
          <cell r="AA741" t="str">
            <v>Girardot</v>
          </cell>
          <cell r="AB741" t="str">
            <v>Girardot</v>
          </cell>
          <cell r="AC741" t="str">
            <v>Cra. 7 A # 31 - 54 Barrio La Magdalena</v>
          </cell>
          <cell r="AD741"/>
          <cell r="AE741">
            <v>13095</v>
          </cell>
          <cell r="AF741">
            <v>9000</v>
          </cell>
          <cell r="AG741" t="str">
            <v xml:space="preserve">3 km </v>
          </cell>
          <cell r="AH741" t="str">
            <v>9 min</v>
          </cell>
          <cell r="AI741" t="e">
            <v>#N/A</v>
          </cell>
          <cell r="AJ741">
            <v>13500</v>
          </cell>
          <cell r="AK741">
            <v>-4500</v>
          </cell>
          <cell r="AL741">
            <v>13095</v>
          </cell>
        </row>
        <row r="742">
          <cell r="T742" t="str">
            <v>PAOLA MONTAÑO</v>
          </cell>
          <cell r="U742" t="str">
            <v>Conjunto ibanasca torre 3 apto 201 Salado</v>
          </cell>
          <cell r="V742" t="str">
            <v>Salado</v>
          </cell>
          <cell r="W742" t="str">
            <v>CERCANO</v>
          </cell>
          <cell r="X742" t="e">
            <v>#REF!</v>
          </cell>
          <cell r="Y742" t="str">
            <v>SUROCCIDENTE</v>
          </cell>
          <cell r="Z742"/>
          <cell r="AA742" t="str">
            <v>Ibague</v>
          </cell>
          <cell r="AB742" t="str">
            <v>Ibague</v>
          </cell>
          <cell r="AC742" t="str">
            <v>Calle 41 # 5 - 40 Barrio Restrepo</v>
          </cell>
          <cell r="AD742"/>
          <cell r="AE742">
            <v>13095</v>
          </cell>
          <cell r="AF742">
            <v>9000</v>
          </cell>
          <cell r="AG742" t="str">
            <v>11 km</v>
          </cell>
          <cell r="AH742" t="str">
            <v>23 min</v>
          </cell>
          <cell r="AI742" t="e">
            <v>#N/A</v>
          </cell>
          <cell r="AJ742">
            <v>13500</v>
          </cell>
          <cell r="AK742">
            <v>-4500</v>
          </cell>
          <cell r="AL742">
            <v>13095</v>
          </cell>
        </row>
        <row r="743">
          <cell r="T743" t="str">
            <v>ANDY MENDOZA SOLANO</v>
          </cell>
          <cell r="U743" t="str">
            <v>Calle 53b # 23 - 42 San Isidro</v>
          </cell>
          <cell r="V743" t="str">
            <v>San Isidro</v>
          </cell>
          <cell r="W743" t="str">
            <v>LEJANO</v>
          </cell>
          <cell r="X743" t="e">
            <v>#REF!</v>
          </cell>
          <cell r="Y743" t="str">
            <v>NORTE</v>
          </cell>
          <cell r="Z743"/>
          <cell r="AA743" t="str">
            <v>Barranquilla</v>
          </cell>
          <cell r="AB743" t="str">
            <v>Riomar</v>
          </cell>
          <cell r="AC743" t="str">
            <v>Cra. 51 # 82-197</v>
          </cell>
          <cell r="AD743"/>
          <cell r="AE743">
            <v>17460</v>
          </cell>
          <cell r="AF743">
            <v>9000</v>
          </cell>
          <cell r="AG743" t="str">
            <v>6.7 km</v>
          </cell>
          <cell r="AH743" t="str">
            <v>20 min</v>
          </cell>
          <cell r="AI743" t="e">
            <v>#N/A</v>
          </cell>
          <cell r="AJ743">
            <v>18000</v>
          </cell>
          <cell r="AK743">
            <v>-9000</v>
          </cell>
          <cell r="AL743">
            <v>17460</v>
          </cell>
        </row>
        <row r="744">
          <cell r="T744" t="str">
            <v>KARINA TORRESILLA</v>
          </cell>
          <cell r="U744" t="str">
            <v>Mz A Casa 19 B FLORES DE MARIA</v>
          </cell>
          <cell r="V744" t="str">
            <v>Flores de Maria</v>
          </cell>
          <cell r="W744" t="str">
            <v>LEJANO</v>
          </cell>
          <cell r="X744" t="e">
            <v>#REF!</v>
          </cell>
          <cell r="Y744" t="str">
            <v>NORTE</v>
          </cell>
          <cell r="Z744"/>
          <cell r="AA744" t="str">
            <v>Valledupar</v>
          </cell>
          <cell r="AB744" t="str">
            <v>Valledupar</v>
          </cell>
          <cell r="AC744" t="str">
            <v>Carrera 7A # 28-62
Barrio 12 de Octubre</v>
          </cell>
          <cell r="AD744"/>
          <cell r="AE744">
            <v>17460</v>
          </cell>
          <cell r="AF744">
            <v>9000</v>
          </cell>
          <cell r="AG744" t="str">
            <v>11.2 km</v>
          </cell>
          <cell r="AH744" t="str">
            <v>20 min</v>
          </cell>
          <cell r="AI744" t="e">
            <v>#N/A</v>
          </cell>
          <cell r="AJ744">
            <v>20000</v>
          </cell>
          <cell r="AK744">
            <v>-11000</v>
          </cell>
          <cell r="AL744">
            <v>19400</v>
          </cell>
        </row>
        <row r="745">
          <cell r="T745" t="str">
            <v>COBO NELLY</v>
          </cell>
          <cell r="U745" t="str">
            <v>Cra 46 # 02a - 60 B LIDO</v>
          </cell>
          <cell r="V745" t="str">
            <v>Lido</v>
          </cell>
          <cell r="W745" t="str">
            <v>CERCANO</v>
          </cell>
          <cell r="X745" t="e">
            <v>#REF!</v>
          </cell>
          <cell r="Y745" t="str">
            <v>SUROCCIDENTE</v>
          </cell>
          <cell r="Z745"/>
          <cell r="AA745" t="str">
            <v>Cali</v>
          </cell>
          <cell r="AB745" t="str">
            <v>Imbanaco</v>
          </cell>
          <cell r="AC745" t="str">
            <v>Cll. 5B 4  # 38 -123</v>
          </cell>
          <cell r="AD745"/>
          <cell r="AE745">
            <v>13095</v>
          </cell>
          <cell r="AF745">
            <v>9000</v>
          </cell>
          <cell r="AG745" t="str">
            <v>2 km</v>
          </cell>
          <cell r="AH745" t="str">
            <v>7 min</v>
          </cell>
          <cell r="AI745" t="e">
            <v>#N/A</v>
          </cell>
          <cell r="AJ745">
            <v>13500</v>
          </cell>
          <cell r="AK745">
            <v>-4500</v>
          </cell>
          <cell r="AL745">
            <v>13095</v>
          </cell>
        </row>
        <row r="746">
          <cell r="T746" t="str">
            <v>JANETH NARANJO</v>
          </cell>
          <cell r="U746" t="str">
            <v>CRA 8 # 123 - 154</v>
          </cell>
          <cell r="V746">
            <v>0</v>
          </cell>
          <cell r="W746" t="str">
            <v>CERCANO</v>
          </cell>
          <cell r="X746" t="e">
            <v>#REF!</v>
          </cell>
          <cell r="Y746" t="str">
            <v>SUROCCIDENTE</v>
          </cell>
          <cell r="Z746"/>
          <cell r="AA746" t="str">
            <v>Ibague</v>
          </cell>
          <cell r="AB746" t="str">
            <v>Ibague</v>
          </cell>
          <cell r="AC746" t="str">
            <v>Calle 41 # 5 - 40 Barrio Restrepo</v>
          </cell>
          <cell r="AD746"/>
          <cell r="AE746">
            <v>13095</v>
          </cell>
          <cell r="AF746">
            <v>9000</v>
          </cell>
          <cell r="AG746" t="str">
            <v>8 km</v>
          </cell>
          <cell r="AH746" t="str">
            <v>14 min</v>
          </cell>
          <cell r="AI746" t="e">
            <v>#N/A</v>
          </cell>
          <cell r="AJ746">
            <v>13500</v>
          </cell>
          <cell r="AK746">
            <v>-4500</v>
          </cell>
          <cell r="AL746">
            <v>13095</v>
          </cell>
        </row>
        <row r="747">
          <cell r="T747" t="str">
            <v>MARIA FERNANDA MONROY</v>
          </cell>
          <cell r="U747"/>
          <cell r="V747" t="str">
            <v>Alboraya</v>
          </cell>
          <cell r="W747" t="str">
            <v>CERCANO</v>
          </cell>
          <cell r="X747" t="e">
            <v>#REF!</v>
          </cell>
          <cell r="Y747" t="str">
            <v>NORTE</v>
          </cell>
          <cell r="Z747"/>
          <cell r="AA747" t="str">
            <v>Barranquilla</v>
          </cell>
          <cell r="AB747" t="str">
            <v>Murillo</v>
          </cell>
          <cell r="AC747" t="str">
            <v>Calle 45 # 9B - 08
Barrio La Victoria</v>
          </cell>
          <cell r="AD747"/>
          <cell r="AE747">
            <v>13095</v>
          </cell>
          <cell r="AF747">
            <v>9000</v>
          </cell>
          <cell r="AG747" t="str">
            <v>1.3 km</v>
          </cell>
          <cell r="AH747" t="str">
            <v>4 min</v>
          </cell>
          <cell r="AI747" t="e">
            <v>#N/A</v>
          </cell>
          <cell r="AJ747">
            <v>13500</v>
          </cell>
          <cell r="AK747">
            <v>-4500</v>
          </cell>
          <cell r="AL747">
            <v>13095</v>
          </cell>
        </row>
        <row r="748">
          <cell r="T748" t="str">
            <v>OLGA SARATE</v>
          </cell>
          <cell r="U748" t="str">
            <v>CRA 16 # 58 - 19</v>
          </cell>
          <cell r="V748">
            <v>0</v>
          </cell>
          <cell r="W748" t="str">
            <v>CERCANO</v>
          </cell>
          <cell r="X748" t="e">
            <v>#REF!</v>
          </cell>
          <cell r="Y748" t="str">
            <v>NORTE</v>
          </cell>
          <cell r="Z748"/>
          <cell r="AA748" t="str">
            <v>Barranquilla</v>
          </cell>
          <cell r="AB748" t="str">
            <v>Unirenal</v>
          </cell>
          <cell r="AC748" t="str">
            <v>Cll.  70B # 38-152</v>
          </cell>
          <cell r="AD748"/>
          <cell r="AE748">
            <v>13095</v>
          </cell>
          <cell r="AF748">
            <v>9000</v>
          </cell>
          <cell r="AG748">
            <v>4</v>
          </cell>
          <cell r="AH748">
            <v>10</v>
          </cell>
          <cell r="AI748" t="e">
            <v>#N/A</v>
          </cell>
          <cell r="AJ748">
            <v>13500</v>
          </cell>
          <cell r="AK748">
            <v>-4500</v>
          </cell>
          <cell r="AL748">
            <v>13095</v>
          </cell>
        </row>
        <row r="749">
          <cell r="T749" t="str">
            <v>BETSY BELEN SANCHEZ</v>
          </cell>
          <cell r="U749" t="str">
            <v>Calle 6 # 18 - 04 Aniversario dos</v>
          </cell>
          <cell r="V749" t="str">
            <v>Aniversario 2</v>
          </cell>
          <cell r="W749" t="str">
            <v>CERCANO</v>
          </cell>
          <cell r="X749">
            <v>3142893319</v>
          </cell>
          <cell r="Y749" t="str">
            <v>NORTE</v>
          </cell>
          <cell r="Z749"/>
          <cell r="AA749" t="str">
            <v>Cucuta</v>
          </cell>
          <cell r="AB749" t="str">
            <v>Cucuta</v>
          </cell>
          <cell r="AC749" t="str">
            <v>Calle 14 # 1-37 Barrio La Playa, Centro.</v>
          </cell>
          <cell r="AD749"/>
          <cell r="AE749">
            <v>13095</v>
          </cell>
          <cell r="AF749">
            <v>9000</v>
          </cell>
          <cell r="AG749" t="str">
            <v>5.4 km</v>
          </cell>
          <cell r="AH749" t="str">
            <v>13 min</v>
          </cell>
          <cell r="AI749">
            <v>15000</v>
          </cell>
          <cell r="AJ749">
            <v>13500</v>
          </cell>
          <cell r="AK749">
            <v>-4500</v>
          </cell>
          <cell r="AL749">
            <v>13095</v>
          </cell>
        </row>
        <row r="750">
          <cell r="T750" t="str">
            <v>ARIAS SANCHEZ MAGDA</v>
          </cell>
          <cell r="U750" t="str">
            <v>VEREDA LA CRISTALINA FINCA EL TREBOL  - CIRCASIA (vereda destapada es una vereda peligrosa-toca negociar)</v>
          </cell>
          <cell r="V750" t="str">
            <v>vereda</v>
          </cell>
          <cell r="W750" t="str">
            <v>INTERMUNICIPAL</v>
          </cell>
          <cell r="X750">
            <v>3103761115</v>
          </cell>
          <cell r="Y750" t="str">
            <v>SUROCCIDENTE</v>
          </cell>
          <cell r="Z750"/>
          <cell r="AA750" t="str">
            <v>Armenia</v>
          </cell>
          <cell r="AB750" t="str">
            <v>Armenia</v>
          </cell>
          <cell r="AC750" t="str">
            <v>Cll. 23 Norte # 14-59 piso 2</v>
          </cell>
          <cell r="AD750"/>
          <cell r="AE750">
            <v>30555</v>
          </cell>
          <cell r="AF750">
            <v>30000</v>
          </cell>
          <cell r="AG750">
            <v>15</v>
          </cell>
          <cell r="AH750">
            <v>25</v>
          </cell>
          <cell r="AI750">
            <v>35000</v>
          </cell>
          <cell r="AJ750">
            <v>31500</v>
          </cell>
          <cell r="AK750">
            <v>-1500</v>
          </cell>
          <cell r="AL750">
            <v>30555</v>
          </cell>
        </row>
        <row r="751">
          <cell r="T751" t="str">
            <v>BEDOYA CATAÑO  ISABEL CRISTINA</v>
          </cell>
          <cell r="U751" t="str">
            <v>B/UNIVERSAL MANZANA 2 CASA 38 ARMENIA</v>
          </cell>
          <cell r="V751" t="str">
            <v>universal</v>
          </cell>
          <cell r="W751" t="str">
            <v>CERCANO</v>
          </cell>
          <cell r="X751">
            <v>3116286294</v>
          </cell>
          <cell r="Y751" t="str">
            <v>SUROCCIDENTE</v>
          </cell>
          <cell r="Z751"/>
          <cell r="AA751" t="str">
            <v>Armenia</v>
          </cell>
          <cell r="AB751" t="str">
            <v>Armenia</v>
          </cell>
          <cell r="AC751" t="str">
            <v>Cll. 23 Norte # 14-59 piso 2</v>
          </cell>
          <cell r="AD751"/>
          <cell r="AE751">
            <v>10670</v>
          </cell>
          <cell r="AF751">
            <v>9000</v>
          </cell>
          <cell r="AG751">
            <v>8</v>
          </cell>
          <cell r="AH751">
            <v>16</v>
          </cell>
          <cell r="AI751">
            <v>11000</v>
          </cell>
          <cell r="AJ751">
            <v>11000</v>
          </cell>
          <cell r="AK751">
            <v>-2000</v>
          </cell>
          <cell r="AL751">
            <v>10670</v>
          </cell>
        </row>
        <row r="752">
          <cell r="T752" t="str">
            <v>CARMONA MARMOLEJO LUIS JULIAN</v>
          </cell>
          <cell r="U752" t="str">
            <v>EL RETIRO CALLE 19N 12-49 BL 6APT 504 ARMENIA(el dr no aprobado)</v>
          </cell>
          <cell r="V752" t="str">
            <v>el retiro</v>
          </cell>
          <cell r="W752" t="str">
            <v>CERCANO</v>
          </cell>
          <cell r="X752" t="e">
            <v>#REF!</v>
          </cell>
          <cell r="Y752" t="str">
            <v>SUROCCIDENTE</v>
          </cell>
          <cell r="Z752"/>
          <cell r="AA752" t="str">
            <v>Armenia</v>
          </cell>
          <cell r="AB752" t="str">
            <v>Armenia</v>
          </cell>
          <cell r="AC752" t="str">
            <v>Cll. 23 Norte # 14-59 piso 2</v>
          </cell>
          <cell r="AD752"/>
          <cell r="AE752">
            <v>13095</v>
          </cell>
          <cell r="AF752">
            <v>9000</v>
          </cell>
          <cell r="AG752">
            <v>10</v>
          </cell>
          <cell r="AH752">
            <v>6</v>
          </cell>
          <cell r="AI752" t="e">
            <v>#N/A</v>
          </cell>
          <cell r="AJ752">
            <v>13500</v>
          </cell>
          <cell r="AK752">
            <v>-4500</v>
          </cell>
          <cell r="AL752">
            <v>13095</v>
          </cell>
        </row>
        <row r="753">
          <cell r="T753" t="str">
            <v>GIRALDO HERNANDEZ LEIDY TATIANA</v>
          </cell>
          <cell r="U753" t="str">
            <v>CALLE 4 NORTE N° 13-77 EDI.TORRE CIEN APTO 808 ARMENIA no</v>
          </cell>
          <cell r="V753" t="str">
            <v>torre cien</v>
          </cell>
          <cell r="W753" t="str">
            <v>CERCANO</v>
          </cell>
          <cell r="X753" t="e">
            <v>#REF!</v>
          </cell>
          <cell r="Y753" t="str">
            <v>SUROCCIDENTE</v>
          </cell>
          <cell r="Z753"/>
          <cell r="AA753" t="str">
            <v>Armenia</v>
          </cell>
          <cell r="AB753" t="str">
            <v>Armenia</v>
          </cell>
          <cell r="AC753" t="str">
            <v>Cll. 23 Norte # 14-59 piso 2</v>
          </cell>
          <cell r="AD753"/>
          <cell r="AE753">
            <v>13095</v>
          </cell>
          <cell r="AF753">
            <v>9000</v>
          </cell>
          <cell r="AG753">
            <v>2</v>
          </cell>
          <cell r="AH753">
            <v>7</v>
          </cell>
          <cell r="AI753" t="e">
            <v>#N/A</v>
          </cell>
          <cell r="AJ753">
            <v>13500</v>
          </cell>
          <cell r="AK753">
            <v>-4500</v>
          </cell>
          <cell r="AL753">
            <v>13095</v>
          </cell>
        </row>
        <row r="754">
          <cell r="T754" t="str">
            <v>MATALLANA MARIA EYISETH</v>
          </cell>
          <cell r="U754" t="str">
            <v>AV COLON # 22-94 CALARCA (Municipio)</v>
          </cell>
          <cell r="V754" t="str">
            <v>calarca</v>
          </cell>
          <cell r="W754" t="str">
            <v>INTERMUNICIPAL</v>
          </cell>
          <cell r="X754">
            <v>3148067005</v>
          </cell>
          <cell r="Y754" t="str">
            <v>SUROCCIDENTE</v>
          </cell>
          <cell r="Z754"/>
          <cell r="AA754" t="str">
            <v>Armenia</v>
          </cell>
          <cell r="AB754" t="str">
            <v>Armenia</v>
          </cell>
          <cell r="AC754" t="str">
            <v>Cll. 23 Norte # 14-59 piso 2</v>
          </cell>
          <cell r="AD754"/>
          <cell r="AE754">
            <v>30555</v>
          </cell>
          <cell r="AF754">
            <v>30000</v>
          </cell>
          <cell r="AG754">
            <v>14</v>
          </cell>
          <cell r="AH754">
            <v>20</v>
          </cell>
          <cell r="AI754">
            <v>35000</v>
          </cell>
          <cell r="AJ754">
            <v>31500</v>
          </cell>
          <cell r="AK754">
            <v>-1500</v>
          </cell>
          <cell r="AL754">
            <v>30555</v>
          </cell>
        </row>
        <row r="755">
          <cell r="T755" t="str">
            <v>PANESO GUTIERREZ LAURA MARCELA</v>
          </cell>
          <cell r="U755" t="str">
            <v>CALLE 7A # 21-49 BARRIO 60 CASAS ARMENIA no</v>
          </cell>
          <cell r="V755" t="str">
            <v>barrio 60</v>
          </cell>
          <cell r="W755" t="str">
            <v>CERCANO</v>
          </cell>
          <cell r="X755" t="e">
            <v>#REF!</v>
          </cell>
          <cell r="Y755" t="str">
            <v>SUROCCIDENTE</v>
          </cell>
          <cell r="Z755"/>
          <cell r="AA755" t="str">
            <v>Armenia</v>
          </cell>
          <cell r="AB755" t="str">
            <v>Armenia</v>
          </cell>
          <cell r="AC755" t="str">
            <v>Cll. 23 Norte # 14-59 piso 2</v>
          </cell>
          <cell r="AD755"/>
          <cell r="AE755">
            <v>13095</v>
          </cell>
          <cell r="AF755">
            <v>9000</v>
          </cell>
          <cell r="AG755">
            <v>3</v>
          </cell>
          <cell r="AH755">
            <v>9</v>
          </cell>
          <cell r="AI755" t="e">
            <v>#N/A</v>
          </cell>
          <cell r="AJ755">
            <v>13500</v>
          </cell>
          <cell r="AK755">
            <v>-4500</v>
          </cell>
          <cell r="AL755">
            <v>13095</v>
          </cell>
        </row>
        <row r="756">
          <cell r="T756" t="str">
            <v>PARRA LONDOÑO RUBY ALBA</v>
          </cell>
          <cell r="U756" t="str">
            <v>CONJUNTO CERRADO TCC MZA 1 N. 31 ARMENIA (sur de armenia-ella quiere que deje un dia la sircacia)</v>
          </cell>
          <cell r="V756" t="str">
            <v>conjunto cerrado tcc</v>
          </cell>
          <cell r="W756" t="str">
            <v>LEJANO</v>
          </cell>
          <cell r="X756">
            <v>3163613474</v>
          </cell>
          <cell r="Y756" t="str">
            <v>SUROCCIDENTE</v>
          </cell>
          <cell r="Z756"/>
          <cell r="AA756" t="str">
            <v>Armenia</v>
          </cell>
          <cell r="AB756" t="str">
            <v>Armenia</v>
          </cell>
          <cell r="AC756" t="str">
            <v>Cll. 23 Norte # 14-59 piso 2</v>
          </cell>
          <cell r="AD756"/>
          <cell r="AE756">
            <v>24250</v>
          </cell>
          <cell r="AF756">
            <v>9000</v>
          </cell>
          <cell r="AG756">
            <v>5</v>
          </cell>
          <cell r="AH756">
            <v>14</v>
          </cell>
          <cell r="AI756">
            <v>25000</v>
          </cell>
          <cell r="AJ756">
            <v>25000</v>
          </cell>
          <cell r="AK756">
            <v>-16000</v>
          </cell>
          <cell r="AL756">
            <v>24250</v>
          </cell>
        </row>
        <row r="757">
          <cell r="T757" t="str">
            <v>PUENTES SÁNCHEZ  REINALDO</v>
          </cell>
          <cell r="U757" t="str">
            <v>CONDOMINIO TORRES DEL RIO BLOQUE 8 APTO 501 ARMENIA</v>
          </cell>
          <cell r="V757" t="str">
            <v>condominio torres del rio</v>
          </cell>
          <cell r="W757" t="str">
            <v>CERCANO</v>
          </cell>
          <cell r="X757">
            <v>3008206759</v>
          </cell>
          <cell r="Y757" t="str">
            <v>SUROCCIDENTE</v>
          </cell>
          <cell r="Z757"/>
          <cell r="AA757" t="str">
            <v>Armenia</v>
          </cell>
          <cell r="AB757" t="str">
            <v>Armenia</v>
          </cell>
          <cell r="AC757" t="str">
            <v>Cll. 23 Norte # 14-59 piso 2</v>
          </cell>
          <cell r="AD757"/>
          <cell r="AE757">
            <v>10670</v>
          </cell>
          <cell r="AF757">
            <v>9000</v>
          </cell>
          <cell r="AG757">
            <v>5</v>
          </cell>
          <cell r="AH757">
            <v>15</v>
          </cell>
          <cell r="AI757">
            <v>11000</v>
          </cell>
          <cell r="AJ757">
            <v>11000</v>
          </cell>
          <cell r="AK757">
            <v>-2000</v>
          </cell>
          <cell r="AL757">
            <v>10670</v>
          </cell>
        </row>
        <row r="758">
          <cell r="T758" t="str">
            <v>VANEGAS GIRALDO LUCELIDA</v>
          </cell>
          <cell r="U758" t="str">
            <v>BARRIO VILLA JULIANA MANZ D CASA 2 ETAPA 2  MONTENEGRO (Municipio)</v>
          </cell>
          <cell r="V758" t="str">
            <v>montenegro</v>
          </cell>
          <cell r="W758" t="str">
            <v>INTERMUNICIPAL</v>
          </cell>
          <cell r="X758">
            <v>3117437177</v>
          </cell>
          <cell r="Y758" t="str">
            <v>SUROCCIDENTE</v>
          </cell>
          <cell r="Z758"/>
          <cell r="AA758" t="str">
            <v>Armenia</v>
          </cell>
          <cell r="AB758" t="str">
            <v>Armenia</v>
          </cell>
          <cell r="AC758" t="str">
            <v>Cll. 23 Norte # 14-59 piso 2</v>
          </cell>
          <cell r="AD758"/>
          <cell r="AE758">
            <v>30555</v>
          </cell>
          <cell r="AF758">
            <v>30000</v>
          </cell>
          <cell r="AG758">
            <v>17</v>
          </cell>
          <cell r="AH758">
            <v>28</v>
          </cell>
          <cell r="AI758">
            <v>35000</v>
          </cell>
          <cell r="AJ758">
            <v>31500</v>
          </cell>
          <cell r="AK758">
            <v>-1500</v>
          </cell>
          <cell r="AL758">
            <v>30555</v>
          </cell>
        </row>
        <row r="759">
          <cell r="T759" t="str">
            <v>VAZQUEZ FRANCO ANA ISABEL</v>
          </cell>
          <cell r="U759" t="str">
            <v>VEREDA TITINA VIA EL EDEN CHALET LA NANA - LA TEBAIDA</v>
          </cell>
          <cell r="V759" t="str">
            <v>vereda titina</v>
          </cell>
          <cell r="W759" t="str">
            <v>INTERMUNICIPAL</v>
          </cell>
          <cell r="X759" t="e">
            <v>#REF!</v>
          </cell>
          <cell r="Y759" t="str">
            <v>SUROCCIDENTE</v>
          </cell>
          <cell r="Z759"/>
          <cell r="AA759" t="str">
            <v>Armenia</v>
          </cell>
          <cell r="AB759" t="str">
            <v>Armenia</v>
          </cell>
          <cell r="AC759" t="str">
            <v>Cll. 23 Norte # 14-59 piso 2</v>
          </cell>
          <cell r="AD759"/>
          <cell r="AE759">
            <v>30555</v>
          </cell>
          <cell r="AF759">
            <v>30000</v>
          </cell>
          <cell r="AG759">
            <v>16</v>
          </cell>
          <cell r="AH759">
            <v>28</v>
          </cell>
          <cell r="AI759" t="e">
            <v>#N/A</v>
          </cell>
          <cell r="AJ759">
            <v>31500</v>
          </cell>
          <cell r="AK759">
            <v>-1500</v>
          </cell>
          <cell r="AL759">
            <v>30555</v>
          </cell>
        </row>
        <row r="760">
          <cell r="T760" t="str">
            <v>Ana cecilia patiño villalba</v>
          </cell>
          <cell r="U760" t="str">
            <v>Transversal 62 # 6- 29 torre 1 apr 903</v>
          </cell>
          <cell r="V760">
            <v>0</v>
          </cell>
          <cell r="W760" t="str">
            <v>CERCANO</v>
          </cell>
          <cell r="X760" t="e">
            <v>#REF!</v>
          </cell>
          <cell r="Y760" t="str">
            <v>NORTE</v>
          </cell>
          <cell r="Z760"/>
          <cell r="AA760" t="str">
            <v>Bucaramanga</v>
          </cell>
          <cell r="AB760" t="str">
            <v>Cabecera</v>
          </cell>
          <cell r="AC760" t="str">
            <v>Cll.  54 #  33-45 piso 1</v>
          </cell>
          <cell r="AD760"/>
          <cell r="AE760">
            <v>10670</v>
          </cell>
          <cell r="AF760">
            <v>9000</v>
          </cell>
          <cell r="AG760">
            <v>4</v>
          </cell>
          <cell r="AH760">
            <v>8</v>
          </cell>
          <cell r="AI760">
            <v>11000</v>
          </cell>
          <cell r="AJ760">
            <v>11000</v>
          </cell>
          <cell r="AK760">
            <v>-2000</v>
          </cell>
          <cell r="AL760">
            <v>10670</v>
          </cell>
        </row>
        <row r="761">
          <cell r="T761" t="str">
            <v>Blanca Esther Mantilla dominguez</v>
          </cell>
          <cell r="U761" t="str">
            <v>carrera 32 # 29a-16 (municipio)</v>
          </cell>
          <cell r="V761" t="str">
            <v>elhoy valenzuela</v>
          </cell>
          <cell r="W761" t="str">
            <v>INTERMUNICIPAL</v>
          </cell>
          <cell r="X761" t="e">
            <v>#REF!</v>
          </cell>
          <cell r="Y761" t="str">
            <v>NORTE</v>
          </cell>
          <cell r="Z761"/>
          <cell r="AA761" t="str">
            <v>Bucaramanga</v>
          </cell>
          <cell r="AB761" t="str">
            <v>Cabecera</v>
          </cell>
          <cell r="AC761" t="str">
            <v>Cll.  54 #  33-45 piso 1</v>
          </cell>
          <cell r="AD761"/>
          <cell r="AE761">
            <v>39285</v>
          </cell>
          <cell r="AF761">
            <v>20000</v>
          </cell>
          <cell r="AG761">
            <v>10</v>
          </cell>
          <cell r="AH761">
            <v>13</v>
          </cell>
          <cell r="AI761">
            <v>45000</v>
          </cell>
          <cell r="AJ761">
            <v>40500</v>
          </cell>
          <cell r="AK761">
            <v>-20500</v>
          </cell>
          <cell r="AL761">
            <v>39285</v>
          </cell>
        </row>
        <row r="762">
          <cell r="T762" t="str">
            <v>Claudia Yaneth GaitanVillalba</v>
          </cell>
          <cell r="U762" t="str">
            <v>carrera 34 # 34-17</v>
          </cell>
          <cell r="V762">
            <v>0</v>
          </cell>
          <cell r="W762" t="str">
            <v>CERCANO</v>
          </cell>
          <cell r="X762" t="e">
            <v>#REF!</v>
          </cell>
          <cell r="Y762" t="str">
            <v>NORTE</v>
          </cell>
          <cell r="Z762"/>
          <cell r="AA762" t="str">
            <v>Bucaramanga</v>
          </cell>
          <cell r="AB762" t="str">
            <v>Cabecera</v>
          </cell>
          <cell r="AC762" t="str">
            <v>Cll.  54 #  33-45 piso 1</v>
          </cell>
          <cell r="AD762"/>
          <cell r="AE762">
            <v>10670</v>
          </cell>
          <cell r="AF762">
            <v>9000</v>
          </cell>
          <cell r="AG762">
            <v>3</v>
          </cell>
          <cell r="AH762">
            <v>9</v>
          </cell>
          <cell r="AI762">
            <v>11000</v>
          </cell>
          <cell r="AJ762">
            <v>11000</v>
          </cell>
          <cell r="AK762">
            <v>-2000</v>
          </cell>
          <cell r="AL762">
            <v>10670</v>
          </cell>
        </row>
        <row r="763">
          <cell r="T763" t="str">
            <v>Grace liliana  suarez mogollon</v>
          </cell>
          <cell r="U763" t="str">
            <v>carrera 56 # 85-31 torre 8 apt 432</v>
          </cell>
          <cell r="V763">
            <v>0</v>
          </cell>
          <cell r="W763" t="str">
            <v>CERCANO</v>
          </cell>
          <cell r="X763">
            <v>3214758937</v>
          </cell>
          <cell r="Y763" t="str">
            <v>NORTE</v>
          </cell>
          <cell r="Z763"/>
          <cell r="AA763" t="str">
            <v>Bucaramanga</v>
          </cell>
          <cell r="AB763" t="str">
            <v>Cabecera</v>
          </cell>
          <cell r="AC763" t="str">
            <v>Cll.  54 #  33-45 piso 1</v>
          </cell>
          <cell r="AD763"/>
          <cell r="AE763">
            <v>13095</v>
          </cell>
          <cell r="AF763">
            <v>8000</v>
          </cell>
          <cell r="AG763">
            <v>5</v>
          </cell>
          <cell r="AH763">
            <v>11</v>
          </cell>
          <cell r="AI763">
            <v>15000</v>
          </cell>
          <cell r="AJ763">
            <v>13500</v>
          </cell>
          <cell r="AK763">
            <v>-5500</v>
          </cell>
          <cell r="AL763">
            <v>13095</v>
          </cell>
        </row>
        <row r="764">
          <cell r="T764" t="str">
            <v xml:space="preserve">Joan Sebastian Barrera </v>
          </cell>
          <cell r="U764" t="str">
            <v>carrera 6w # 17-80 (municipio)</v>
          </cell>
          <cell r="V764" t="str">
            <v>pie de cuesta</v>
          </cell>
          <cell r="W764" t="str">
            <v>INTERMUNICIPAL</v>
          </cell>
          <cell r="X764" t="e">
            <v>#REF!</v>
          </cell>
          <cell r="Y764" t="str">
            <v>NORTE</v>
          </cell>
          <cell r="Z764"/>
          <cell r="AA764" t="str">
            <v>Bucaramanga</v>
          </cell>
          <cell r="AB764" t="str">
            <v>Cabecera</v>
          </cell>
          <cell r="AC764" t="str">
            <v>Cll.  54 #  33-45 piso 1</v>
          </cell>
          <cell r="AD764"/>
          <cell r="AE764">
            <v>24735</v>
          </cell>
          <cell r="AF764">
            <v>20000</v>
          </cell>
          <cell r="AG764">
            <v>20</v>
          </cell>
          <cell r="AH764">
            <v>28</v>
          </cell>
          <cell r="AI764" t="e">
            <v>#N/A</v>
          </cell>
          <cell r="AJ764">
            <v>25500</v>
          </cell>
          <cell r="AK764">
            <v>-5500</v>
          </cell>
          <cell r="AL764">
            <v>24735</v>
          </cell>
        </row>
        <row r="765">
          <cell r="T765" t="str">
            <v>Johan manuel rodriguez serano</v>
          </cell>
          <cell r="U765" t="str">
            <v>km1 via pamplona 1-97</v>
          </cell>
          <cell r="V765" t="str">
            <v>VIA PAMPLONA</v>
          </cell>
          <cell r="W765" t="str">
            <v>CERCANO</v>
          </cell>
          <cell r="X765" t="e">
            <v>#REF!</v>
          </cell>
          <cell r="Y765" t="str">
            <v>NORTE</v>
          </cell>
          <cell r="Z765"/>
          <cell r="AA765" t="str">
            <v>Bucaramanga</v>
          </cell>
          <cell r="AB765" t="str">
            <v>Cabecera</v>
          </cell>
          <cell r="AC765" t="str">
            <v>Cll.  54 #  33-45 piso 1</v>
          </cell>
          <cell r="AD765"/>
          <cell r="AE765">
            <v>10670</v>
          </cell>
          <cell r="AF765">
            <v>9000</v>
          </cell>
          <cell r="AG765" t="str">
            <v>5 km</v>
          </cell>
          <cell r="AH765" t="str">
            <v>9 min</v>
          </cell>
          <cell r="AI765">
            <v>11000</v>
          </cell>
          <cell r="AJ765">
            <v>11000</v>
          </cell>
          <cell r="AK765">
            <v>-2000</v>
          </cell>
          <cell r="AL765">
            <v>10670</v>
          </cell>
        </row>
        <row r="766">
          <cell r="T766" t="str">
            <v>Jorge Humberto Gomez Ortiz</v>
          </cell>
          <cell r="U766" t="str">
            <v xml:space="preserve">calle 28b  # 11-18 </v>
          </cell>
          <cell r="V766">
            <v>0</v>
          </cell>
          <cell r="W766" t="str">
            <v>CERCANO</v>
          </cell>
          <cell r="X766" t="e">
            <v>#REF!</v>
          </cell>
          <cell r="Y766" t="str">
            <v>NORTE</v>
          </cell>
          <cell r="Z766"/>
          <cell r="AA766" t="str">
            <v>Bucaramanga</v>
          </cell>
          <cell r="AB766" t="str">
            <v>Cabecera</v>
          </cell>
          <cell r="AC766" t="str">
            <v>Cll.  54 #  33-45 piso 1</v>
          </cell>
          <cell r="AD766"/>
          <cell r="AE766">
            <v>13095</v>
          </cell>
          <cell r="AF766">
            <v>9000</v>
          </cell>
          <cell r="AG766">
            <v>12</v>
          </cell>
          <cell r="AH766">
            <v>24</v>
          </cell>
          <cell r="AI766" t="e">
            <v>#N/A</v>
          </cell>
          <cell r="AJ766">
            <v>13500</v>
          </cell>
          <cell r="AK766">
            <v>-4500</v>
          </cell>
          <cell r="AL766">
            <v>13095</v>
          </cell>
        </row>
        <row r="767">
          <cell r="T767" t="str">
            <v>Juan Pablo Gomez Rodriguez</v>
          </cell>
          <cell r="U767" t="str">
            <v>Carrera 22a # 22a - 23  (municipio)</v>
          </cell>
          <cell r="V767" t="str">
            <v>giron</v>
          </cell>
          <cell r="W767" t="str">
            <v>INTERMUNICIPAL</v>
          </cell>
          <cell r="X767" t="e">
            <v>#REF!</v>
          </cell>
          <cell r="Y767" t="str">
            <v>NORTE</v>
          </cell>
          <cell r="Z767"/>
          <cell r="AA767" t="str">
            <v>Bucaramanga</v>
          </cell>
          <cell r="AB767" t="str">
            <v>Cabecera</v>
          </cell>
          <cell r="AC767" t="str">
            <v>Cll.  54 #  33-45 piso 1</v>
          </cell>
          <cell r="AD767"/>
          <cell r="AE767">
            <v>39285</v>
          </cell>
          <cell r="AF767">
            <v>20000</v>
          </cell>
          <cell r="AG767">
            <v>14</v>
          </cell>
          <cell r="AH767">
            <v>24</v>
          </cell>
          <cell r="AI767">
            <v>45000</v>
          </cell>
          <cell r="AJ767">
            <v>40500</v>
          </cell>
          <cell r="AK767">
            <v>-20500</v>
          </cell>
          <cell r="AL767">
            <v>39285</v>
          </cell>
        </row>
        <row r="768">
          <cell r="T768" t="str">
            <v>Monica Patricia Rios guate</v>
          </cell>
          <cell r="U768" t="str">
            <v>Calle 44a # 32a-39 (municipio)</v>
          </cell>
          <cell r="V768" t="str">
            <v>corviandi III</v>
          </cell>
          <cell r="W768" t="str">
            <v>INTERMUNICIPAL</v>
          </cell>
          <cell r="X768" t="e">
            <v>#REF!</v>
          </cell>
          <cell r="Y768" t="str">
            <v>NORTE</v>
          </cell>
          <cell r="Z768"/>
          <cell r="AA768" t="str">
            <v>Bucaramanga</v>
          </cell>
          <cell r="AB768" t="str">
            <v>Cabecera</v>
          </cell>
          <cell r="AC768" t="str">
            <v>Cll.  54 #  33-45 piso 1</v>
          </cell>
          <cell r="AD768"/>
          <cell r="AE768">
            <v>27160</v>
          </cell>
          <cell r="AF768">
            <v>20000</v>
          </cell>
          <cell r="AG768">
            <v>14</v>
          </cell>
          <cell r="AH768">
            <v>22</v>
          </cell>
          <cell r="AI768">
            <v>28000</v>
          </cell>
          <cell r="AJ768">
            <v>28000</v>
          </cell>
          <cell r="AK768">
            <v>-8000</v>
          </cell>
          <cell r="AL768">
            <v>27160</v>
          </cell>
        </row>
        <row r="769">
          <cell r="T769" t="str">
            <v>Monica Patricia Rios guate</v>
          </cell>
          <cell r="U769" t="str">
            <v>Calle 44a # 32a-39 (municipio)</v>
          </cell>
          <cell r="V769" t="str">
            <v>corviandi III</v>
          </cell>
          <cell r="W769" t="str">
            <v>INTERMUNICIPAL</v>
          </cell>
          <cell r="X769" t="e">
            <v>#REF!</v>
          </cell>
          <cell r="Y769" t="str">
            <v>NORTE</v>
          </cell>
          <cell r="Z769"/>
          <cell r="AA769" t="str">
            <v>Bucaramanga</v>
          </cell>
          <cell r="AB769" t="str">
            <v>Cabecera</v>
          </cell>
          <cell r="AC769" t="str">
            <v>Cll.  54 #  33-45 piso 1</v>
          </cell>
          <cell r="AD769"/>
          <cell r="AE769">
            <v>27160</v>
          </cell>
          <cell r="AF769">
            <v>20000</v>
          </cell>
          <cell r="AG769">
            <v>14</v>
          </cell>
          <cell r="AH769">
            <v>22</v>
          </cell>
          <cell r="AI769">
            <v>28000</v>
          </cell>
          <cell r="AJ769">
            <v>28000</v>
          </cell>
          <cell r="AK769">
            <v>-8000</v>
          </cell>
          <cell r="AL769">
            <v>27160</v>
          </cell>
        </row>
        <row r="770">
          <cell r="T770" t="str">
            <v>Nelfy Jadira Quitian Mesa</v>
          </cell>
          <cell r="U770" t="str">
            <v>anillo vial # 21 -462 conjunto caminos de providencia (Se traslada a Municipio)</v>
          </cell>
          <cell r="V770" t="str">
            <v>caminos de providenza</v>
          </cell>
          <cell r="W770" t="str">
            <v>INTERMUNICIPAL</v>
          </cell>
          <cell r="X770" t="e">
            <v>#REF!</v>
          </cell>
          <cell r="Y770" t="str">
            <v>NORTE</v>
          </cell>
          <cell r="Z770"/>
          <cell r="AA770" t="str">
            <v>Bucaramanga</v>
          </cell>
          <cell r="AB770" t="str">
            <v>Cabecera</v>
          </cell>
          <cell r="AC770" t="str">
            <v>Cll.  54 #  33-45 piso 1</v>
          </cell>
          <cell r="AD770"/>
          <cell r="AE770">
            <v>24250</v>
          </cell>
          <cell r="AF770">
            <v>20000</v>
          </cell>
          <cell r="AG770">
            <v>5</v>
          </cell>
          <cell r="AH770">
            <v>11</v>
          </cell>
          <cell r="AI770">
            <v>25000</v>
          </cell>
          <cell r="AJ770">
            <v>22500</v>
          </cell>
          <cell r="AK770">
            <v>-2500</v>
          </cell>
          <cell r="AL770">
            <v>21825</v>
          </cell>
        </row>
        <row r="771">
          <cell r="T771" t="str">
            <v>Paola Andrea Martinez Rueda</v>
          </cell>
          <cell r="U771" t="str">
            <v>Av 17 # 7w-51  conjunto el trapiche torre B apt 111 (municipio)</v>
          </cell>
          <cell r="V771" t="str">
            <v>pie de cuesta</v>
          </cell>
          <cell r="W771" t="str">
            <v>INTERMUNICIPAL</v>
          </cell>
          <cell r="X771" t="e">
            <v>#REF!</v>
          </cell>
          <cell r="Y771" t="str">
            <v>NORTE</v>
          </cell>
          <cell r="Z771" t="str">
            <v>pie de cuesta</v>
          </cell>
          <cell r="AA771" t="str">
            <v>Bucaramanga</v>
          </cell>
          <cell r="AB771" t="str">
            <v>Cabecera</v>
          </cell>
          <cell r="AC771" t="str">
            <v>Cll.  54 #  33-45 piso 1</v>
          </cell>
          <cell r="AD771"/>
          <cell r="AE771">
            <v>24444</v>
          </cell>
          <cell r="AF771">
            <v>20000</v>
          </cell>
          <cell r="AG771">
            <v>18</v>
          </cell>
          <cell r="AH771">
            <v>22</v>
          </cell>
          <cell r="AI771">
            <v>28000</v>
          </cell>
          <cell r="AJ771">
            <v>25200</v>
          </cell>
          <cell r="AK771">
            <v>-5200</v>
          </cell>
          <cell r="AL771">
            <v>24444</v>
          </cell>
        </row>
        <row r="772">
          <cell r="T772" t="str">
            <v>Ruben Dario Villamzar</v>
          </cell>
          <cell r="U772" t="str">
            <v>calle 45 N. 3 occidente 40 apt 304</v>
          </cell>
          <cell r="V772">
            <v>0</v>
          </cell>
          <cell r="W772" t="str">
            <v>CERCANO</v>
          </cell>
          <cell r="X772" t="e">
            <v>#REF!</v>
          </cell>
          <cell r="Y772" t="str">
            <v>NORTE</v>
          </cell>
          <cell r="Z772"/>
          <cell r="AA772" t="str">
            <v>Bucaramanga</v>
          </cell>
          <cell r="AB772" t="str">
            <v>Cabecera</v>
          </cell>
          <cell r="AC772" t="str">
            <v>Cll.  54 #  33-45 piso 1</v>
          </cell>
          <cell r="AD772"/>
          <cell r="AE772">
            <v>13095</v>
          </cell>
          <cell r="AF772">
            <v>9000</v>
          </cell>
          <cell r="AG772">
            <v>4</v>
          </cell>
          <cell r="AH772">
            <v>12</v>
          </cell>
          <cell r="AI772" t="e">
            <v>#N/A</v>
          </cell>
          <cell r="AJ772">
            <v>13500</v>
          </cell>
          <cell r="AK772">
            <v>-4500</v>
          </cell>
          <cell r="AL772">
            <v>13095</v>
          </cell>
        </row>
        <row r="773">
          <cell r="T773" t="str">
            <v xml:space="preserve">SANDRA GAITAN </v>
          </cell>
          <cell r="U773" t="str">
            <v>CRA 34 # 34 - 17</v>
          </cell>
          <cell r="V773">
            <v>0</v>
          </cell>
          <cell r="W773" t="str">
            <v>CERCANO</v>
          </cell>
          <cell r="X773" t="e">
            <v>#REF!</v>
          </cell>
          <cell r="Y773" t="str">
            <v>NORTE</v>
          </cell>
          <cell r="Z773"/>
          <cell r="AA773" t="str">
            <v>Bucaramanga</v>
          </cell>
          <cell r="AB773" t="str">
            <v>Cabecera</v>
          </cell>
          <cell r="AC773" t="str">
            <v>Cll.  54 #  33-45 piso 1</v>
          </cell>
          <cell r="AD773"/>
          <cell r="AE773">
            <v>13095</v>
          </cell>
          <cell r="AF773">
            <v>9000</v>
          </cell>
          <cell r="AG773">
            <v>0</v>
          </cell>
          <cell r="AH773">
            <v>0</v>
          </cell>
          <cell r="AI773" t="e">
            <v>#N/A</v>
          </cell>
          <cell r="AJ773">
            <v>13500</v>
          </cell>
          <cell r="AK773">
            <v>-4500</v>
          </cell>
          <cell r="AL773">
            <v>13095</v>
          </cell>
        </row>
        <row r="774">
          <cell r="T774" t="str">
            <v>Sandra Milena Ardila Afanador</v>
          </cell>
          <cell r="U774" t="str">
            <v>diagonal 12a # 10a-15 torre 1 apt 204 (municipio)</v>
          </cell>
          <cell r="V774" t="str">
            <v>giron</v>
          </cell>
          <cell r="W774" t="str">
            <v>INTERMUNICIPAL</v>
          </cell>
          <cell r="X774" t="e">
            <v>#REF!</v>
          </cell>
          <cell r="Y774" t="str">
            <v>NORTE</v>
          </cell>
          <cell r="Z774"/>
          <cell r="AA774" t="str">
            <v>Bucaramanga</v>
          </cell>
          <cell r="AB774" t="str">
            <v>Cabecera</v>
          </cell>
          <cell r="AC774" t="str">
            <v>Cll.  54 #  33-45 piso 1</v>
          </cell>
          <cell r="AD774"/>
          <cell r="AE774">
            <v>24250</v>
          </cell>
          <cell r="AF774">
            <v>20000</v>
          </cell>
          <cell r="AG774">
            <v>13</v>
          </cell>
          <cell r="AH774">
            <v>27</v>
          </cell>
          <cell r="AI774">
            <v>25000</v>
          </cell>
          <cell r="AJ774">
            <v>22500</v>
          </cell>
          <cell r="AK774">
            <v>-2500</v>
          </cell>
          <cell r="AL774">
            <v>21825</v>
          </cell>
        </row>
        <row r="775">
          <cell r="T775" t="str">
            <v>Sandra Milena Pinto</v>
          </cell>
          <cell r="U775" t="str">
            <v>calle 19f # 19-93 (municipio)</v>
          </cell>
          <cell r="V775" t="str">
            <v>giron</v>
          </cell>
          <cell r="W775" t="str">
            <v>INTERMUNICIPAL</v>
          </cell>
          <cell r="X775" t="e">
            <v>#REF!</v>
          </cell>
          <cell r="Y775" t="str">
            <v>NORTE</v>
          </cell>
          <cell r="Z775"/>
          <cell r="AA775" t="str">
            <v>Bucaramanga</v>
          </cell>
          <cell r="AB775" t="str">
            <v>Cabecera</v>
          </cell>
          <cell r="AC775" t="str">
            <v>Cll.  54 #  33-45 piso 1</v>
          </cell>
          <cell r="AD775"/>
          <cell r="AE775">
            <v>39285</v>
          </cell>
          <cell r="AF775">
            <v>20000</v>
          </cell>
          <cell r="AG775">
            <v>14</v>
          </cell>
          <cell r="AH775">
            <v>25</v>
          </cell>
          <cell r="AI775">
            <v>45000</v>
          </cell>
          <cell r="AJ775">
            <v>40500</v>
          </cell>
          <cell r="AK775">
            <v>-20500</v>
          </cell>
          <cell r="AL775">
            <v>39285</v>
          </cell>
        </row>
        <row r="776">
          <cell r="T776" t="str">
            <v>Sandra Patricia Patiño Silva</v>
          </cell>
          <cell r="U776" t="str">
            <v>calle 3 # 6-46 (Se traslada municipo)</v>
          </cell>
          <cell r="V776" t="str">
            <v>florida blanca</v>
          </cell>
          <cell r="W776" t="str">
            <v>INTERMUNICIPAL</v>
          </cell>
          <cell r="X776" t="e">
            <v>#REF!</v>
          </cell>
          <cell r="Y776" t="str">
            <v>NORTE</v>
          </cell>
          <cell r="Z776" t="str">
            <v>florida blanca</v>
          </cell>
          <cell r="AA776" t="str">
            <v>Bucaramanga</v>
          </cell>
          <cell r="AB776" t="str">
            <v>Cabecera</v>
          </cell>
          <cell r="AC776" t="str">
            <v>Cll.  54 #  33-45 piso 1</v>
          </cell>
          <cell r="AD776"/>
          <cell r="AE776">
            <v>24250</v>
          </cell>
          <cell r="AF776">
            <v>20000</v>
          </cell>
          <cell r="AG776">
            <v>4</v>
          </cell>
          <cell r="AH776">
            <v>13</v>
          </cell>
          <cell r="AI776">
            <v>25000</v>
          </cell>
          <cell r="AJ776">
            <v>22500</v>
          </cell>
          <cell r="AK776">
            <v>-2500</v>
          </cell>
          <cell r="AL776">
            <v>21825</v>
          </cell>
        </row>
        <row r="777">
          <cell r="T777" t="str">
            <v>Sonia Yolanda Amado Silva</v>
          </cell>
          <cell r="U777" t="str">
            <v xml:space="preserve">Carrera 27 # 48-31 apt 903 </v>
          </cell>
          <cell r="V777">
            <v>0</v>
          </cell>
          <cell r="W777" t="str">
            <v>CERCANO</v>
          </cell>
          <cell r="X777" t="e">
            <v>#REF!</v>
          </cell>
          <cell r="Y777" t="str">
            <v>NORTE</v>
          </cell>
          <cell r="Z777"/>
          <cell r="AA777" t="str">
            <v>Bucaramanga</v>
          </cell>
          <cell r="AB777" t="str">
            <v>Cabecera</v>
          </cell>
          <cell r="AC777" t="str">
            <v>Cll.  54 #  33-45 piso 1</v>
          </cell>
          <cell r="AD777"/>
          <cell r="AE777">
            <v>10670</v>
          </cell>
          <cell r="AF777">
            <v>9000</v>
          </cell>
          <cell r="AG777">
            <v>2</v>
          </cell>
          <cell r="AH777">
            <v>8</v>
          </cell>
          <cell r="AI777">
            <v>11000</v>
          </cell>
          <cell r="AJ777">
            <v>11000</v>
          </cell>
          <cell r="AK777">
            <v>-2000</v>
          </cell>
          <cell r="AL777">
            <v>10670</v>
          </cell>
        </row>
        <row r="778">
          <cell r="T778" t="str">
            <v>Wilson nova Hernandez</v>
          </cell>
          <cell r="U778" t="str">
            <v>carrera 29w # 59-02</v>
          </cell>
          <cell r="V778">
            <v>0</v>
          </cell>
          <cell r="W778" t="str">
            <v>CERCANO</v>
          </cell>
          <cell r="X778" t="e">
            <v>#REF!</v>
          </cell>
          <cell r="Y778" t="str">
            <v>NORTE</v>
          </cell>
          <cell r="Z778"/>
          <cell r="AA778" t="str">
            <v>Bucaramanga</v>
          </cell>
          <cell r="AB778" t="str">
            <v>Cabecera</v>
          </cell>
          <cell r="AC778" t="str">
            <v>Cll.  54 #  33-45 piso 1</v>
          </cell>
          <cell r="AD778"/>
          <cell r="AE778">
            <v>13095</v>
          </cell>
          <cell r="AF778">
            <v>9000</v>
          </cell>
          <cell r="AG778" t="str">
            <v>8 km</v>
          </cell>
          <cell r="AH778" t="str">
            <v>15 min</v>
          </cell>
          <cell r="AI778">
            <v>15000</v>
          </cell>
          <cell r="AJ778">
            <v>13500</v>
          </cell>
          <cell r="AK778">
            <v>-4500</v>
          </cell>
          <cell r="AL778">
            <v>13095</v>
          </cell>
        </row>
        <row r="779">
          <cell r="T779" t="str">
            <v>Antonio Deulofeutt</v>
          </cell>
          <cell r="U779" t="str">
            <v xml:space="preserve">Terminal de transporte </v>
          </cell>
          <cell r="V779">
            <v>0</v>
          </cell>
          <cell r="W779" t="str">
            <v>INTERMUNICIPAL</v>
          </cell>
          <cell r="X779">
            <v>3125371443</v>
          </cell>
          <cell r="Y779" t="str">
            <v>NORTE</v>
          </cell>
          <cell r="Z779"/>
          <cell r="AA779" t="str">
            <v>CARTAGENA</v>
          </cell>
          <cell r="AB779" t="str">
            <v>Cartagena</v>
          </cell>
          <cell r="AC779" t="str">
            <v>Barrio La Plazuela Carrera 71 # 29 - 236 CC shoping center La plazuela local 16</v>
          </cell>
          <cell r="AD779"/>
          <cell r="AE779">
            <v>80000</v>
          </cell>
          <cell r="AF779">
            <v>9000</v>
          </cell>
          <cell r="AG779">
            <v>3</v>
          </cell>
          <cell r="AH779">
            <v>8</v>
          </cell>
          <cell r="AI779">
            <v>80000</v>
          </cell>
          <cell r="AJ779">
            <v>80000</v>
          </cell>
          <cell r="AK779">
            <v>-71000</v>
          </cell>
          <cell r="AL779">
            <v>77600</v>
          </cell>
        </row>
        <row r="780">
          <cell r="T780" t="str">
            <v>Elsy Sierra</v>
          </cell>
          <cell r="U780" t="str">
            <v>Torres de la princesa calle 31 #86-75</v>
          </cell>
          <cell r="V780" t="str">
            <v>TORRES DE LA PRINCESA</v>
          </cell>
          <cell r="W780" t="str">
            <v>CERCANO</v>
          </cell>
          <cell r="X780">
            <v>3188439710</v>
          </cell>
          <cell r="Y780" t="str">
            <v>NORTE</v>
          </cell>
          <cell r="Z780"/>
          <cell r="AA780" t="str">
            <v>CARTAGENA</v>
          </cell>
          <cell r="AB780" t="str">
            <v>Cartagena</v>
          </cell>
          <cell r="AC780" t="str">
            <v>Barrio La Plazuela Carrera 71 # 29 - 236 CC shoping center La plazuela local 16</v>
          </cell>
          <cell r="AD780"/>
          <cell r="AE780">
            <v>13095</v>
          </cell>
          <cell r="AF780">
            <v>9000</v>
          </cell>
          <cell r="AG780">
            <v>2</v>
          </cell>
          <cell r="AH780">
            <v>6</v>
          </cell>
          <cell r="AI780">
            <v>15000</v>
          </cell>
          <cell r="AJ780">
            <v>13500</v>
          </cell>
          <cell r="AK780">
            <v>-4500</v>
          </cell>
          <cell r="AL780">
            <v>13095</v>
          </cell>
        </row>
        <row r="781">
          <cell r="T781" t="str">
            <v xml:space="preserve">Eugenia Medrano </v>
          </cell>
          <cell r="U781" t="str">
            <v>Torices calle 51 sector siglo XX #13-55</v>
          </cell>
          <cell r="V781" t="str">
            <v xml:space="preserve">TORICES </v>
          </cell>
          <cell r="W781" t="str">
            <v>CERCANO</v>
          </cell>
          <cell r="X781">
            <v>3045816345</v>
          </cell>
          <cell r="Y781" t="str">
            <v>NORTE</v>
          </cell>
          <cell r="Z781"/>
          <cell r="AA781" t="str">
            <v>CARTAGENA</v>
          </cell>
          <cell r="AB781" t="str">
            <v>Cartagena</v>
          </cell>
          <cell r="AC781" t="str">
            <v>Barrio La Plazuela Carrera 71 # 29 - 236 CC shoping center La plazuela local 16</v>
          </cell>
          <cell r="AD781"/>
          <cell r="AE781">
            <v>17460</v>
          </cell>
          <cell r="AF781">
            <v>9000</v>
          </cell>
          <cell r="AG781">
            <v>10</v>
          </cell>
          <cell r="AH781">
            <v>27</v>
          </cell>
          <cell r="AI781">
            <v>20000</v>
          </cell>
          <cell r="AJ781">
            <v>18000</v>
          </cell>
          <cell r="AK781">
            <v>-9000</v>
          </cell>
          <cell r="AL781">
            <v>17460</v>
          </cell>
        </row>
        <row r="782">
          <cell r="T782" t="str">
            <v xml:space="preserve">Karina Salas </v>
          </cell>
          <cell r="U782" t="str">
            <v>Olaya Herrera sector Ricaurte calle La Cruz, #59-40</v>
          </cell>
          <cell r="V782" t="str">
            <v>OLAYA HERERA</v>
          </cell>
          <cell r="W782" t="str">
            <v>CERCANO</v>
          </cell>
          <cell r="X782">
            <v>3015980289</v>
          </cell>
          <cell r="Y782" t="str">
            <v>NORTE</v>
          </cell>
          <cell r="Z782"/>
          <cell r="AA782" t="str">
            <v>CARTAGENA</v>
          </cell>
          <cell r="AB782" t="str">
            <v>Cartagena</v>
          </cell>
          <cell r="AC782" t="str">
            <v>Barrio La Plazuela Carrera 71 # 29 - 236 CC shoping center La plazuela local 16</v>
          </cell>
          <cell r="AD782"/>
          <cell r="AE782">
            <v>13095</v>
          </cell>
          <cell r="AF782">
            <v>9000</v>
          </cell>
          <cell r="AG782">
            <v>5</v>
          </cell>
          <cell r="AH782">
            <v>14</v>
          </cell>
          <cell r="AI782">
            <v>15000</v>
          </cell>
          <cell r="AJ782">
            <v>13500</v>
          </cell>
          <cell r="AK782">
            <v>-4500</v>
          </cell>
          <cell r="AL782">
            <v>13095</v>
          </cell>
        </row>
        <row r="783">
          <cell r="T783" t="str">
            <v>Licette Cortes</v>
          </cell>
          <cell r="U783" t="str">
            <v>Socorro Plan 500B, Mz 75 Lote 13</v>
          </cell>
          <cell r="V783" t="str">
            <v>SOCORRO</v>
          </cell>
          <cell r="W783" t="str">
            <v>CERCANO</v>
          </cell>
          <cell r="X783">
            <v>3174792248</v>
          </cell>
          <cell r="Y783" t="str">
            <v>NORTE</v>
          </cell>
          <cell r="Z783"/>
          <cell r="AA783" t="str">
            <v>CARTAGENA</v>
          </cell>
          <cell r="AB783" t="str">
            <v>Cartagena</v>
          </cell>
          <cell r="AC783" t="str">
            <v>Barrio La Plazuela Carrera 71 # 29 - 236 CC shoping center La plazuela local 16</v>
          </cell>
          <cell r="AD783"/>
          <cell r="AE783">
            <v>13095</v>
          </cell>
          <cell r="AF783">
            <v>9000</v>
          </cell>
          <cell r="AG783">
            <v>2</v>
          </cell>
          <cell r="AH783">
            <v>5</v>
          </cell>
          <cell r="AI783">
            <v>15000</v>
          </cell>
          <cell r="AJ783">
            <v>13500</v>
          </cell>
          <cell r="AK783">
            <v>-4500</v>
          </cell>
          <cell r="AL783">
            <v>13095</v>
          </cell>
        </row>
        <row r="784">
          <cell r="T784" t="str">
            <v>Lina Pertùz</v>
          </cell>
          <cell r="U784" t="str">
            <v xml:space="preserve">Campestre Mz 80 Lote 6 </v>
          </cell>
          <cell r="V784" t="str">
            <v>CAMPESTRE</v>
          </cell>
          <cell r="W784" t="str">
            <v>CERCANO</v>
          </cell>
          <cell r="X784">
            <v>3008426412</v>
          </cell>
          <cell r="Y784" t="str">
            <v>NORTE</v>
          </cell>
          <cell r="Z784"/>
          <cell r="AA784" t="str">
            <v>CARTAGENA</v>
          </cell>
          <cell r="AB784" t="str">
            <v>Cartagena</v>
          </cell>
          <cell r="AC784" t="str">
            <v>Barrio La Plazuela Carrera 71 # 29 - 236 CC shoping center La plazuela local 16</v>
          </cell>
          <cell r="AD784"/>
          <cell r="AE784">
            <v>13095</v>
          </cell>
          <cell r="AF784">
            <v>9000</v>
          </cell>
          <cell r="AG784">
            <v>4</v>
          </cell>
          <cell r="AH784">
            <v>11</v>
          </cell>
          <cell r="AI784">
            <v>15000</v>
          </cell>
          <cell r="AJ784">
            <v>13500</v>
          </cell>
          <cell r="AK784">
            <v>-4500</v>
          </cell>
          <cell r="AL784">
            <v>13095</v>
          </cell>
        </row>
        <row r="785">
          <cell r="T785" t="str">
            <v xml:space="preserve">Lucy Corrales </v>
          </cell>
          <cell r="U785" t="str">
            <v xml:space="preserve">Urbanizaciòn Sevilla Mz 7 Lote 15 </v>
          </cell>
          <cell r="V785" t="str">
            <v>URBANIZACIÓN SEVILLA</v>
          </cell>
          <cell r="W785" t="str">
            <v>CERCANO</v>
          </cell>
          <cell r="X785">
            <v>3003183337</v>
          </cell>
          <cell r="Y785" t="str">
            <v>NORTE</v>
          </cell>
          <cell r="Z785"/>
          <cell r="AA785" t="str">
            <v>CARTAGENA</v>
          </cell>
          <cell r="AB785" t="str">
            <v>Cartagena</v>
          </cell>
          <cell r="AC785" t="str">
            <v>Barrio La Plazuela Carrera 71 # 29 - 236 CC shoping center La plazuela local 16</v>
          </cell>
          <cell r="AD785"/>
          <cell r="AE785">
            <v>13095</v>
          </cell>
          <cell r="AF785">
            <v>9000</v>
          </cell>
          <cell r="AG785">
            <v>7</v>
          </cell>
          <cell r="AH785">
            <v>2</v>
          </cell>
          <cell r="AI785">
            <v>15000</v>
          </cell>
          <cell r="AJ785">
            <v>13500</v>
          </cell>
          <cell r="AK785">
            <v>-4500</v>
          </cell>
          <cell r="AL785">
            <v>13095</v>
          </cell>
        </row>
        <row r="786">
          <cell r="T786" t="str">
            <v>Luz Enith Borrero</v>
          </cell>
          <cell r="U786"/>
          <cell r="V786">
            <v>0</v>
          </cell>
          <cell r="W786" t="str">
            <v>CERCANO</v>
          </cell>
          <cell r="X786" t="e">
            <v>#REF!</v>
          </cell>
          <cell r="Y786" t="str">
            <v>NORTE</v>
          </cell>
          <cell r="Z786"/>
          <cell r="AA786" t="str">
            <v>CARTAGENA</v>
          </cell>
          <cell r="AB786" t="str">
            <v>Cartagena</v>
          </cell>
          <cell r="AC786" t="str">
            <v>Barrio La Plazuela Carrera 71 # 29 - 236 CC shoping center La plazuela local 16</v>
          </cell>
          <cell r="AD786"/>
          <cell r="AE786">
            <v>13095</v>
          </cell>
          <cell r="AF786">
            <v>9000</v>
          </cell>
          <cell r="AG786">
            <v>0</v>
          </cell>
          <cell r="AH786">
            <v>0</v>
          </cell>
          <cell r="AI786">
            <v>15000</v>
          </cell>
          <cell r="AJ786">
            <v>13500</v>
          </cell>
          <cell r="AK786">
            <v>-4500</v>
          </cell>
          <cell r="AL786">
            <v>13095</v>
          </cell>
        </row>
        <row r="787">
          <cell r="T787" t="str">
            <v xml:space="preserve">Luz Mery Rios </v>
          </cell>
          <cell r="U787" t="str">
            <v>Olaya Herrera Sector 11 Noviembre Calle La Arrocera #34-111</v>
          </cell>
          <cell r="V787" t="str">
            <v>OLAYA HERERA</v>
          </cell>
          <cell r="W787" t="str">
            <v>CERCANO</v>
          </cell>
          <cell r="X787">
            <v>3142431973</v>
          </cell>
          <cell r="Y787" t="str">
            <v>NORTE</v>
          </cell>
          <cell r="Z787"/>
          <cell r="AA787" t="str">
            <v>CARTAGENA</v>
          </cell>
          <cell r="AB787" t="str">
            <v>Cartagena</v>
          </cell>
          <cell r="AC787" t="str">
            <v>Barrio La Plazuela Carrera 71 # 29 - 236 CC shoping center La plazuela local 16</v>
          </cell>
          <cell r="AD787"/>
          <cell r="AE787">
            <v>13095</v>
          </cell>
          <cell r="AF787">
            <v>9000</v>
          </cell>
          <cell r="AG787">
            <v>0</v>
          </cell>
          <cell r="AH787">
            <v>0</v>
          </cell>
          <cell r="AI787">
            <v>15000</v>
          </cell>
          <cell r="AJ787">
            <v>13500</v>
          </cell>
          <cell r="AK787">
            <v>-4500</v>
          </cell>
          <cell r="AL787">
            <v>13095</v>
          </cell>
        </row>
        <row r="788">
          <cell r="T788" t="str">
            <v xml:space="preserve">Maidelys Almeida </v>
          </cell>
          <cell r="U788" t="str">
            <v>turbaco</v>
          </cell>
          <cell r="V788" t="str">
            <v>TURBACO</v>
          </cell>
          <cell r="W788" t="str">
            <v>CERCANO</v>
          </cell>
          <cell r="X788">
            <v>3114300468</v>
          </cell>
          <cell r="Y788" t="str">
            <v>NORTE</v>
          </cell>
          <cell r="Z788"/>
          <cell r="AA788" t="str">
            <v>CARTAGENA</v>
          </cell>
          <cell r="AB788" t="str">
            <v>Cartagena</v>
          </cell>
          <cell r="AC788" t="str">
            <v>Barrio La Plazuela Carrera 71 # 29 - 236 CC shoping center La plazuela local 16</v>
          </cell>
          <cell r="AD788"/>
          <cell r="AE788">
            <v>13095</v>
          </cell>
          <cell r="AF788">
            <v>9000</v>
          </cell>
          <cell r="AG788">
            <v>3</v>
          </cell>
          <cell r="AH788">
            <v>8</v>
          </cell>
          <cell r="AI788">
            <v>15000</v>
          </cell>
          <cell r="AJ788">
            <v>13500</v>
          </cell>
          <cell r="AK788">
            <v>-4500</v>
          </cell>
          <cell r="AL788">
            <v>13095</v>
          </cell>
        </row>
        <row r="789">
          <cell r="T789" t="str">
            <v xml:space="preserve">Maifer Del Rio </v>
          </cell>
          <cell r="U789" t="str">
            <v>Olaya Herrera sector La Magdalena, Calle de las Flores #64-48</v>
          </cell>
          <cell r="V789" t="str">
            <v>OLAYA HERERA</v>
          </cell>
          <cell r="W789" t="str">
            <v>CERCANO</v>
          </cell>
          <cell r="X789">
            <v>3183069754</v>
          </cell>
          <cell r="Y789" t="str">
            <v>NORTE</v>
          </cell>
          <cell r="Z789"/>
          <cell r="AA789" t="str">
            <v>CARTAGENA</v>
          </cell>
          <cell r="AB789" t="str">
            <v>Cartagena</v>
          </cell>
          <cell r="AC789" t="str">
            <v>Barrio La Plazuela Carrera 71 # 29 - 236 CC shoping center La plazuela local 16</v>
          </cell>
          <cell r="AD789"/>
          <cell r="AE789">
            <v>13095</v>
          </cell>
          <cell r="AF789">
            <v>9000</v>
          </cell>
          <cell r="AG789">
            <v>4</v>
          </cell>
          <cell r="AH789">
            <v>11</v>
          </cell>
          <cell r="AI789">
            <v>15000</v>
          </cell>
          <cell r="AJ789">
            <v>13500</v>
          </cell>
          <cell r="AK789">
            <v>-4500</v>
          </cell>
          <cell r="AL789">
            <v>13095</v>
          </cell>
        </row>
        <row r="790">
          <cell r="T790" t="str">
            <v>Marìa Angèlica Suarez</v>
          </cell>
          <cell r="U790" t="str">
            <v>Ciudad Jardìn, Palmeras del Jardìn</v>
          </cell>
          <cell r="V790" t="str">
            <v>CIUDAD JARDIN</v>
          </cell>
          <cell r="W790" t="str">
            <v>CERCANO</v>
          </cell>
          <cell r="X790">
            <v>3006689859</v>
          </cell>
          <cell r="Y790" t="str">
            <v>NORTE</v>
          </cell>
          <cell r="Z790"/>
          <cell r="AA790" t="str">
            <v>CARTAGENA</v>
          </cell>
          <cell r="AB790" t="str">
            <v>Cartagena</v>
          </cell>
          <cell r="AC790" t="str">
            <v>Barrio La Plazuela Carrera 71 # 29 - 236 CC shoping center La plazuela local 16</v>
          </cell>
          <cell r="AD790"/>
          <cell r="AE790">
            <v>13095</v>
          </cell>
          <cell r="AF790">
            <v>9000</v>
          </cell>
          <cell r="AG790">
            <v>4</v>
          </cell>
          <cell r="AH790">
            <v>11</v>
          </cell>
          <cell r="AI790">
            <v>15000</v>
          </cell>
          <cell r="AJ790">
            <v>13500</v>
          </cell>
          <cell r="AK790">
            <v>-4500</v>
          </cell>
          <cell r="AL790">
            <v>13095</v>
          </cell>
        </row>
        <row r="791">
          <cell r="T791" t="str">
            <v>Maria Balvin</v>
          </cell>
          <cell r="U791" t="str">
            <v>Altos de Plan Parejo, Mz Ñ Lote 1 (Turbaco  municipio peaje)</v>
          </cell>
          <cell r="V791" t="str">
            <v>turbaco</v>
          </cell>
          <cell r="W791" t="str">
            <v>INTERMUNICIPAL</v>
          </cell>
          <cell r="X791">
            <v>3007150622</v>
          </cell>
          <cell r="Y791" t="str">
            <v>NORTE</v>
          </cell>
          <cell r="Z791"/>
          <cell r="AA791" t="str">
            <v>CARTAGENA</v>
          </cell>
          <cell r="AB791" t="str">
            <v>Cartagena</v>
          </cell>
          <cell r="AC791" t="str">
            <v>Barrio La Plazuela Carrera 71 # 29 - 236 CC shoping center La plazuela local 16</v>
          </cell>
          <cell r="AD791"/>
          <cell r="AE791">
            <v>53350</v>
          </cell>
          <cell r="AF791">
            <v>50000</v>
          </cell>
          <cell r="AG791">
            <v>16</v>
          </cell>
          <cell r="AH791">
            <v>24</v>
          </cell>
          <cell r="AI791">
            <v>20000</v>
          </cell>
          <cell r="AJ791">
            <v>55000</v>
          </cell>
          <cell r="AK791">
            <v>-5000</v>
          </cell>
          <cell r="AL791">
            <v>53350</v>
          </cell>
        </row>
        <row r="792">
          <cell r="T792" t="str">
            <v xml:space="preserve">Matilde Rodero </v>
          </cell>
          <cell r="U792" t="str">
            <v>Providencia Sector Villa Natalia, Mz A Lote 7</v>
          </cell>
          <cell r="V792" t="str">
            <v xml:space="preserve">PROVIDENCIA </v>
          </cell>
          <cell r="W792" t="str">
            <v>CERCANO</v>
          </cell>
          <cell r="X792">
            <v>3156710900</v>
          </cell>
          <cell r="Y792" t="str">
            <v>NORTE</v>
          </cell>
          <cell r="Z792"/>
          <cell r="AA792" t="str">
            <v>CARTAGENA</v>
          </cell>
          <cell r="AB792" t="str">
            <v>Cartagena</v>
          </cell>
          <cell r="AC792" t="str">
            <v>Barrio La Plazuela Carrera 71 # 29 - 236 CC shoping center La plazuela local 16</v>
          </cell>
          <cell r="AD792"/>
          <cell r="AE792">
            <v>13095</v>
          </cell>
          <cell r="AF792">
            <v>9000</v>
          </cell>
          <cell r="AG792">
            <v>4</v>
          </cell>
          <cell r="AH792">
            <v>12</v>
          </cell>
          <cell r="AI792">
            <v>15000</v>
          </cell>
          <cell r="AJ792">
            <v>13500</v>
          </cell>
          <cell r="AK792">
            <v>-4500</v>
          </cell>
          <cell r="AL792">
            <v>13095</v>
          </cell>
        </row>
        <row r="793">
          <cell r="T793" t="str">
            <v>Merlyn Àlvarez</v>
          </cell>
          <cell r="U793" t="str">
            <v>13 de Junio Urbanizaciòn La India, Mz A lote 13</v>
          </cell>
          <cell r="V793" t="str">
            <v>13 de junio</v>
          </cell>
          <cell r="W793" t="str">
            <v>CERCANO</v>
          </cell>
          <cell r="X793">
            <v>3146868902</v>
          </cell>
          <cell r="Y793" t="str">
            <v>NORTE</v>
          </cell>
          <cell r="Z793"/>
          <cell r="AA793" t="str">
            <v>CARTAGENA</v>
          </cell>
          <cell r="AB793" t="str">
            <v>Cartagena</v>
          </cell>
          <cell r="AC793" t="str">
            <v>Barrio La Plazuela Carrera 71 # 29 - 236 CC shoping center La plazuela local 16</v>
          </cell>
          <cell r="AD793"/>
          <cell r="AE793">
            <v>13095</v>
          </cell>
          <cell r="AF793">
            <v>9000</v>
          </cell>
          <cell r="AG793">
            <v>3</v>
          </cell>
          <cell r="AH793">
            <v>11</v>
          </cell>
          <cell r="AI793">
            <v>15000</v>
          </cell>
          <cell r="AJ793">
            <v>13500</v>
          </cell>
          <cell r="AK793">
            <v>-4500</v>
          </cell>
          <cell r="AL793">
            <v>13095</v>
          </cell>
        </row>
        <row r="794">
          <cell r="T794" t="str">
            <v>Nelly Tapias</v>
          </cell>
          <cell r="U794" t="str">
            <v xml:space="preserve">Urbanizaciòn San Fernando, Mz 7 Lote 6 </v>
          </cell>
          <cell r="V794" t="str">
            <v>San Fernando</v>
          </cell>
          <cell r="W794" t="str">
            <v>CERCANO</v>
          </cell>
          <cell r="X794">
            <v>3126199447</v>
          </cell>
          <cell r="Y794" t="str">
            <v>NORTE</v>
          </cell>
          <cell r="Z794"/>
          <cell r="AA794" t="str">
            <v>CARTAGENA</v>
          </cell>
          <cell r="AB794" t="str">
            <v>Cartagena</v>
          </cell>
          <cell r="AC794" t="str">
            <v>Barrio La Plazuela Carrera 71 # 29 - 236 CC shoping center La plazuela local 16</v>
          </cell>
          <cell r="AD794"/>
          <cell r="AE794">
            <v>13095</v>
          </cell>
          <cell r="AF794">
            <v>9000</v>
          </cell>
          <cell r="AG794">
            <v>3</v>
          </cell>
          <cell r="AH794">
            <v>9</v>
          </cell>
          <cell r="AI794">
            <v>15000</v>
          </cell>
          <cell r="AJ794">
            <v>13500</v>
          </cell>
          <cell r="AK794">
            <v>-4500</v>
          </cell>
          <cell r="AL794">
            <v>13095</v>
          </cell>
        </row>
        <row r="795">
          <cell r="T795" t="str">
            <v xml:space="preserve">Omaira Gomez </v>
          </cell>
          <cell r="U795" t="str">
            <v>Campestre Transv. 56 #16A-42</v>
          </cell>
          <cell r="V795" t="str">
            <v>CAMPESTRE</v>
          </cell>
          <cell r="W795" t="str">
            <v>CERCANO</v>
          </cell>
          <cell r="X795">
            <v>3114278753</v>
          </cell>
          <cell r="Y795" t="str">
            <v>NORTE</v>
          </cell>
          <cell r="Z795"/>
          <cell r="AA795" t="str">
            <v>CARTAGENA</v>
          </cell>
          <cell r="AB795" t="str">
            <v>Cartagena</v>
          </cell>
          <cell r="AC795" t="str">
            <v>Barrio La Plazuela Carrera 71 # 29 - 236 CC shoping center La plazuela local 16</v>
          </cell>
          <cell r="AD795"/>
          <cell r="AE795">
            <v>13095</v>
          </cell>
          <cell r="AF795">
            <v>9000</v>
          </cell>
          <cell r="AG795">
            <v>4</v>
          </cell>
          <cell r="AH795">
            <v>11</v>
          </cell>
          <cell r="AI795">
            <v>15000</v>
          </cell>
          <cell r="AJ795">
            <v>13500</v>
          </cell>
          <cell r="AK795">
            <v>-4500</v>
          </cell>
          <cell r="AL795">
            <v>13095</v>
          </cell>
        </row>
        <row r="796">
          <cell r="T796" t="str">
            <v>Sandra Blanco</v>
          </cell>
          <cell r="U796" t="str">
            <v>San Jose de los Campanos, carrera 101 #39a-46</v>
          </cell>
          <cell r="V796" t="str">
            <v>SAN  JOSE DE LOS CAMPANOS</v>
          </cell>
          <cell r="W796" t="str">
            <v>CERCANO</v>
          </cell>
          <cell r="X796">
            <v>3007902257</v>
          </cell>
          <cell r="Y796" t="str">
            <v>NORTE</v>
          </cell>
          <cell r="Z796"/>
          <cell r="AA796" t="str">
            <v>CARTAGENA</v>
          </cell>
          <cell r="AB796" t="str">
            <v>Cartagena</v>
          </cell>
          <cell r="AC796" t="str">
            <v>Barrio La Plazuela Carrera 71 # 29 - 236 CC shoping center La plazuela local 16</v>
          </cell>
          <cell r="AD796"/>
          <cell r="AE796">
            <v>13095</v>
          </cell>
          <cell r="AF796">
            <v>9000</v>
          </cell>
          <cell r="AG796">
            <v>2</v>
          </cell>
          <cell r="AH796">
            <v>7</v>
          </cell>
          <cell r="AI796">
            <v>15000</v>
          </cell>
          <cell r="AJ796">
            <v>13500</v>
          </cell>
          <cell r="AK796">
            <v>-4500</v>
          </cell>
          <cell r="AL796">
            <v>13095</v>
          </cell>
        </row>
        <row r="797">
          <cell r="T797" t="str">
            <v>Sandra Rodriguez</v>
          </cell>
          <cell r="U797" t="str">
            <v xml:space="preserve">Torres de la Plazuela carrera 71 </v>
          </cell>
          <cell r="V797" t="str">
            <v>TORRES DE LA PLAZUELA</v>
          </cell>
          <cell r="W797" t="str">
            <v>LEJANO</v>
          </cell>
          <cell r="X797">
            <v>3175014880</v>
          </cell>
          <cell r="Y797" t="str">
            <v>NORTE</v>
          </cell>
          <cell r="Z797"/>
          <cell r="AA797" t="str">
            <v>CARTAGENA</v>
          </cell>
          <cell r="AB797" t="str">
            <v>Cartagena</v>
          </cell>
          <cell r="AC797" t="str">
            <v>Barrio La Plazuela Carrera 71 # 29 - 236 CC shoping center La plazuela local 16</v>
          </cell>
          <cell r="AD797"/>
          <cell r="AE797">
            <v>17460</v>
          </cell>
          <cell r="AF797">
            <v>15000</v>
          </cell>
          <cell r="AG797">
            <v>12</v>
          </cell>
          <cell r="AH797">
            <v>25</v>
          </cell>
          <cell r="AI797">
            <v>20000</v>
          </cell>
          <cell r="AJ797">
            <v>18000</v>
          </cell>
          <cell r="AK797">
            <v>-3000</v>
          </cell>
          <cell r="AL797">
            <v>17460</v>
          </cell>
        </row>
        <row r="798">
          <cell r="T798" t="str">
            <v xml:space="preserve">Sarita Lopez </v>
          </cell>
          <cell r="U798" t="str">
            <v>Urbanizaciòn La Carolina Mz D Lote 53, calle 8</v>
          </cell>
          <cell r="V798" t="str">
            <v>LA CAROLINA</v>
          </cell>
          <cell r="W798" t="str">
            <v>CERCANO</v>
          </cell>
          <cell r="X798">
            <v>3015855468</v>
          </cell>
          <cell r="Y798" t="str">
            <v>NORTE</v>
          </cell>
          <cell r="Z798"/>
          <cell r="AA798" t="str">
            <v>CARTAGENA</v>
          </cell>
          <cell r="AB798" t="str">
            <v>Cartagena</v>
          </cell>
          <cell r="AC798" t="str">
            <v>Barrio La Plazuela Carrera 71 # 29 - 236 CC shoping center La plazuela local 16</v>
          </cell>
          <cell r="AD798"/>
          <cell r="AE798">
            <v>13095</v>
          </cell>
          <cell r="AF798">
            <v>9000</v>
          </cell>
          <cell r="AG798">
            <v>3</v>
          </cell>
          <cell r="AH798">
            <v>7</v>
          </cell>
          <cell r="AI798">
            <v>15000</v>
          </cell>
          <cell r="AJ798">
            <v>13500</v>
          </cell>
          <cell r="AK798">
            <v>-4500</v>
          </cell>
          <cell r="AL798">
            <v>13095</v>
          </cell>
        </row>
        <row r="799">
          <cell r="T799" t="str">
            <v xml:space="preserve">Tatiana Martinez </v>
          </cell>
          <cell r="U799" t="str">
            <v>El Carmelo, Calle Santa Marta Mz R Lote 11</v>
          </cell>
          <cell r="V799" t="str">
            <v>EL CARMELO</v>
          </cell>
          <cell r="W799" t="str">
            <v>CERCANO</v>
          </cell>
          <cell r="X799">
            <v>3147271557</v>
          </cell>
          <cell r="Y799" t="str">
            <v>NORTE</v>
          </cell>
          <cell r="Z799"/>
          <cell r="AA799" t="str">
            <v>CARTAGENA</v>
          </cell>
          <cell r="AB799" t="str">
            <v>Cartagena</v>
          </cell>
          <cell r="AC799" t="str">
            <v>Barrio La Plazuela Carrera 71 # 29 - 236 CC shoping center La plazuela local 16</v>
          </cell>
          <cell r="AD799"/>
          <cell r="AE799">
            <v>13095</v>
          </cell>
          <cell r="AF799">
            <v>9000</v>
          </cell>
          <cell r="AG799">
            <v>3</v>
          </cell>
          <cell r="AH799">
            <v>10</v>
          </cell>
          <cell r="AI799">
            <v>15000</v>
          </cell>
          <cell r="AJ799">
            <v>13500</v>
          </cell>
          <cell r="AK799">
            <v>-4500</v>
          </cell>
          <cell r="AL799">
            <v>13095</v>
          </cell>
        </row>
        <row r="800">
          <cell r="T800" t="str">
            <v>Xiomara Lara</v>
          </cell>
          <cell r="U800" t="str">
            <v>Providencia Terraza de Granada, Mz B Lote 8</v>
          </cell>
          <cell r="V800" t="str">
            <v>TERRAZA</v>
          </cell>
          <cell r="W800" t="str">
            <v>CERCANO</v>
          </cell>
          <cell r="X800">
            <v>3165122044</v>
          </cell>
          <cell r="Y800" t="str">
            <v>NORTE</v>
          </cell>
          <cell r="Z800"/>
          <cell r="AA800" t="str">
            <v>CARTAGENA</v>
          </cell>
          <cell r="AB800" t="str">
            <v>Cartagena</v>
          </cell>
          <cell r="AC800" t="str">
            <v>Barrio La Plazuela Carrera 71 # 29 - 236 CC shoping center La plazuela local 16</v>
          </cell>
          <cell r="AD800"/>
          <cell r="AE800">
            <v>13095</v>
          </cell>
          <cell r="AF800">
            <v>9000</v>
          </cell>
          <cell r="AG800">
            <v>0</v>
          </cell>
          <cell r="AH800">
            <v>0</v>
          </cell>
          <cell r="AI800">
            <v>15000</v>
          </cell>
          <cell r="AJ800">
            <v>13500</v>
          </cell>
          <cell r="AK800">
            <v>-4500</v>
          </cell>
          <cell r="AL800">
            <v>13095</v>
          </cell>
        </row>
        <row r="801">
          <cell r="T801" t="str">
            <v xml:space="preserve">Zurelys Zurita </v>
          </cell>
          <cell r="U801" t="str">
            <v>San Fernando Kra 83 #22-121</v>
          </cell>
          <cell r="V801" t="str">
            <v>SAN FERNANDO</v>
          </cell>
          <cell r="W801" t="str">
            <v>CERCANO</v>
          </cell>
          <cell r="X801">
            <v>3186269911</v>
          </cell>
          <cell r="Y801" t="str">
            <v>NORTE</v>
          </cell>
          <cell r="Z801"/>
          <cell r="AA801" t="str">
            <v>CARTAGENA</v>
          </cell>
          <cell r="AB801" t="str">
            <v>Cartagena</v>
          </cell>
          <cell r="AC801" t="str">
            <v>Barrio La Plazuela Carrera 71 # 29 - 236 CC shoping center La plazuela local 16</v>
          </cell>
          <cell r="AD801"/>
          <cell r="AE801">
            <v>13095</v>
          </cell>
          <cell r="AF801">
            <v>9000</v>
          </cell>
          <cell r="AG801">
            <v>3</v>
          </cell>
          <cell r="AH801">
            <v>8</v>
          </cell>
          <cell r="AI801">
            <v>15000</v>
          </cell>
          <cell r="AJ801">
            <v>13500</v>
          </cell>
          <cell r="AK801">
            <v>-4500</v>
          </cell>
          <cell r="AL801">
            <v>13095</v>
          </cell>
        </row>
        <row r="802">
          <cell r="T802" t="str">
            <v xml:space="preserve">Arleth Rhenals </v>
          </cell>
          <cell r="U802" t="str">
            <v xml:space="preserve">Barrio Canapote Calle 63 # 17 -22 </v>
          </cell>
          <cell r="V802">
            <v>0</v>
          </cell>
          <cell r="W802" t="str">
            <v>CERCANO</v>
          </cell>
          <cell r="X802" t="e">
            <v>#REF!</v>
          </cell>
          <cell r="Y802" t="str">
            <v>NORTE</v>
          </cell>
          <cell r="Z802"/>
          <cell r="AA802" t="str">
            <v>CARTAGENA</v>
          </cell>
          <cell r="AB802" t="str">
            <v>Cartagena</v>
          </cell>
          <cell r="AC802" t="str">
            <v>Barrio La Plazuela Carrera 71 # 29 - 236 CC shoping center La plazuela local 16</v>
          </cell>
          <cell r="AD802"/>
          <cell r="AE802">
            <v>17460</v>
          </cell>
          <cell r="AF802">
            <v>9000</v>
          </cell>
          <cell r="AG802">
            <v>10</v>
          </cell>
          <cell r="AH802">
            <v>25</v>
          </cell>
          <cell r="AI802" t="e">
            <v>#N/A</v>
          </cell>
          <cell r="AJ802">
            <v>18000</v>
          </cell>
          <cell r="AK802">
            <v>-9000</v>
          </cell>
          <cell r="AL802">
            <v>17460</v>
          </cell>
        </row>
        <row r="803">
          <cell r="T803" t="str">
            <v xml:space="preserve">Casimiro Cash Leon </v>
          </cell>
          <cell r="U803" t="str">
            <v xml:space="preserve">Urbanizaciòn San Fernando, Mz 7 Lote 6 </v>
          </cell>
          <cell r="V803">
            <v>0</v>
          </cell>
          <cell r="W803" t="str">
            <v>CERCANO</v>
          </cell>
          <cell r="X803" t="e">
            <v>#REF!</v>
          </cell>
          <cell r="Y803" t="str">
            <v>NORTE</v>
          </cell>
          <cell r="Z803"/>
          <cell r="AA803" t="str">
            <v>CARTAGENA</v>
          </cell>
          <cell r="AB803" t="str">
            <v>Cartagena</v>
          </cell>
          <cell r="AC803" t="str">
            <v>Barrio La Plazuela Carrera 71 # 29 - 236 CC shoping center La plazuela local 16</v>
          </cell>
          <cell r="AD803"/>
          <cell r="AE803">
            <v>13095</v>
          </cell>
          <cell r="AF803">
            <v>9000</v>
          </cell>
          <cell r="AG803">
            <v>3</v>
          </cell>
          <cell r="AH803">
            <v>9</v>
          </cell>
          <cell r="AI803" t="e">
            <v>#N/A</v>
          </cell>
          <cell r="AJ803">
            <v>13500</v>
          </cell>
          <cell r="AK803">
            <v>-4500</v>
          </cell>
          <cell r="AL803">
            <v>13095</v>
          </cell>
        </row>
        <row r="804">
          <cell r="T804" t="str">
            <v xml:space="preserve">Olga Patricia Ortiz </v>
          </cell>
          <cell r="U804"/>
          <cell r="V804">
            <v>0</v>
          </cell>
          <cell r="W804" t="str">
            <v>CERCANO</v>
          </cell>
          <cell r="X804" t="e">
            <v>#REF!</v>
          </cell>
          <cell r="Y804" t="str">
            <v>NORTE</v>
          </cell>
          <cell r="Z804"/>
          <cell r="AA804" t="str">
            <v>CARTAGENA</v>
          </cell>
          <cell r="AB804" t="str">
            <v>Cartagena</v>
          </cell>
          <cell r="AC804" t="str">
            <v>Barrio La Plazuela Carrera 71 # 29 - 236 CC shoping center La plazuela local 16</v>
          </cell>
          <cell r="AD804"/>
          <cell r="AE804">
            <v>13095</v>
          </cell>
          <cell r="AF804">
            <v>9000</v>
          </cell>
          <cell r="AG804">
            <v>0</v>
          </cell>
          <cell r="AH804">
            <v>0</v>
          </cell>
          <cell r="AI804" t="e">
            <v>#N/A</v>
          </cell>
          <cell r="AJ804">
            <v>13500</v>
          </cell>
          <cell r="AK804">
            <v>-4500</v>
          </cell>
          <cell r="AL804">
            <v>13095</v>
          </cell>
        </row>
        <row r="805">
          <cell r="T805" t="str">
            <v>BUENAHORA RODRIGUEZ INGRID LICED</v>
          </cell>
          <cell r="U805" t="str">
            <v>Calle 201a #20a-18</v>
          </cell>
          <cell r="V805">
            <v>0</v>
          </cell>
          <cell r="W805" t="str">
            <v>CERCANO</v>
          </cell>
          <cell r="X805">
            <v>3186537507</v>
          </cell>
          <cell r="Y805" t="str">
            <v>NORTE</v>
          </cell>
          <cell r="Z805"/>
          <cell r="AA805" t="str">
            <v>Bucaramanga</v>
          </cell>
          <cell r="AB805" t="str">
            <v>Foscal</v>
          </cell>
          <cell r="AC805" t="str">
            <v>Cra. 24 # 154-106 Centro Médico Ardila Lule Torre B. Piso 12</v>
          </cell>
          <cell r="AD805"/>
          <cell r="AE805">
            <v>27160</v>
          </cell>
          <cell r="AF805">
            <v>20000</v>
          </cell>
          <cell r="AG805">
            <v>3</v>
          </cell>
          <cell r="AH805">
            <v>9</v>
          </cell>
          <cell r="AI805">
            <v>15000</v>
          </cell>
          <cell r="AJ805">
            <v>15000</v>
          </cell>
          <cell r="AK805">
            <v>5000</v>
          </cell>
          <cell r="AL805">
            <v>14550</v>
          </cell>
        </row>
        <row r="806">
          <cell r="T806" t="str">
            <v>CABALLERO CAMARGO ERIKA JOHANNA</v>
          </cell>
          <cell r="U806" t="str">
            <v>Calle 5d # 16_15 (municipio)</v>
          </cell>
          <cell r="V806" t="str">
            <v>pie de cuesta</v>
          </cell>
          <cell r="W806" t="str">
            <v>INTERMUNICIPAL</v>
          </cell>
          <cell r="X806">
            <v>3016775959</v>
          </cell>
          <cell r="Y806" t="str">
            <v>NORTE</v>
          </cell>
          <cell r="Z806"/>
          <cell r="AA806" t="str">
            <v>Bucaramanga</v>
          </cell>
          <cell r="AB806" t="str">
            <v>Foscal</v>
          </cell>
          <cell r="AC806" t="str">
            <v>Cra. 24 # 154-106 Centro Médico Ardila Lule Torre B. Piso 12</v>
          </cell>
          <cell r="AD806"/>
          <cell r="AE806">
            <v>24735</v>
          </cell>
          <cell r="AF806">
            <v>20000</v>
          </cell>
          <cell r="AG806">
            <v>12</v>
          </cell>
          <cell r="AH806">
            <v>17</v>
          </cell>
          <cell r="AI806">
            <v>25000</v>
          </cell>
          <cell r="AJ806">
            <v>25000</v>
          </cell>
          <cell r="AK806">
            <v>-5000</v>
          </cell>
          <cell r="AL806">
            <v>24250</v>
          </cell>
        </row>
        <row r="807">
          <cell r="T807" t="str">
            <v>CALA BLANCO DAYANA ELIZABETH</v>
          </cell>
          <cell r="U807" t="str">
            <v>Carrera 26 # 35a - 96</v>
          </cell>
          <cell r="V807">
            <v>0</v>
          </cell>
          <cell r="W807" t="str">
            <v>CERCANO</v>
          </cell>
          <cell r="X807">
            <v>3126033769</v>
          </cell>
          <cell r="Y807" t="str">
            <v>NORTE</v>
          </cell>
          <cell r="Z807"/>
          <cell r="AA807" t="str">
            <v>Bucaramanga</v>
          </cell>
          <cell r="AB807" t="str">
            <v>Foscal</v>
          </cell>
          <cell r="AC807" t="str">
            <v>Cra. 24 # 154-106 Centro Médico Ardila Lule Torre B. Piso 12</v>
          </cell>
          <cell r="AD807"/>
          <cell r="AE807">
            <v>13095</v>
          </cell>
          <cell r="AF807">
            <v>9000</v>
          </cell>
          <cell r="AG807">
            <v>2</v>
          </cell>
          <cell r="AH807">
            <v>12</v>
          </cell>
          <cell r="AI807">
            <v>15000</v>
          </cell>
          <cell r="AJ807">
            <v>13500</v>
          </cell>
          <cell r="AK807">
            <v>-4500</v>
          </cell>
          <cell r="AL807">
            <v>13095</v>
          </cell>
        </row>
        <row r="808">
          <cell r="T808" t="str">
            <v>CARILLO TORRES MARIA CRISTINA</v>
          </cell>
          <cell r="U808" t="str">
            <v>Calle 60 c # 16 h- 36 (se traslada a otro municipio)</v>
          </cell>
          <cell r="V808" t="str">
            <v>giron</v>
          </cell>
          <cell r="W808" t="str">
            <v>INTERMUNICIPAL</v>
          </cell>
          <cell r="X808" t="e">
            <v>#REF!</v>
          </cell>
          <cell r="Y808" t="str">
            <v>NORTE</v>
          </cell>
          <cell r="Z808"/>
          <cell r="AA808" t="str">
            <v>Bucaramanga</v>
          </cell>
          <cell r="AB808" t="str">
            <v>Foscal</v>
          </cell>
          <cell r="AC808" t="str">
            <v>Cra. 24 # 154-106 Centro Médico Ardila Lule Torre B. Piso 12</v>
          </cell>
          <cell r="AD808"/>
          <cell r="AE808">
            <v>39285</v>
          </cell>
          <cell r="AF808">
            <v>20000</v>
          </cell>
          <cell r="AG808">
            <v>12</v>
          </cell>
          <cell r="AH808">
            <v>18</v>
          </cell>
          <cell r="AI808" t="e">
            <v>#N/A</v>
          </cell>
          <cell r="AJ808">
            <v>40500</v>
          </cell>
          <cell r="AK808">
            <v>-20500</v>
          </cell>
          <cell r="AL808">
            <v>39285</v>
          </cell>
        </row>
        <row r="809">
          <cell r="T809" t="str">
            <v>carmen Elisa Maestre velazquez</v>
          </cell>
          <cell r="U809" t="str">
            <v>carrera 9 N. 26-15 (Se traslada municipo)</v>
          </cell>
          <cell r="V809">
            <v>0</v>
          </cell>
          <cell r="W809" t="str">
            <v>CERCANO</v>
          </cell>
          <cell r="X809" t="e">
            <v>#REF!</v>
          </cell>
          <cell r="Y809" t="str">
            <v>NORTE</v>
          </cell>
          <cell r="Z809"/>
          <cell r="AA809" t="str">
            <v>Bucaramanga</v>
          </cell>
          <cell r="AB809" t="str">
            <v>Foscal</v>
          </cell>
          <cell r="AC809" t="str">
            <v>Cra. 24 # 154-106 Centro Médico Ardila Lule Torre B. Piso 12</v>
          </cell>
          <cell r="AD809"/>
          <cell r="AE809">
            <v>13095</v>
          </cell>
          <cell r="AF809">
            <v>9000</v>
          </cell>
          <cell r="AG809" t="str">
            <v>8 km</v>
          </cell>
          <cell r="AH809" t="str">
            <v>15 min</v>
          </cell>
          <cell r="AI809">
            <v>15000</v>
          </cell>
          <cell r="AJ809">
            <v>13500</v>
          </cell>
          <cell r="AK809">
            <v>-4500</v>
          </cell>
          <cell r="AL809">
            <v>13095</v>
          </cell>
        </row>
        <row r="810">
          <cell r="T810" t="str">
            <v>CARREÑO GARCIA MIGUEL CAMILO</v>
          </cell>
          <cell r="U810" t="str">
            <v xml:space="preserve">Calle 111 # 34 04 </v>
          </cell>
          <cell r="V810">
            <v>0</v>
          </cell>
          <cell r="W810" t="str">
            <v>CERCANO</v>
          </cell>
          <cell r="X810">
            <v>3105556764</v>
          </cell>
          <cell r="Y810" t="str">
            <v>NORTE</v>
          </cell>
          <cell r="Z810"/>
          <cell r="AA810" t="str">
            <v>Bucaramanga</v>
          </cell>
          <cell r="AB810" t="str">
            <v>Foscal</v>
          </cell>
          <cell r="AC810" t="str">
            <v>Cra. 24 # 154-106 Centro Médico Ardila Lule Torre B. Piso 12</v>
          </cell>
          <cell r="AD810"/>
          <cell r="AE810">
            <v>13095</v>
          </cell>
          <cell r="AF810">
            <v>9000</v>
          </cell>
          <cell r="AG810">
            <v>4</v>
          </cell>
          <cell r="AH810">
            <v>12</v>
          </cell>
          <cell r="AI810">
            <v>15000</v>
          </cell>
          <cell r="AJ810">
            <v>13500</v>
          </cell>
          <cell r="AK810">
            <v>-4500</v>
          </cell>
          <cell r="AL810">
            <v>13095</v>
          </cell>
        </row>
        <row r="811">
          <cell r="T811" t="str">
            <v>COLMENAREZ CRUZ SONIA RUBIDTH</v>
          </cell>
          <cell r="U811" t="str">
            <v>Calle 27 a # 7e-54</v>
          </cell>
          <cell r="V811">
            <v>0</v>
          </cell>
          <cell r="W811" t="str">
            <v>CERCANO</v>
          </cell>
          <cell r="X811" t="e">
            <v>#REF!</v>
          </cell>
          <cell r="Y811" t="str">
            <v>NORTE</v>
          </cell>
          <cell r="Z811"/>
          <cell r="AA811" t="str">
            <v>Bucaramanga</v>
          </cell>
          <cell r="AB811" t="str">
            <v>Foscal</v>
          </cell>
          <cell r="AC811" t="str">
            <v>Cra. 24 # 154-106 Centro Médico Ardila Lule Torre B. Piso 12</v>
          </cell>
          <cell r="AD811"/>
          <cell r="AE811">
            <v>13095</v>
          </cell>
          <cell r="AF811">
            <v>9000</v>
          </cell>
          <cell r="AG811">
            <v>4</v>
          </cell>
          <cell r="AH811">
            <v>15</v>
          </cell>
          <cell r="AI811">
            <v>15000</v>
          </cell>
          <cell r="AJ811">
            <v>13500</v>
          </cell>
          <cell r="AK811">
            <v>-4500</v>
          </cell>
          <cell r="AL811">
            <v>13095</v>
          </cell>
        </row>
        <row r="812">
          <cell r="T812" t="str">
            <v>CRUZ TRASLAVIÑA ALBA MILENA</v>
          </cell>
          <cell r="U812" t="str">
            <v>Calle 103 # 13-31 san fermin ll</v>
          </cell>
          <cell r="V812" t="str">
            <v xml:space="preserve">SAN FERMIN </v>
          </cell>
          <cell r="W812" t="str">
            <v>CERCANO</v>
          </cell>
          <cell r="X812">
            <v>3164718069</v>
          </cell>
          <cell r="Y812" t="str">
            <v>NORTE</v>
          </cell>
          <cell r="Z812"/>
          <cell r="AA812" t="str">
            <v>Bucaramanga</v>
          </cell>
          <cell r="AB812" t="str">
            <v>Foscal</v>
          </cell>
          <cell r="AC812" t="str">
            <v>Cra. 24 # 154-106 Centro Médico Ardila Lule Torre B. Piso 12</v>
          </cell>
          <cell r="AD812"/>
          <cell r="AE812">
            <v>13095</v>
          </cell>
          <cell r="AF812">
            <v>9000</v>
          </cell>
          <cell r="AG812">
            <v>7</v>
          </cell>
          <cell r="AH812">
            <v>17</v>
          </cell>
          <cell r="AI812">
            <v>15000</v>
          </cell>
          <cell r="AJ812">
            <v>13500</v>
          </cell>
          <cell r="AK812">
            <v>-4500</v>
          </cell>
          <cell r="AL812">
            <v>13095</v>
          </cell>
        </row>
        <row r="813">
          <cell r="T813" t="str">
            <v>MANCILLA MENDOZA HERLY PATRICIA</v>
          </cell>
          <cell r="U813" t="str">
            <v>Carrera 26 # 35 170</v>
          </cell>
          <cell r="V813">
            <v>0</v>
          </cell>
          <cell r="W813" t="str">
            <v>CERCANO</v>
          </cell>
          <cell r="X813">
            <v>3156373765</v>
          </cell>
          <cell r="Y813" t="str">
            <v>NORTE</v>
          </cell>
          <cell r="Z813"/>
          <cell r="AA813" t="str">
            <v>Bucaramanga</v>
          </cell>
          <cell r="AB813" t="str">
            <v>Foscal</v>
          </cell>
          <cell r="AC813" t="str">
            <v>Cra. 24 # 154-106 Centro Médico Ardila Lule Torre B. Piso 12</v>
          </cell>
          <cell r="AD813"/>
          <cell r="AE813">
            <v>13095</v>
          </cell>
          <cell r="AF813">
            <v>9000</v>
          </cell>
          <cell r="AG813">
            <v>2</v>
          </cell>
          <cell r="AH813">
            <v>12</v>
          </cell>
          <cell r="AI813">
            <v>15000</v>
          </cell>
          <cell r="AJ813">
            <v>13500</v>
          </cell>
          <cell r="AK813">
            <v>-4500</v>
          </cell>
          <cell r="AL813">
            <v>13095</v>
          </cell>
        </row>
        <row r="814">
          <cell r="T814" t="str">
            <v xml:space="preserve">maria del pilar perez </v>
          </cell>
          <cell r="U814" t="str">
            <v>conjunto los trinitarios</v>
          </cell>
          <cell r="V814" t="str">
            <v>LOS TRINITARIOS</v>
          </cell>
          <cell r="W814" t="str">
            <v>CERCANO</v>
          </cell>
          <cell r="X814" t="e">
            <v>#REF!</v>
          </cell>
          <cell r="Y814" t="str">
            <v>NORTE</v>
          </cell>
          <cell r="Z814"/>
          <cell r="AA814" t="str">
            <v>Bucaramanga</v>
          </cell>
          <cell r="AB814" t="str">
            <v>Foscal</v>
          </cell>
          <cell r="AC814" t="str">
            <v>Cra. 24 # 154-106 Centro Médico Ardila Lule Torre B. Piso 12</v>
          </cell>
          <cell r="AD814"/>
          <cell r="AE814">
            <v>13095</v>
          </cell>
          <cell r="AF814">
            <v>9000</v>
          </cell>
          <cell r="AG814" t="str">
            <v>2 km</v>
          </cell>
          <cell r="AH814" t="str">
            <v>5 min</v>
          </cell>
          <cell r="AI814">
            <v>15000</v>
          </cell>
          <cell r="AJ814">
            <v>13500</v>
          </cell>
          <cell r="AK814">
            <v>-4500</v>
          </cell>
          <cell r="AL814">
            <v>13095</v>
          </cell>
        </row>
        <row r="815">
          <cell r="T815" t="str">
            <v xml:space="preserve">MARIA ISABEL DELGADO </v>
          </cell>
          <cell r="U815" t="str">
            <v xml:space="preserve">AVERIGUAR CON EL CONDUCTOR </v>
          </cell>
          <cell r="V815">
            <v>0</v>
          </cell>
          <cell r="W815" t="str">
            <v>CERCANO</v>
          </cell>
          <cell r="X815" t="str">
            <v xml:space="preserve">AVERIGUAR CON EL CONDUCTOR </v>
          </cell>
          <cell r="Y815" t="str">
            <v>NORTE</v>
          </cell>
          <cell r="Z815"/>
          <cell r="AA815" t="str">
            <v>Bucaramanga</v>
          </cell>
          <cell r="AB815" t="str">
            <v>Foscal</v>
          </cell>
          <cell r="AC815" t="str">
            <v>Cra. 24 # 154-106 Centro Médico Ardila Lule Torre B. Piso 12</v>
          </cell>
          <cell r="AD815"/>
          <cell r="AE815">
            <v>13095</v>
          </cell>
          <cell r="AF815">
            <v>9000</v>
          </cell>
          <cell r="AG815">
            <v>4</v>
          </cell>
          <cell r="AH815">
            <v>6</v>
          </cell>
          <cell r="AI815">
            <v>15000</v>
          </cell>
          <cell r="AJ815">
            <v>13500</v>
          </cell>
          <cell r="AK815">
            <v>-4500</v>
          </cell>
          <cell r="AL815">
            <v>13095</v>
          </cell>
        </row>
        <row r="816">
          <cell r="T816" t="str">
            <v>MARTINEZ SAENZ LIZ JOHLOK</v>
          </cell>
          <cell r="U816" t="str">
            <v>Calle 28 # 10-55</v>
          </cell>
          <cell r="V816">
            <v>0</v>
          </cell>
          <cell r="W816" t="str">
            <v>CERCANO</v>
          </cell>
          <cell r="X816">
            <v>3133497183</v>
          </cell>
          <cell r="Y816" t="str">
            <v>NORTE</v>
          </cell>
          <cell r="Z816"/>
          <cell r="AA816" t="str">
            <v>Bucaramanga</v>
          </cell>
          <cell r="AB816" t="str">
            <v>Foscal</v>
          </cell>
          <cell r="AC816" t="str">
            <v>Cra. 24 # 154-106 Centro Médico Ardila Lule Torre B. Piso 12</v>
          </cell>
          <cell r="AD816"/>
          <cell r="AE816">
            <v>13095</v>
          </cell>
          <cell r="AF816">
            <v>9000</v>
          </cell>
          <cell r="AG816">
            <v>2</v>
          </cell>
          <cell r="AH816">
            <v>9</v>
          </cell>
          <cell r="AI816">
            <v>15000</v>
          </cell>
          <cell r="AJ816">
            <v>13500</v>
          </cell>
          <cell r="AK816">
            <v>-4500</v>
          </cell>
          <cell r="AL816">
            <v>13095</v>
          </cell>
        </row>
        <row r="817">
          <cell r="T817" t="str">
            <v>MORENO LEIDY YOHANNA</v>
          </cell>
          <cell r="U817" t="str">
            <v>Carrera 21 # 152-30 torre 32 apto 302</v>
          </cell>
          <cell r="V817">
            <v>0</v>
          </cell>
          <cell r="W817" t="str">
            <v>CERCANO</v>
          </cell>
          <cell r="X817">
            <v>3124698291</v>
          </cell>
          <cell r="Y817" t="str">
            <v>NORTE</v>
          </cell>
          <cell r="Z817"/>
          <cell r="AA817" t="str">
            <v>Bucaramanga</v>
          </cell>
          <cell r="AB817" t="str">
            <v>Foscal</v>
          </cell>
          <cell r="AC817" t="str">
            <v>Cra. 24 # 154-106 Centro Médico Ardila Lule Torre B. Piso 12</v>
          </cell>
          <cell r="AD817"/>
          <cell r="AE817">
            <v>13095</v>
          </cell>
          <cell r="AF817">
            <v>9000</v>
          </cell>
          <cell r="AG817">
            <v>1</v>
          </cell>
          <cell r="AH817">
            <v>5</v>
          </cell>
          <cell r="AI817">
            <v>15000</v>
          </cell>
          <cell r="AJ817">
            <v>13500</v>
          </cell>
          <cell r="AK817">
            <v>-4500</v>
          </cell>
          <cell r="AL817">
            <v>13095</v>
          </cell>
        </row>
        <row r="818">
          <cell r="T818" t="str">
            <v>NARVAEZ ACUÑA OSCAR GUILLERMO</v>
          </cell>
          <cell r="U818" t="str">
            <v>Carrera 11 # 103E - 18</v>
          </cell>
          <cell r="V818">
            <v>0</v>
          </cell>
          <cell r="W818" t="str">
            <v>LEJANO</v>
          </cell>
          <cell r="X818" t="e">
            <v>#REF!</v>
          </cell>
          <cell r="Y818" t="str">
            <v>NORTE</v>
          </cell>
          <cell r="Z818"/>
          <cell r="AA818" t="str">
            <v>Bucaramanga</v>
          </cell>
          <cell r="AB818" t="str">
            <v>Foscal</v>
          </cell>
          <cell r="AC818" t="str">
            <v>Cra. 24 # 154-106 Centro Médico Ardila Lule Torre B. Piso 12</v>
          </cell>
          <cell r="AD818"/>
          <cell r="AE818">
            <v>21825</v>
          </cell>
          <cell r="AF818">
            <v>20000</v>
          </cell>
          <cell r="AG818">
            <v>10</v>
          </cell>
          <cell r="AH818">
            <v>18</v>
          </cell>
          <cell r="AI818">
            <v>25000</v>
          </cell>
          <cell r="AJ818">
            <v>22500</v>
          </cell>
          <cell r="AK818">
            <v>-2500</v>
          </cell>
          <cell r="AL818">
            <v>21825</v>
          </cell>
        </row>
        <row r="819">
          <cell r="T819" t="str">
            <v>PICO MENDOZA SANDRA YOLANDA</v>
          </cell>
          <cell r="U819" t="str">
            <v>Carrera 36 36 53 apto 202 edificio cibia</v>
          </cell>
          <cell r="V819">
            <v>0</v>
          </cell>
          <cell r="W819" t="str">
            <v>LEJANO</v>
          </cell>
          <cell r="X819">
            <v>3166473343</v>
          </cell>
          <cell r="Y819" t="str">
            <v>NORTE</v>
          </cell>
          <cell r="Z819"/>
          <cell r="AA819" t="str">
            <v>Bucaramanga</v>
          </cell>
          <cell r="AB819" t="str">
            <v>Foscal</v>
          </cell>
          <cell r="AC819" t="str">
            <v>Cra. 24 # 154-106 Centro Médico Ardila Lule Torre B. Piso 12</v>
          </cell>
          <cell r="AD819"/>
          <cell r="AE819">
            <v>24250</v>
          </cell>
          <cell r="AF819">
            <v>20000</v>
          </cell>
          <cell r="AG819">
            <v>6</v>
          </cell>
          <cell r="AH819">
            <v>15</v>
          </cell>
          <cell r="AI819">
            <v>15000</v>
          </cell>
          <cell r="AJ819">
            <v>15000</v>
          </cell>
          <cell r="AK819">
            <v>5000</v>
          </cell>
          <cell r="AL819">
            <v>14550</v>
          </cell>
        </row>
        <row r="820">
          <cell r="T820" t="str">
            <v>RAMIREZ OCHOA SOCORRO</v>
          </cell>
          <cell r="U820" t="str">
            <v>Carrera 8 # 42-38</v>
          </cell>
          <cell r="V820">
            <v>0</v>
          </cell>
          <cell r="W820" t="str">
            <v>CERCANO</v>
          </cell>
          <cell r="X820">
            <v>3153157029</v>
          </cell>
          <cell r="Y820" t="str">
            <v>NORTE</v>
          </cell>
          <cell r="Z820"/>
          <cell r="AA820" t="str">
            <v>Bucaramanga</v>
          </cell>
          <cell r="AB820" t="str">
            <v>Foscal</v>
          </cell>
          <cell r="AC820" t="str">
            <v>Cra. 24 # 154-106 Centro Médico Ardila Lule Torre B. Piso 12</v>
          </cell>
          <cell r="AD820"/>
          <cell r="AE820">
            <v>13095</v>
          </cell>
          <cell r="AF820">
            <v>9000</v>
          </cell>
          <cell r="AG820">
            <v>2</v>
          </cell>
          <cell r="AH820">
            <v>7</v>
          </cell>
          <cell r="AI820">
            <v>15000</v>
          </cell>
          <cell r="AJ820">
            <v>13500</v>
          </cell>
          <cell r="AK820">
            <v>-4500</v>
          </cell>
          <cell r="AL820">
            <v>13095</v>
          </cell>
        </row>
        <row r="821">
          <cell r="T821" t="str">
            <v>REY ARGUELLO ANA MERCEDDES (finca)</v>
          </cell>
          <cell r="U821" t="str">
            <v>Finca San Jose Via Aeropuerto Palonegro (municipio-aeropuerto)</v>
          </cell>
          <cell r="V821" t="str">
            <v>lebrija</v>
          </cell>
          <cell r="W821" t="str">
            <v>INTERMUNICIPAL</v>
          </cell>
          <cell r="X821">
            <v>3002336757</v>
          </cell>
          <cell r="Y821" t="str">
            <v>NORTE</v>
          </cell>
          <cell r="Z821"/>
          <cell r="AA821" t="str">
            <v>Bucaramanga</v>
          </cell>
          <cell r="AB821" t="str">
            <v>Foscal</v>
          </cell>
          <cell r="AC821" t="str">
            <v>Cra. 24 # 154-106 Centro Médico Ardila Lule Torre B. Piso 12</v>
          </cell>
          <cell r="AD821"/>
          <cell r="AE821">
            <v>58200</v>
          </cell>
          <cell r="AF821">
            <v>60000</v>
          </cell>
          <cell r="AG821">
            <v>24</v>
          </cell>
          <cell r="AH821">
            <v>31</v>
          </cell>
          <cell r="AI821">
            <v>60000</v>
          </cell>
          <cell r="AJ821">
            <v>60000</v>
          </cell>
          <cell r="AK821">
            <v>0</v>
          </cell>
          <cell r="AL821">
            <v>58200</v>
          </cell>
        </row>
        <row r="822">
          <cell r="T822" t="str">
            <v>REYES REINA BUENAVENTURA</v>
          </cell>
          <cell r="U822" t="str">
            <v>Calle 108 # 21-71</v>
          </cell>
          <cell r="V822">
            <v>0</v>
          </cell>
          <cell r="W822" t="str">
            <v>CERCANO</v>
          </cell>
          <cell r="X822">
            <v>3162375607</v>
          </cell>
          <cell r="Y822" t="str">
            <v>NORTE</v>
          </cell>
          <cell r="Z822"/>
          <cell r="AA822" t="str">
            <v>Bucaramanga</v>
          </cell>
          <cell r="AB822" t="str">
            <v>Foscal</v>
          </cell>
          <cell r="AC822" t="str">
            <v>Cra. 24 # 154-106 Centro Médico Ardila Lule Torre B. Piso 12</v>
          </cell>
          <cell r="AD822"/>
          <cell r="AE822">
            <v>13095</v>
          </cell>
          <cell r="AF822">
            <v>9000</v>
          </cell>
          <cell r="AG822">
            <v>4</v>
          </cell>
          <cell r="AH822">
            <v>11</v>
          </cell>
          <cell r="AI822">
            <v>15000</v>
          </cell>
          <cell r="AJ822">
            <v>13500</v>
          </cell>
          <cell r="AK822">
            <v>-4500</v>
          </cell>
          <cell r="AL822">
            <v>13095</v>
          </cell>
        </row>
        <row r="823">
          <cell r="T823" t="str">
            <v>RIVERA ALBARRACIN WILLIAM</v>
          </cell>
          <cell r="U823" t="str">
            <v xml:space="preserve">Carrera 14 b # 58-157 </v>
          </cell>
          <cell r="V823">
            <v>0</v>
          </cell>
          <cell r="W823" t="str">
            <v>CERCANO</v>
          </cell>
          <cell r="X823">
            <v>3212075665</v>
          </cell>
          <cell r="Y823" t="str">
            <v>NORTE</v>
          </cell>
          <cell r="Z823"/>
          <cell r="AA823" t="str">
            <v>Bucaramanga</v>
          </cell>
          <cell r="AB823" t="str">
            <v>Foscal</v>
          </cell>
          <cell r="AC823" t="str">
            <v>Cra. 24 # 154-106 Centro Médico Ardila Lule Torre B. Piso 12</v>
          </cell>
          <cell r="AD823"/>
          <cell r="AE823">
            <v>13095</v>
          </cell>
          <cell r="AF823">
            <v>9000</v>
          </cell>
          <cell r="AG823">
            <v>6</v>
          </cell>
          <cell r="AH823">
            <v>18</v>
          </cell>
          <cell r="AI823">
            <v>15000</v>
          </cell>
          <cell r="AJ823">
            <v>13500</v>
          </cell>
          <cell r="AK823">
            <v>-4500</v>
          </cell>
          <cell r="AL823">
            <v>13095</v>
          </cell>
        </row>
        <row r="824">
          <cell r="T824" t="str">
            <v>RODRIGUEZ PLATA HENRY</v>
          </cell>
          <cell r="U824" t="str">
            <v>Carrera 5an # 1w- 34 (municipio)</v>
          </cell>
          <cell r="V824" t="str">
            <v>pie de cuesta</v>
          </cell>
          <cell r="W824" t="str">
            <v>INTERMUNICIPAL</v>
          </cell>
          <cell r="X824">
            <v>3214616164</v>
          </cell>
          <cell r="Y824" t="str">
            <v>NORTE</v>
          </cell>
          <cell r="Z824"/>
          <cell r="AA824" t="str">
            <v>Bucaramanga</v>
          </cell>
          <cell r="AB824" t="str">
            <v>Foscal</v>
          </cell>
          <cell r="AC824" t="str">
            <v>Cra. 24 # 154-106 Centro Médico Ardila Lule Torre B. Piso 12</v>
          </cell>
          <cell r="AD824"/>
          <cell r="AE824">
            <v>24735</v>
          </cell>
          <cell r="AF824">
            <v>20000</v>
          </cell>
          <cell r="AG824">
            <v>13</v>
          </cell>
          <cell r="AH824">
            <v>20</v>
          </cell>
          <cell r="AI824">
            <v>25000</v>
          </cell>
          <cell r="AJ824">
            <v>25000</v>
          </cell>
          <cell r="AK824">
            <v>-5000</v>
          </cell>
          <cell r="AL824">
            <v>24250</v>
          </cell>
        </row>
        <row r="825">
          <cell r="T825" t="str">
            <v>ROJAS RIVERO LEIDY SUSANA</v>
          </cell>
          <cell r="U825" t="str">
            <v>Calle  17 # 13 - 73</v>
          </cell>
          <cell r="V825">
            <v>0</v>
          </cell>
          <cell r="W825" t="str">
            <v>CERCANO</v>
          </cell>
          <cell r="X825">
            <v>3108764433</v>
          </cell>
          <cell r="Y825" t="str">
            <v>NORTE</v>
          </cell>
          <cell r="Z825"/>
          <cell r="AA825" t="str">
            <v>Bucaramanga</v>
          </cell>
          <cell r="AB825" t="str">
            <v>Foscal</v>
          </cell>
          <cell r="AC825" t="str">
            <v>Cra. 24 # 154-106 Centro Médico Ardila Lule Torre B. Piso 12</v>
          </cell>
          <cell r="AD825"/>
          <cell r="AE825">
            <v>13095</v>
          </cell>
          <cell r="AF825">
            <v>9000</v>
          </cell>
          <cell r="AG825">
            <v>2</v>
          </cell>
          <cell r="AH825">
            <v>9</v>
          </cell>
          <cell r="AI825">
            <v>15000</v>
          </cell>
          <cell r="AJ825">
            <v>13500</v>
          </cell>
          <cell r="AK825">
            <v>-4500</v>
          </cell>
          <cell r="AL825">
            <v>13095</v>
          </cell>
        </row>
        <row r="826">
          <cell r="T826" t="str">
            <v>ROMERO ROJAS ANA YULIETH</v>
          </cell>
          <cell r="U826" t="str">
            <v>torre 1 apto 609</v>
          </cell>
          <cell r="V826">
            <v>0</v>
          </cell>
          <cell r="W826" t="str">
            <v>CERCANO</v>
          </cell>
          <cell r="X826">
            <v>3004862538</v>
          </cell>
          <cell r="Y826" t="str">
            <v>NORTE</v>
          </cell>
          <cell r="Z826"/>
          <cell r="AA826" t="str">
            <v>Bucaramanga</v>
          </cell>
          <cell r="AB826" t="str">
            <v>Foscal</v>
          </cell>
          <cell r="AC826" t="str">
            <v>Cra. 24 # 154-106 Centro Médico Ardila Lule Torre B. Piso 12</v>
          </cell>
          <cell r="AD826"/>
          <cell r="AE826">
            <v>10670</v>
          </cell>
          <cell r="AF826">
            <v>9000</v>
          </cell>
          <cell r="AG826">
            <v>3</v>
          </cell>
          <cell r="AH826">
            <v>9</v>
          </cell>
          <cell r="AI826">
            <v>11000</v>
          </cell>
          <cell r="AJ826">
            <v>11000</v>
          </cell>
          <cell r="AK826">
            <v>-2000</v>
          </cell>
          <cell r="AL826">
            <v>10670</v>
          </cell>
        </row>
        <row r="827">
          <cell r="T827" t="str">
            <v>RUIZ MENESES ADRIANA MARCELA</v>
          </cell>
          <cell r="U827" t="str">
            <v>Calle 157 # 154-237</v>
          </cell>
          <cell r="V827">
            <v>0</v>
          </cell>
          <cell r="W827" t="str">
            <v>CERCANO</v>
          </cell>
          <cell r="X827">
            <v>3156716035</v>
          </cell>
          <cell r="Y827" t="str">
            <v>NORTE</v>
          </cell>
          <cell r="Z827"/>
          <cell r="AA827" t="str">
            <v>Bucaramanga</v>
          </cell>
          <cell r="AB827" t="str">
            <v>Foscal</v>
          </cell>
          <cell r="AC827" t="str">
            <v>Cra. 24 # 154-106 Centro Médico Ardila Lule Torre B. Piso 12</v>
          </cell>
          <cell r="AD827"/>
          <cell r="AE827">
            <v>13095</v>
          </cell>
          <cell r="AF827">
            <v>9000</v>
          </cell>
          <cell r="AG827">
            <v>2</v>
          </cell>
          <cell r="AH827">
            <v>8</v>
          </cell>
          <cell r="AI827">
            <v>15000</v>
          </cell>
          <cell r="AJ827">
            <v>13500</v>
          </cell>
          <cell r="AK827">
            <v>-4500</v>
          </cell>
          <cell r="AL827">
            <v>13095</v>
          </cell>
        </row>
        <row r="828">
          <cell r="T828" t="str">
            <v>SUAREZ MURILLO RAUL</v>
          </cell>
          <cell r="U828" t="str">
            <v>Calle 81 # 59-08</v>
          </cell>
          <cell r="V828">
            <v>0</v>
          </cell>
          <cell r="W828" t="str">
            <v>CERCANO</v>
          </cell>
          <cell r="X828" t="e">
            <v>#REF!</v>
          </cell>
          <cell r="Y828" t="str">
            <v>NORTE</v>
          </cell>
          <cell r="Z828"/>
          <cell r="AA828" t="str">
            <v>Bucaramanga</v>
          </cell>
          <cell r="AB828" t="str">
            <v>Foscal</v>
          </cell>
          <cell r="AC828" t="str">
            <v>Cra. 24 # 154-106 Centro Médico Ardila Lule Torre B. Piso 12</v>
          </cell>
          <cell r="AD828"/>
          <cell r="AE828">
            <v>13095</v>
          </cell>
          <cell r="AF828">
            <v>9000</v>
          </cell>
          <cell r="AG828">
            <v>5</v>
          </cell>
          <cell r="AH828">
            <v>12</v>
          </cell>
          <cell r="AI828">
            <v>15000</v>
          </cell>
          <cell r="AJ828">
            <v>13500</v>
          </cell>
          <cell r="AK828">
            <v>-4500</v>
          </cell>
          <cell r="AL828">
            <v>13095</v>
          </cell>
        </row>
        <row r="829">
          <cell r="T829" t="str">
            <v>VELASCO JAIMES ELIANA MARCELA</v>
          </cell>
          <cell r="U829" t="str">
            <v>Carrera 28 # 11-15 (se traslada a otro municipio)</v>
          </cell>
          <cell r="V829" t="str">
            <v>giron</v>
          </cell>
          <cell r="W829" t="str">
            <v>INTERMUNICIPAL</v>
          </cell>
          <cell r="X829">
            <v>3167836722</v>
          </cell>
          <cell r="Y829" t="str">
            <v>NORTE</v>
          </cell>
          <cell r="Z829"/>
          <cell r="AA829" t="str">
            <v>Bucaramanga</v>
          </cell>
          <cell r="AB829" t="str">
            <v>Foscal</v>
          </cell>
          <cell r="AC829" t="str">
            <v>Cra. 24 # 154-106 Centro Médico Ardila Lule Torre B. Piso 12</v>
          </cell>
          <cell r="AD829"/>
          <cell r="AE829">
            <v>39285</v>
          </cell>
          <cell r="AF829">
            <v>20000</v>
          </cell>
          <cell r="AG829">
            <v>10</v>
          </cell>
          <cell r="AH829">
            <v>17</v>
          </cell>
          <cell r="AI829">
            <v>25000</v>
          </cell>
          <cell r="AJ829">
            <v>22500</v>
          </cell>
          <cell r="AK829">
            <v>-2500</v>
          </cell>
          <cell r="AL829">
            <v>21825</v>
          </cell>
        </row>
        <row r="830">
          <cell r="T830" t="str">
            <v xml:space="preserve">Yurley Walteros </v>
          </cell>
          <cell r="U830" t="str">
            <v>Urbanizacion Bucarica</v>
          </cell>
          <cell r="V830" t="str">
            <v>BUCARICA</v>
          </cell>
          <cell r="W830" t="str">
            <v>CERCANO</v>
          </cell>
          <cell r="X830" t="e">
            <v>#REF!</v>
          </cell>
          <cell r="Y830" t="str">
            <v>NORTE</v>
          </cell>
          <cell r="Z830"/>
          <cell r="AA830" t="str">
            <v>Bucaramanga</v>
          </cell>
          <cell r="AB830" t="str">
            <v>Foscal</v>
          </cell>
          <cell r="AC830" t="str">
            <v>Cra. 24 # 154-106 Centro Médico Ardila Lule Torre B. Piso 12</v>
          </cell>
          <cell r="AD830"/>
          <cell r="AE830">
            <v>13095</v>
          </cell>
          <cell r="AF830">
            <v>9000</v>
          </cell>
          <cell r="AG830">
            <v>6</v>
          </cell>
          <cell r="AH830" t="str">
            <v>10 min</v>
          </cell>
          <cell r="AI830" t="e">
            <v>#N/A</v>
          </cell>
          <cell r="AJ830">
            <v>13500</v>
          </cell>
          <cell r="AK830">
            <v>-4500</v>
          </cell>
          <cell r="AL830">
            <v>13095</v>
          </cell>
        </row>
        <row r="831">
          <cell r="T831" t="str">
            <v>GARZON LASSO PATRICIA</v>
          </cell>
          <cell r="U831" t="str">
            <v>Carrera 7 #74 A-09 Barrio Virgilio Barco (galindo lejano)</v>
          </cell>
          <cell r="V831" t="str">
            <v>VIRGILIO BARCO</v>
          </cell>
          <cell r="W831" t="str">
            <v>CERCANO</v>
          </cell>
          <cell r="X831" t="str">
            <v>Tel. 3162741632</v>
          </cell>
          <cell r="Y831" t="str">
            <v>CENTRO</v>
          </cell>
          <cell r="Z831"/>
          <cell r="AA831" t="str">
            <v xml:space="preserve">Neiva </v>
          </cell>
          <cell r="AB831" t="str">
            <v>Neiva</v>
          </cell>
          <cell r="AC831" t="str">
            <v>Calle 10 No. 5-45 locales 301 y 401 Edificio Salto de Bordones barrio centro</v>
          </cell>
          <cell r="AD831"/>
          <cell r="AE831">
            <v>15714</v>
          </cell>
          <cell r="AF831">
            <v>11000</v>
          </cell>
          <cell r="AG831">
            <v>7</v>
          </cell>
          <cell r="AH831">
            <v>15</v>
          </cell>
          <cell r="AI831">
            <v>18000</v>
          </cell>
          <cell r="AJ831">
            <v>16200</v>
          </cell>
          <cell r="AK831">
            <v>-5200</v>
          </cell>
          <cell r="AL831">
            <v>15714</v>
          </cell>
        </row>
        <row r="832">
          <cell r="T832" t="str">
            <v>LEON MEDINA IRMA</v>
          </cell>
          <cell r="U832" t="str">
            <v>Carrera 50 #27 C- 01  Apto 304 Bloque C- Barrio Torres de Alejandria(rioja)</v>
          </cell>
          <cell r="V832" t="str">
            <v>TORRES DE ALEJANDRIA</v>
          </cell>
          <cell r="W832" t="str">
            <v>CERCANO</v>
          </cell>
          <cell r="X832" t="str">
            <v>Tel. 3105855317</v>
          </cell>
          <cell r="Y832" t="str">
            <v>CENTRO</v>
          </cell>
          <cell r="Z832"/>
          <cell r="AA832" t="str">
            <v xml:space="preserve">Neiva </v>
          </cell>
          <cell r="AB832" t="str">
            <v>Neiva</v>
          </cell>
          <cell r="AC832" t="str">
            <v>Calle 10 No. 5-45 locales 301 y 401 Edificio Salto de Bordones barrio centro</v>
          </cell>
          <cell r="AD832"/>
          <cell r="AE832">
            <v>15714</v>
          </cell>
          <cell r="AF832">
            <v>11000</v>
          </cell>
          <cell r="AG832">
            <v>7</v>
          </cell>
          <cell r="AH832">
            <v>16</v>
          </cell>
          <cell r="AI832">
            <v>18000</v>
          </cell>
          <cell r="AJ832">
            <v>16200</v>
          </cell>
          <cell r="AK832">
            <v>-5200</v>
          </cell>
          <cell r="AL832">
            <v>15714</v>
          </cell>
        </row>
        <row r="833">
          <cell r="T833" t="str">
            <v>MEDINA TOVAR ORFANDA</v>
          </cell>
          <cell r="U833" t="str">
            <v>Calle 11 A #14 A- 39 Barrio Piramides - Recoger en LA ELECTRIFICADORA- EL BOTE KM 1 VIA PALERMO entrada NEIVA, el esposo tiene permiso de la  Alcaldiad de Palermo llevarla en moto hasta ese punto</v>
          </cell>
          <cell r="V833" t="str">
            <v>PIRAMIDES</v>
          </cell>
          <cell r="W833" t="str">
            <v>CERCANO</v>
          </cell>
          <cell r="X833" t="str">
            <v>Tel. 3164941229</v>
          </cell>
          <cell r="Y833" t="str">
            <v>CENTRO</v>
          </cell>
          <cell r="Z833"/>
          <cell r="AA833" t="str">
            <v xml:space="preserve">Neiva </v>
          </cell>
          <cell r="AB833" t="str">
            <v>Neiva</v>
          </cell>
          <cell r="AC833" t="str">
            <v>Calle 10 No. 5-45 locales 301 y 401 Edificio Salto de Bordones barrio centro</v>
          </cell>
          <cell r="AD833"/>
          <cell r="AE833">
            <v>15714</v>
          </cell>
          <cell r="AF833">
            <v>11000</v>
          </cell>
          <cell r="AG833">
            <v>4</v>
          </cell>
          <cell r="AH833">
            <v>9</v>
          </cell>
          <cell r="AI833">
            <v>18000</v>
          </cell>
          <cell r="AJ833">
            <v>16200</v>
          </cell>
          <cell r="AK833">
            <v>-5200</v>
          </cell>
          <cell r="AL833">
            <v>15714</v>
          </cell>
        </row>
        <row r="834">
          <cell r="T834" t="str">
            <v xml:space="preserve">Libia Castro </v>
          </cell>
          <cell r="U834" t="str">
            <v xml:space="preserve">Calle 23b # 45-22 Barrio Santander </v>
          </cell>
          <cell r="V834" t="str">
            <v>SANTANDER</v>
          </cell>
          <cell r="W834" t="str">
            <v>CERCANO</v>
          </cell>
          <cell r="X834" t="e">
            <v>#REF!</v>
          </cell>
          <cell r="Y834" t="str">
            <v>CENTRO</v>
          </cell>
          <cell r="Z834"/>
          <cell r="AA834" t="str">
            <v xml:space="preserve">Neiva </v>
          </cell>
          <cell r="AB834" t="str">
            <v>Neiva</v>
          </cell>
          <cell r="AC834" t="str">
            <v>Calle 10 No. 5-45 locales 301 y 401 Edificio Salto de Bordones barrio centro</v>
          </cell>
          <cell r="AD834"/>
          <cell r="AE834">
            <v>14550</v>
          </cell>
          <cell r="AF834">
            <v>11000</v>
          </cell>
          <cell r="AG834">
            <v>6</v>
          </cell>
          <cell r="AH834">
            <v>14</v>
          </cell>
          <cell r="AI834" t="e">
            <v>#N/A</v>
          </cell>
          <cell r="AJ834">
            <v>13500</v>
          </cell>
          <cell r="AK834">
            <v>-2500</v>
          </cell>
          <cell r="AL834">
            <v>13095</v>
          </cell>
        </row>
        <row r="835">
          <cell r="T835" t="str">
            <v>BEATRIZ EUGENIA BARTOLO RESTREPO</v>
          </cell>
          <cell r="U835" t="str">
            <v>CALLE 19 No. 21 B 60 EDIFICIO BOSQUES DE LAS SALLES TORRE 1 APTO 601</v>
          </cell>
          <cell r="V835" t="str">
            <v>bosques de la salle</v>
          </cell>
          <cell r="W835" t="str">
            <v>CERCANO</v>
          </cell>
          <cell r="X835">
            <v>3104972278</v>
          </cell>
          <cell r="Y835" t="str">
            <v>SUROCCIDENTE</v>
          </cell>
          <cell r="Z835"/>
          <cell r="AA835" t="str">
            <v>PEREIRA</v>
          </cell>
          <cell r="AB835" t="str">
            <v>Pereira</v>
          </cell>
          <cell r="AC835" t="str">
            <v>Avenida Juan B. Gutierrez # 17-55.  Piso 1 Edificio Icono</v>
          </cell>
          <cell r="AD835"/>
          <cell r="AE835">
            <v>10670</v>
          </cell>
          <cell r="AF835">
            <v>8000</v>
          </cell>
          <cell r="AG835">
            <v>3</v>
          </cell>
          <cell r="AH835">
            <v>8</v>
          </cell>
          <cell r="AI835">
            <v>11000</v>
          </cell>
          <cell r="AJ835">
            <v>11000</v>
          </cell>
          <cell r="AK835">
            <v>-3000</v>
          </cell>
          <cell r="AL835">
            <v>10670</v>
          </cell>
        </row>
        <row r="836">
          <cell r="T836" t="str">
            <v xml:space="preserve">BEATRIZ OCAMPO </v>
          </cell>
          <cell r="U836"/>
          <cell r="V836">
            <v>0</v>
          </cell>
          <cell r="W836" t="str">
            <v>CERCANO</v>
          </cell>
          <cell r="X836" t="e">
            <v>#REF!</v>
          </cell>
          <cell r="Y836" t="str">
            <v>SUROCCIDENTE</v>
          </cell>
          <cell r="Z836"/>
          <cell r="AA836" t="str">
            <v>PEREIRA</v>
          </cell>
          <cell r="AB836" t="str">
            <v>Pereira</v>
          </cell>
          <cell r="AC836" t="str">
            <v>Avenida Juan B. Gutierrez # 17-55.  Piso 1 Edificio Icono</v>
          </cell>
          <cell r="AD836"/>
          <cell r="AE836">
            <v>13095</v>
          </cell>
          <cell r="AF836">
            <v>8000</v>
          </cell>
          <cell r="AG836">
            <v>0</v>
          </cell>
          <cell r="AH836">
            <v>0</v>
          </cell>
          <cell r="AI836">
            <v>15000</v>
          </cell>
          <cell r="AJ836">
            <v>13500</v>
          </cell>
          <cell r="AK836">
            <v>-5500</v>
          </cell>
          <cell r="AL836">
            <v>13095</v>
          </cell>
        </row>
        <row r="837">
          <cell r="T837" t="str">
            <v>JACKELINE GRANADA MARIN</v>
          </cell>
          <cell r="U837" t="str">
            <v>MOLIVENTO II TORRE I  APTO 402 Dos Quebradas (municipal)</v>
          </cell>
          <cell r="V837" t="str">
            <v>dos quebradas</v>
          </cell>
          <cell r="W837" t="str">
            <v>INTERMUNICIPAL</v>
          </cell>
          <cell r="X837">
            <v>3175268459</v>
          </cell>
          <cell r="Y837" t="str">
            <v>SUROCCIDENTE</v>
          </cell>
          <cell r="Z837"/>
          <cell r="AA837" t="str">
            <v>PEREIRA</v>
          </cell>
          <cell r="AB837" t="str">
            <v>Pereira</v>
          </cell>
          <cell r="AC837" t="str">
            <v>Avenida Juan B. Gutierrez # 17-55.  Piso 1 Edificio Icono</v>
          </cell>
          <cell r="AD837"/>
          <cell r="AE837">
            <v>38800</v>
          </cell>
          <cell r="AF837">
            <v>32000</v>
          </cell>
          <cell r="AG837">
            <v>5</v>
          </cell>
          <cell r="AH837">
            <v>14</v>
          </cell>
          <cell r="AI837">
            <v>30000</v>
          </cell>
          <cell r="AJ837">
            <v>27000</v>
          </cell>
          <cell r="AK837">
            <v>5000</v>
          </cell>
          <cell r="AL837">
            <v>26190</v>
          </cell>
        </row>
        <row r="838">
          <cell r="T838" t="str">
            <v>JESSICA ALEJANDRA SOTO ALVAREZ</v>
          </cell>
          <cell r="U838" t="str">
            <v>CIUDADELA VILLA DE LEYVA MANZANA 2 CASA 25</v>
          </cell>
          <cell r="V838" t="str">
            <v>villa de leyva</v>
          </cell>
          <cell r="W838" t="str">
            <v>INTERMUNICIPAL</v>
          </cell>
          <cell r="X838">
            <v>3104877031</v>
          </cell>
          <cell r="Y838" t="str">
            <v>SUROCCIDENTE</v>
          </cell>
          <cell r="Z838"/>
          <cell r="AA838" t="str">
            <v>PEREIRA</v>
          </cell>
          <cell r="AB838" t="str">
            <v>Pereira</v>
          </cell>
          <cell r="AC838" t="str">
            <v>Avenida Juan B. Gutierrez # 17-55.  Piso 1 Edificio Icono</v>
          </cell>
          <cell r="AD838"/>
          <cell r="AE838">
            <v>38800</v>
          </cell>
          <cell r="AF838">
            <v>32000</v>
          </cell>
          <cell r="AG838">
            <v>21</v>
          </cell>
          <cell r="AH838">
            <v>11</v>
          </cell>
          <cell r="AI838">
            <v>40000</v>
          </cell>
          <cell r="AJ838">
            <v>36000</v>
          </cell>
          <cell r="AK838">
            <v>-4000</v>
          </cell>
          <cell r="AL838">
            <v>34920</v>
          </cell>
        </row>
        <row r="839">
          <cell r="T839" t="str">
            <v>JUAN SEBASTIAN  BETANCURTH RAMIREZ</v>
          </cell>
          <cell r="U839" t="str">
            <v xml:space="preserve">MANZANA 15 CASA 15 SECTOR E PARQUE INDUSTRIAL </v>
          </cell>
          <cell r="V839" t="str">
            <v>parque industrial</v>
          </cell>
          <cell r="W839" t="str">
            <v>CERCANO</v>
          </cell>
          <cell r="X839">
            <v>3136858395</v>
          </cell>
          <cell r="Y839" t="str">
            <v>SUROCCIDENTE</v>
          </cell>
          <cell r="Z839"/>
          <cell r="AA839" t="str">
            <v>PEREIRA</v>
          </cell>
          <cell r="AB839" t="str">
            <v>Pereira</v>
          </cell>
          <cell r="AC839" t="str">
            <v>Avenida Juan B. Gutierrez # 17-55.  Piso 1 Edificio Icono</v>
          </cell>
          <cell r="AD839"/>
          <cell r="AE839">
            <v>13095</v>
          </cell>
          <cell r="AF839">
            <v>8000</v>
          </cell>
          <cell r="AG839">
            <v>8</v>
          </cell>
          <cell r="AH839">
            <v>15</v>
          </cell>
          <cell r="AI839">
            <v>15000</v>
          </cell>
          <cell r="AJ839">
            <v>13500</v>
          </cell>
          <cell r="AK839">
            <v>-5500</v>
          </cell>
          <cell r="AL839">
            <v>13095</v>
          </cell>
        </row>
        <row r="840">
          <cell r="T840" t="str">
            <v>KAREN YULIETH GARCIA SEPULVEDA</v>
          </cell>
          <cell r="U840" t="str">
            <v>MANZANA 15 CASA 2 PALMAR DE VILLAVENTO Dos Quebradas</v>
          </cell>
          <cell r="V840" t="str">
            <v>dos quebradas</v>
          </cell>
          <cell r="W840" t="str">
            <v>INTERMUNICIPAL</v>
          </cell>
          <cell r="X840">
            <v>3103775463</v>
          </cell>
          <cell r="Y840" t="str">
            <v>SUROCCIDENTE</v>
          </cell>
          <cell r="Z840"/>
          <cell r="AA840" t="str">
            <v>PEREIRA</v>
          </cell>
          <cell r="AB840" t="str">
            <v>Pereira</v>
          </cell>
          <cell r="AC840" t="str">
            <v>Avenida Juan B. Gutierrez # 17-55.  Piso 1 Edificio Icono</v>
          </cell>
          <cell r="AD840"/>
          <cell r="AE840">
            <v>38800</v>
          </cell>
          <cell r="AF840">
            <v>32000</v>
          </cell>
          <cell r="AG840">
            <v>8</v>
          </cell>
          <cell r="AH840">
            <v>19</v>
          </cell>
          <cell r="AI840">
            <v>30000</v>
          </cell>
          <cell r="AJ840">
            <v>27000</v>
          </cell>
          <cell r="AK840">
            <v>5000</v>
          </cell>
          <cell r="AL840">
            <v>26190</v>
          </cell>
        </row>
        <row r="841">
          <cell r="T841" t="str">
            <v xml:space="preserve">KATHERINE PARRA </v>
          </cell>
          <cell r="U841" t="str">
            <v xml:space="preserve">AVERIGUAR CON EL CONDUCTOR </v>
          </cell>
          <cell r="V841">
            <v>0</v>
          </cell>
          <cell r="W841" t="str">
            <v>CERCANO</v>
          </cell>
          <cell r="X841" t="str">
            <v xml:space="preserve">AVERIGUAR CON EL CONDUCTOR </v>
          </cell>
          <cell r="Y841" t="str">
            <v>SUROCCIDENTE</v>
          </cell>
          <cell r="Z841"/>
          <cell r="AA841" t="str">
            <v>PEREIRA</v>
          </cell>
          <cell r="AB841" t="str">
            <v>Pereira</v>
          </cell>
          <cell r="AC841" t="str">
            <v>Avenida Juan B. Gutierrez # 17-55.  Piso 1 Edificio Icono</v>
          </cell>
          <cell r="AD841"/>
          <cell r="AE841">
            <v>10670</v>
          </cell>
          <cell r="AF841">
            <v>8000</v>
          </cell>
          <cell r="AG841">
            <v>3</v>
          </cell>
          <cell r="AH841">
            <v>8</v>
          </cell>
          <cell r="AI841">
            <v>11000</v>
          </cell>
          <cell r="AJ841">
            <v>11000</v>
          </cell>
          <cell r="AK841">
            <v>-3000</v>
          </cell>
          <cell r="AL841">
            <v>10670</v>
          </cell>
        </row>
        <row r="842">
          <cell r="T842" t="str">
            <v>LILIANA PATRICIA  PALACIO</v>
          </cell>
          <cell r="U842" t="str">
            <v>MANZANA 8 CASA 176 VILLA ELISA CUBA PISO 2</v>
          </cell>
          <cell r="V842" t="str">
            <v>CUBA</v>
          </cell>
          <cell r="W842" t="str">
            <v>CERCANO</v>
          </cell>
          <cell r="X842" t="e">
            <v>#REF!</v>
          </cell>
          <cell r="Y842" t="str">
            <v>SUROCCIDENTE</v>
          </cell>
          <cell r="Z842"/>
          <cell r="AA842" t="str">
            <v>PEREIRA</v>
          </cell>
          <cell r="AB842" t="str">
            <v>Pereira</v>
          </cell>
          <cell r="AC842" t="str">
            <v>Avenida Juan B. Gutierrez # 17-55.  Piso 1 Edificio Icono</v>
          </cell>
          <cell r="AD842"/>
          <cell r="AE842">
            <v>13095</v>
          </cell>
          <cell r="AF842">
            <v>8000</v>
          </cell>
          <cell r="AG842">
            <v>0</v>
          </cell>
          <cell r="AH842">
            <v>0</v>
          </cell>
          <cell r="AI842">
            <v>15000</v>
          </cell>
          <cell r="AJ842">
            <v>13500</v>
          </cell>
          <cell r="AK842">
            <v>-5500</v>
          </cell>
          <cell r="AL842">
            <v>13095</v>
          </cell>
        </row>
        <row r="843">
          <cell r="T843" t="str">
            <v>MARIA CENAIDA  CAÑAS</v>
          </cell>
          <cell r="V843">
            <v>0</v>
          </cell>
          <cell r="W843" t="str">
            <v>CERCANO</v>
          </cell>
          <cell r="X843">
            <v>3106012111</v>
          </cell>
          <cell r="Y843" t="str">
            <v>SUROCCIDENTE</v>
          </cell>
          <cell r="Z843"/>
          <cell r="AA843" t="str">
            <v>PEREIRA</v>
          </cell>
          <cell r="AB843" t="str">
            <v>Pereira</v>
          </cell>
          <cell r="AC843" t="str">
            <v>Avenida Juan B. Gutierrez # 17-55.  Piso 1 Edificio Icono</v>
          </cell>
          <cell r="AD843"/>
          <cell r="AE843">
            <v>13095</v>
          </cell>
          <cell r="AF843">
            <v>8000</v>
          </cell>
          <cell r="AG843">
            <v>1</v>
          </cell>
          <cell r="AH843">
            <v>3</v>
          </cell>
          <cell r="AI843" t="e">
            <v>#N/A</v>
          </cell>
          <cell r="AJ843">
            <v>13500</v>
          </cell>
          <cell r="AK843">
            <v>-5500</v>
          </cell>
          <cell r="AL843">
            <v>13095</v>
          </cell>
        </row>
        <row r="844">
          <cell r="T844" t="str">
            <v>YAMID OBANDO VASQUEZ</v>
          </cell>
          <cell r="U844" t="str">
            <v>CONJUNTO RESIDENCIAL IRAZU BLOQUE 4 APTO 808 Dos Quebradas</v>
          </cell>
          <cell r="V844" t="str">
            <v>dos quebradas</v>
          </cell>
          <cell r="W844" t="str">
            <v>INTERMUNICIPAL</v>
          </cell>
          <cell r="X844">
            <v>3218917726</v>
          </cell>
          <cell r="Y844" t="str">
            <v>SUROCCIDENTE</v>
          </cell>
          <cell r="Z844"/>
          <cell r="AA844" t="str">
            <v>PEREIRA</v>
          </cell>
          <cell r="AB844" t="str">
            <v>Pereira</v>
          </cell>
          <cell r="AC844" t="str">
            <v>Avenida Juan B. Gutierrez # 17-55.  Piso 1 Edificio Icono</v>
          </cell>
          <cell r="AD844"/>
          <cell r="AE844">
            <v>38800</v>
          </cell>
          <cell r="AF844">
            <v>32000</v>
          </cell>
          <cell r="AG844">
            <v>6</v>
          </cell>
          <cell r="AH844">
            <v>13</v>
          </cell>
          <cell r="AI844">
            <v>30000</v>
          </cell>
          <cell r="AJ844">
            <v>27000</v>
          </cell>
          <cell r="AK844">
            <v>5000</v>
          </cell>
          <cell r="AL844">
            <v>26190</v>
          </cell>
        </row>
        <row r="845">
          <cell r="T845" t="str">
            <v>YISENIA MARIA LONDOÑO YEPEZ</v>
          </cell>
          <cell r="U845" t="str">
            <v>MANZANA 7 CASA 8 ACUARELA CUBA</v>
          </cell>
          <cell r="V845" t="str">
            <v>acuarela cuba</v>
          </cell>
          <cell r="W845" t="str">
            <v>CERCANO</v>
          </cell>
          <cell r="X845">
            <v>3205132089</v>
          </cell>
          <cell r="Y845" t="str">
            <v>SUROCCIDENTE</v>
          </cell>
          <cell r="Z845"/>
          <cell r="AA845" t="str">
            <v>PEREIRA</v>
          </cell>
          <cell r="AB845" t="str">
            <v>Pereira</v>
          </cell>
          <cell r="AC845" t="str">
            <v>Avenida Juan B. Gutierrez # 17-55.  Piso 1 Edificio Icono</v>
          </cell>
          <cell r="AD845"/>
          <cell r="AE845">
            <v>34920</v>
          </cell>
          <cell r="AF845">
            <v>15000</v>
          </cell>
          <cell r="AG845">
            <v>20</v>
          </cell>
          <cell r="AH845">
            <v>10</v>
          </cell>
          <cell r="AI845">
            <v>40000</v>
          </cell>
          <cell r="AJ845">
            <v>36000</v>
          </cell>
          <cell r="AK845">
            <v>-21000</v>
          </cell>
          <cell r="AL845">
            <v>34920</v>
          </cell>
        </row>
        <row r="846">
          <cell r="T846" t="str">
            <v>GLORIA NANCY ARENAS</v>
          </cell>
          <cell r="U846" t="str">
            <v>Diagonal 25 A número 22 A 47 Riviera del lago</v>
          </cell>
          <cell r="V846" t="str">
            <v>riviera el lago</v>
          </cell>
          <cell r="W846" t="str">
            <v>CERCANO</v>
          </cell>
          <cell r="X846" t="e">
            <v>#REF!</v>
          </cell>
          <cell r="Y846" t="str">
            <v>SUROCCIDENTE</v>
          </cell>
          <cell r="Z846"/>
          <cell r="AA846" t="str">
            <v>PEREIRA</v>
          </cell>
          <cell r="AB846" t="str">
            <v>Pereira</v>
          </cell>
          <cell r="AC846" t="str">
            <v>Avenida Juan B. Gutierrez # 17-55.  Piso 1 Edificio Icono</v>
          </cell>
          <cell r="AD846"/>
          <cell r="AE846">
            <v>14550</v>
          </cell>
          <cell r="AF846">
            <v>8000</v>
          </cell>
          <cell r="AG846">
            <v>3</v>
          </cell>
          <cell r="AH846">
            <v>7</v>
          </cell>
          <cell r="AI846" t="e">
            <v>#N/A</v>
          </cell>
          <cell r="AJ846">
            <v>13500</v>
          </cell>
          <cell r="AK846">
            <v>-5500</v>
          </cell>
          <cell r="AL846">
            <v>13095</v>
          </cell>
        </row>
        <row r="847">
          <cell r="T847" t="str">
            <v>ELIANA BLANCO</v>
          </cell>
          <cell r="U847" t="str">
            <v>CONDOMINIO MONSERRAT TORRE B APT 904 NORTE</v>
          </cell>
          <cell r="V847" t="str">
            <v xml:space="preserve">Bosques de Morinda </v>
          </cell>
          <cell r="W847" t="str">
            <v>CERCANO</v>
          </cell>
          <cell r="X847">
            <v>3197367877</v>
          </cell>
          <cell r="Y847" t="str">
            <v>SUROCCIDENTE</v>
          </cell>
          <cell r="Z847"/>
          <cell r="AA847" t="str">
            <v>Popayan</v>
          </cell>
          <cell r="AB847" t="str">
            <v>Popayan</v>
          </cell>
          <cell r="AC847" t="str">
            <v>Cll. 15 Norte # 2-350 Piso 4
Clínica La Estancia</v>
          </cell>
          <cell r="AD847"/>
          <cell r="AE847">
            <v>13095</v>
          </cell>
          <cell r="AF847">
            <v>9000</v>
          </cell>
          <cell r="AG847">
            <v>6</v>
          </cell>
          <cell r="AH847">
            <v>12</v>
          </cell>
          <cell r="AI847">
            <v>15000</v>
          </cell>
          <cell r="AJ847">
            <v>13500</v>
          </cell>
          <cell r="AK847">
            <v>-4500</v>
          </cell>
          <cell r="AL847">
            <v>13095</v>
          </cell>
        </row>
        <row r="848">
          <cell r="T848" t="str">
            <v xml:space="preserve">MIQUEAS  EPE </v>
          </cell>
          <cell r="U848" t="str">
            <v>CARRERA 41 # 7C-29 COLOMBIA II ETAPA (SUR OCCIDENTE)</v>
          </cell>
          <cell r="V848" t="str">
            <v xml:space="preserve">Carlos primero </v>
          </cell>
          <cell r="W848" t="str">
            <v>CERCANO</v>
          </cell>
          <cell r="X848">
            <v>3136343977</v>
          </cell>
          <cell r="Y848" t="str">
            <v>SUROCCIDENTE</v>
          </cell>
          <cell r="Z848"/>
          <cell r="AA848" t="str">
            <v>Popayan</v>
          </cell>
          <cell r="AB848" t="str">
            <v>Popayan</v>
          </cell>
          <cell r="AC848" t="str">
            <v>Cll. 15 Norte # 2-350 Piso 4
Clínica La Estancia</v>
          </cell>
          <cell r="AD848"/>
          <cell r="AE848">
            <v>13095</v>
          </cell>
          <cell r="AF848">
            <v>9000</v>
          </cell>
          <cell r="AG848">
            <v>6</v>
          </cell>
          <cell r="AH848">
            <v>16</v>
          </cell>
          <cell r="AI848">
            <v>15000</v>
          </cell>
          <cell r="AJ848">
            <v>13500</v>
          </cell>
          <cell r="AK848">
            <v>-4500</v>
          </cell>
          <cell r="AL848">
            <v>13095</v>
          </cell>
        </row>
        <row r="849">
          <cell r="T849" t="str">
            <v>MONICA MARIA QUINTERO</v>
          </cell>
          <cell r="U849" t="str">
            <v>CARRERA 9 # 73N-80-NORTE</v>
          </cell>
          <cell r="V849" t="str">
            <v xml:space="preserve">Gonzales </v>
          </cell>
          <cell r="W849" t="str">
            <v>CERCANO</v>
          </cell>
          <cell r="X849">
            <v>3104176276</v>
          </cell>
          <cell r="Y849" t="str">
            <v>SUROCCIDENTE</v>
          </cell>
          <cell r="Z849"/>
          <cell r="AA849" t="str">
            <v>Popayan</v>
          </cell>
          <cell r="AB849" t="str">
            <v>Popayan</v>
          </cell>
          <cell r="AC849" t="str">
            <v>Cll. 15 Norte # 2-350 Piso 4
Clínica La Estancia</v>
          </cell>
          <cell r="AD849"/>
          <cell r="AE849">
            <v>13095</v>
          </cell>
          <cell r="AF849">
            <v>9000</v>
          </cell>
          <cell r="AG849">
            <v>6</v>
          </cell>
          <cell r="AH849">
            <v>12</v>
          </cell>
          <cell r="AI849">
            <v>15000</v>
          </cell>
          <cell r="AJ849">
            <v>13500</v>
          </cell>
          <cell r="AK849">
            <v>-4500</v>
          </cell>
          <cell r="AL849">
            <v>13095</v>
          </cell>
        </row>
        <row r="850">
          <cell r="T850" t="str">
            <v>SILVIA BASTIDAS</v>
          </cell>
          <cell r="U850" t="str">
            <v>CALLE 72bn -3-15 VILLA DEL NORTE</v>
          </cell>
          <cell r="V850" t="str">
            <v xml:space="preserve">Villa del norte </v>
          </cell>
          <cell r="W850" t="str">
            <v>CERCANO</v>
          </cell>
          <cell r="X850">
            <v>3218522460</v>
          </cell>
          <cell r="Y850" t="str">
            <v>SUROCCIDENTE</v>
          </cell>
          <cell r="Z850"/>
          <cell r="AA850" t="str">
            <v>Popayan</v>
          </cell>
          <cell r="AB850" t="str">
            <v>Popayan</v>
          </cell>
          <cell r="AC850" t="str">
            <v>Cll. 15 Norte # 2-350 Piso 4
Clínica La Estancia</v>
          </cell>
          <cell r="AD850"/>
          <cell r="AE850">
            <v>13095</v>
          </cell>
          <cell r="AF850">
            <v>9000</v>
          </cell>
          <cell r="AG850">
            <v>7</v>
          </cell>
          <cell r="AH850">
            <v>16</v>
          </cell>
          <cell r="AI850">
            <v>15000</v>
          </cell>
          <cell r="AJ850">
            <v>13500</v>
          </cell>
          <cell r="AK850">
            <v>-4500</v>
          </cell>
          <cell r="AL850">
            <v>13095</v>
          </cell>
        </row>
        <row r="851">
          <cell r="T851" t="str">
            <v>ASTRID SOCORRO RENGIFO MARTINEZ</v>
          </cell>
          <cell r="U851" t="str">
            <v>CARRERA 7 # 17N - 51 EL RECUERDO</v>
          </cell>
          <cell r="V851" t="str">
            <v xml:space="preserve">El recuerdo </v>
          </cell>
          <cell r="W851" t="str">
            <v>CERCANO</v>
          </cell>
          <cell r="X851">
            <v>3136853823</v>
          </cell>
          <cell r="Y851" t="str">
            <v>SUROCCIDENTE</v>
          </cell>
          <cell r="Z851"/>
          <cell r="AA851" t="str">
            <v>Popayan</v>
          </cell>
          <cell r="AB851" t="str">
            <v>Popayan</v>
          </cell>
          <cell r="AC851" t="str">
            <v>Cll. 15 Norte # 2-350 Piso 4
Clínica La Estancia</v>
          </cell>
          <cell r="AD851"/>
          <cell r="AE851">
            <v>10670</v>
          </cell>
          <cell r="AF851">
            <v>9000</v>
          </cell>
          <cell r="AG851">
            <v>1</v>
          </cell>
          <cell r="AH851">
            <v>4</v>
          </cell>
          <cell r="AI851">
            <v>11000</v>
          </cell>
          <cell r="AJ851">
            <v>11000</v>
          </cell>
          <cell r="AK851">
            <v>-2000</v>
          </cell>
          <cell r="AL851">
            <v>10670</v>
          </cell>
        </row>
        <row r="852">
          <cell r="T852" t="str">
            <v xml:space="preserve">LEIDY </v>
          </cell>
          <cell r="U852" t="str">
            <v xml:space="preserve">AVERIGUAR CON EL CONDUCTOR </v>
          </cell>
          <cell r="V852">
            <v>0</v>
          </cell>
          <cell r="W852" t="str">
            <v>CERCANO</v>
          </cell>
          <cell r="X852" t="str">
            <v xml:space="preserve">AVERIGUAR CON EL CONDUCTOR </v>
          </cell>
          <cell r="Y852" t="str">
            <v>SUROCCIDENTE</v>
          </cell>
          <cell r="Z852"/>
          <cell r="AA852" t="str">
            <v>Popayan</v>
          </cell>
          <cell r="AB852" t="str">
            <v>Popayan</v>
          </cell>
          <cell r="AC852" t="str">
            <v>Cll. 15 Norte # 2-350 Piso 4
Clínica La Estancia</v>
          </cell>
          <cell r="AD852"/>
          <cell r="AE852">
            <v>10670</v>
          </cell>
          <cell r="AF852">
            <v>9000</v>
          </cell>
          <cell r="AG852">
            <v>0</v>
          </cell>
          <cell r="AH852">
            <v>0</v>
          </cell>
          <cell r="AI852">
            <v>11000</v>
          </cell>
          <cell r="AJ852">
            <v>11000</v>
          </cell>
          <cell r="AK852">
            <v>-2000</v>
          </cell>
          <cell r="AL852">
            <v>10670</v>
          </cell>
        </row>
        <row r="853">
          <cell r="T853" t="str">
            <v xml:space="preserve">YURI CUSPIAN PAZ </v>
          </cell>
          <cell r="U853" t="str">
            <v xml:space="preserve">CARRERA 5 # 18-28 </v>
          </cell>
          <cell r="V853" t="str">
            <v xml:space="preserve">SanAndres </v>
          </cell>
          <cell r="W853" t="str">
            <v>CERCANO</v>
          </cell>
          <cell r="X853">
            <v>3235278733</v>
          </cell>
          <cell r="Y853" t="str">
            <v>SUROCCIDENTE</v>
          </cell>
          <cell r="Z853"/>
          <cell r="AA853" t="str">
            <v>Popayan</v>
          </cell>
          <cell r="AB853" t="str">
            <v>Popayan</v>
          </cell>
          <cell r="AC853" t="str">
            <v>Cll. 15 Norte # 2-350 Piso 4
Clínica La Estancia</v>
          </cell>
          <cell r="AD853"/>
          <cell r="AE853">
            <v>13095</v>
          </cell>
          <cell r="AF853">
            <v>9000</v>
          </cell>
          <cell r="AG853">
            <v>3</v>
          </cell>
          <cell r="AH853">
            <v>11</v>
          </cell>
          <cell r="AI853">
            <v>15000</v>
          </cell>
          <cell r="AJ853">
            <v>13500</v>
          </cell>
          <cell r="AK853">
            <v>-4500</v>
          </cell>
          <cell r="AL853">
            <v>13095</v>
          </cell>
        </row>
        <row r="854">
          <cell r="T854" t="str">
            <v xml:space="preserve">Sarai caicedo </v>
          </cell>
          <cell r="U854"/>
          <cell r="V854">
            <v>0</v>
          </cell>
          <cell r="W854" t="str">
            <v>CERCANO</v>
          </cell>
          <cell r="X854" t="e">
            <v>#REF!</v>
          </cell>
          <cell r="Y854" t="str">
            <v>SUROCCIDENTE</v>
          </cell>
          <cell r="Z854"/>
          <cell r="AA854" t="str">
            <v>Popayan</v>
          </cell>
          <cell r="AB854" t="str">
            <v>Popayan</v>
          </cell>
          <cell r="AC854" t="str">
            <v>Cll. 15 Norte # 2-350 Piso 4
Clínica La Estancia</v>
          </cell>
          <cell r="AD854"/>
          <cell r="AE854">
            <v>13095</v>
          </cell>
          <cell r="AF854">
            <v>9000</v>
          </cell>
          <cell r="AG854">
            <v>0</v>
          </cell>
          <cell r="AH854">
            <v>0</v>
          </cell>
          <cell r="AI854" t="e">
            <v>#N/A</v>
          </cell>
          <cell r="AJ854">
            <v>13500</v>
          </cell>
          <cell r="AK854">
            <v>-4500</v>
          </cell>
          <cell r="AL854">
            <v>13095</v>
          </cell>
        </row>
        <row r="855">
          <cell r="T855" t="str">
            <v>claudia sisnero</v>
          </cell>
          <cell r="U855"/>
          <cell r="V855">
            <v>0</v>
          </cell>
          <cell r="W855" t="str">
            <v>CERCANO</v>
          </cell>
          <cell r="X855" t="e">
            <v>#REF!</v>
          </cell>
          <cell r="Y855" t="str">
            <v>SUROCCIDENTE</v>
          </cell>
          <cell r="Z855"/>
          <cell r="AA855" t="str">
            <v>Popayan</v>
          </cell>
          <cell r="AB855" t="str">
            <v>Popayan</v>
          </cell>
          <cell r="AC855" t="str">
            <v>Cll. 15 Norte # 2-350 Piso 4
Clínica La Estancia</v>
          </cell>
          <cell r="AD855"/>
          <cell r="AE855">
            <v>13095</v>
          </cell>
          <cell r="AF855">
            <v>9000</v>
          </cell>
          <cell r="AG855">
            <v>0</v>
          </cell>
          <cell r="AH855">
            <v>0</v>
          </cell>
          <cell r="AI855" t="e">
            <v>#N/A</v>
          </cell>
          <cell r="AJ855">
            <v>13500</v>
          </cell>
          <cell r="AK855">
            <v>-4500</v>
          </cell>
          <cell r="AL855">
            <v>13095</v>
          </cell>
        </row>
        <row r="856">
          <cell r="T856" t="str">
            <v>BERNAL CASTRILLO MARIA JOSE</v>
          </cell>
          <cell r="U856" t="str">
            <v xml:space="preserve">calle 37 #16-115 </v>
          </cell>
          <cell r="V856" t="str">
            <v xml:space="preserve">Comuna 1 </v>
          </cell>
          <cell r="W856" t="str">
            <v>CERCANO</v>
          </cell>
          <cell r="X856">
            <v>3002770075</v>
          </cell>
          <cell r="Y856" t="str">
            <v>NORTE</v>
          </cell>
          <cell r="Z856"/>
          <cell r="AA856" t="str">
            <v>Santa Marta</v>
          </cell>
          <cell r="AB856" t="str">
            <v>Santa Marta</v>
          </cell>
          <cell r="AC856" t="str">
            <v>Cra.  19 # 11C - 66</v>
          </cell>
          <cell r="AD856"/>
          <cell r="AE856">
            <v>13095</v>
          </cell>
          <cell r="AF856">
            <v>9000</v>
          </cell>
          <cell r="AG856">
            <v>4</v>
          </cell>
          <cell r="AH856">
            <v>12</v>
          </cell>
          <cell r="AI856">
            <v>15000</v>
          </cell>
          <cell r="AJ856">
            <v>13500</v>
          </cell>
          <cell r="AK856">
            <v>-4500</v>
          </cell>
          <cell r="AL856">
            <v>13095</v>
          </cell>
        </row>
        <row r="857">
          <cell r="T857" t="str">
            <v>BULLA LEOCTURES JHAIR MAURICIO</v>
          </cell>
          <cell r="U857" t="str">
            <v>CRA 25 # 42C-35</v>
          </cell>
          <cell r="V857" t="str">
            <v xml:space="preserve">Almendros </v>
          </cell>
          <cell r="W857" t="str">
            <v>CERCANO</v>
          </cell>
          <cell r="X857" t="e">
            <v>#REF!</v>
          </cell>
          <cell r="Y857" t="str">
            <v>NORTE</v>
          </cell>
          <cell r="Z857"/>
          <cell r="AA857" t="str">
            <v>Santa Marta</v>
          </cell>
          <cell r="AB857" t="str">
            <v>Santa Marta</v>
          </cell>
          <cell r="AC857" t="str">
            <v>Cra.  19 # 11C - 66</v>
          </cell>
          <cell r="AD857"/>
          <cell r="AE857">
            <v>13095</v>
          </cell>
          <cell r="AF857">
            <v>9000</v>
          </cell>
          <cell r="AG857">
            <v>2</v>
          </cell>
          <cell r="AH857">
            <v>6</v>
          </cell>
          <cell r="AI857" t="e">
            <v>#N/A</v>
          </cell>
          <cell r="AJ857">
            <v>13500</v>
          </cell>
          <cell r="AK857">
            <v>-4500</v>
          </cell>
          <cell r="AL857">
            <v>13095</v>
          </cell>
        </row>
        <row r="858">
          <cell r="T858" t="str">
            <v>CABARCAS BARRIOS PETRONA MARIA</v>
          </cell>
          <cell r="U858" t="str">
            <v>Cra 41 A #23-53 Santa Fé</v>
          </cell>
          <cell r="V858" t="str">
            <v xml:space="preserve">Santa fe </v>
          </cell>
          <cell r="W858" t="str">
            <v>CERCANO</v>
          </cell>
          <cell r="X858">
            <v>3046104011</v>
          </cell>
          <cell r="Y858" t="str">
            <v>NORTE</v>
          </cell>
          <cell r="Z858"/>
          <cell r="AA858" t="str">
            <v>Santa Marta</v>
          </cell>
          <cell r="AB858" t="str">
            <v>Santa Marta</v>
          </cell>
          <cell r="AC858" t="str">
            <v>Cra.  19 # 11C - 66</v>
          </cell>
          <cell r="AD858"/>
          <cell r="AE858">
            <v>13095</v>
          </cell>
          <cell r="AF858">
            <v>9000</v>
          </cell>
          <cell r="AG858">
            <v>5</v>
          </cell>
          <cell r="AH858">
            <v>16</v>
          </cell>
          <cell r="AI858">
            <v>15000</v>
          </cell>
          <cell r="AJ858">
            <v>13500</v>
          </cell>
          <cell r="AK858">
            <v>-4500</v>
          </cell>
          <cell r="AL858">
            <v>13095</v>
          </cell>
        </row>
        <row r="859">
          <cell r="T859" t="str">
            <v>CASTRO LAMPRO LIZA MARIA</v>
          </cell>
          <cell r="U859" t="str">
            <v>Calle 46 #64-48 Parque Bolivar 2</v>
          </cell>
          <cell r="V859" t="str">
            <v xml:space="preserve">Parque Bolivar </v>
          </cell>
          <cell r="W859" t="str">
            <v>CERCANO</v>
          </cell>
          <cell r="X859">
            <v>3177659477</v>
          </cell>
          <cell r="Y859" t="str">
            <v>NORTE</v>
          </cell>
          <cell r="Z859"/>
          <cell r="AA859" t="str">
            <v>Santa Marta</v>
          </cell>
          <cell r="AB859" t="str">
            <v>Santa Marta</v>
          </cell>
          <cell r="AC859" t="str">
            <v>Cra.  19 # 11C - 66</v>
          </cell>
          <cell r="AD859"/>
          <cell r="AE859">
            <v>13095</v>
          </cell>
          <cell r="AF859">
            <v>9000</v>
          </cell>
          <cell r="AG859">
            <v>8</v>
          </cell>
          <cell r="AH859">
            <v>20</v>
          </cell>
          <cell r="AI859">
            <v>15000</v>
          </cell>
          <cell r="AJ859">
            <v>13500</v>
          </cell>
          <cell r="AK859">
            <v>-4500</v>
          </cell>
          <cell r="AL859">
            <v>13095</v>
          </cell>
        </row>
        <row r="860">
          <cell r="T860" t="str">
            <v>CESAR PEÑA ARIZA</v>
          </cell>
          <cell r="U860" t="str">
            <v>Cra 20A No 8 a-24</v>
          </cell>
          <cell r="V860" t="str">
            <v>Comuna 4</v>
          </cell>
          <cell r="W860" t="str">
            <v>CERCANO</v>
          </cell>
          <cell r="X860">
            <v>3155872116</v>
          </cell>
          <cell r="Y860" t="str">
            <v>NORTE</v>
          </cell>
          <cell r="Z860"/>
          <cell r="AA860" t="str">
            <v>Santa Marta</v>
          </cell>
          <cell r="AB860" t="str">
            <v>Santa Marta</v>
          </cell>
          <cell r="AC860" t="str">
            <v>Cra.  19 # 11C - 66</v>
          </cell>
          <cell r="AD860"/>
          <cell r="AE860">
            <v>13095</v>
          </cell>
          <cell r="AF860">
            <v>9000</v>
          </cell>
          <cell r="AG860">
            <v>1</v>
          </cell>
          <cell r="AH860">
            <v>4</v>
          </cell>
          <cell r="AI860">
            <v>15000</v>
          </cell>
          <cell r="AJ860">
            <v>13500</v>
          </cell>
          <cell r="AK860">
            <v>-4500</v>
          </cell>
          <cell r="AL860">
            <v>13095</v>
          </cell>
        </row>
        <row r="861">
          <cell r="T861" t="str">
            <v>DIANA MORELOS</v>
          </cell>
          <cell r="U861" t="str">
            <v>CALLE 21 #18-37</v>
          </cell>
          <cell r="V861" t="str">
            <v xml:space="preserve">Alcazares </v>
          </cell>
          <cell r="W861" t="str">
            <v>CERCANO</v>
          </cell>
          <cell r="X861">
            <v>3015733767</v>
          </cell>
          <cell r="Y861" t="str">
            <v>NORTE</v>
          </cell>
          <cell r="Z861"/>
          <cell r="AA861" t="str">
            <v>Santa Marta</v>
          </cell>
          <cell r="AB861" t="str">
            <v>Santa Marta</v>
          </cell>
          <cell r="AC861" t="str">
            <v>Cra.  19 # 11C - 66</v>
          </cell>
          <cell r="AD861"/>
          <cell r="AE861">
            <v>13095</v>
          </cell>
          <cell r="AF861">
            <v>9000</v>
          </cell>
          <cell r="AG861">
            <v>1</v>
          </cell>
          <cell r="AH861">
            <v>3</v>
          </cell>
          <cell r="AI861">
            <v>15000</v>
          </cell>
          <cell r="AJ861">
            <v>13500</v>
          </cell>
          <cell r="AK861">
            <v>-4500</v>
          </cell>
          <cell r="AL861">
            <v>13095</v>
          </cell>
        </row>
        <row r="862">
          <cell r="T862" t="str">
            <v>EDWIN ALFONSO OSORIO LEOTUR</v>
          </cell>
          <cell r="U862"/>
          <cell r="V862">
            <v>0</v>
          </cell>
          <cell r="W862" t="str">
            <v>CERCANO</v>
          </cell>
          <cell r="X862" t="e">
            <v>#REF!</v>
          </cell>
          <cell r="Y862" t="str">
            <v>NORTE</v>
          </cell>
          <cell r="Z862"/>
          <cell r="AA862" t="str">
            <v>Santa Marta</v>
          </cell>
          <cell r="AB862" t="str">
            <v>Santa Marta</v>
          </cell>
          <cell r="AC862" t="str">
            <v>Cra.  19 # 11C - 66</v>
          </cell>
          <cell r="AD862"/>
          <cell r="AE862">
            <v>13095</v>
          </cell>
          <cell r="AF862">
            <v>9000</v>
          </cell>
          <cell r="AG862">
            <v>0</v>
          </cell>
          <cell r="AH862">
            <v>0</v>
          </cell>
          <cell r="AI862" t="e">
            <v>#N/A</v>
          </cell>
          <cell r="AJ862">
            <v>13500</v>
          </cell>
          <cell r="AK862">
            <v>-4500</v>
          </cell>
          <cell r="AL862">
            <v>13095</v>
          </cell>
        </row>
        <row r="863">
          <cell r="T863" t="str">
            <v xml:space="preserve">HYLDA MORENO </v>
          </cell>
          <cell r="U863" t="str">
            <v xml:space="preserve">AVERIGUAR CON EL CONDUCTOR </v>
          </cell>
          <cell r="V863">
            <v>0</v>
          </cell>
          <cell r="W863" t="str">
            <v>CERCANO</v>
          </cell>
          <cell r="X863" t="str">
            <v xml:space="preserve">AVERIGUAR CON EL CONDUCTOR </v>
          </cell>
          <cell r="Y863" t="str">
            <v>NORTE</v>
          </cell>
          <cell r="Z863"/>
          <cell r="AA863" t="str">
            <v>Santa Marta</v>
          </cell>
          <cell r="AB863" t="str">
            <v>Santa Marta</v>
          </cell>
          <cell r="AC863" t="str">
            <v>Cra.  19 # 11C - 66</v>
          </cell>
          <cell r="AD863"/>
          <cell r="AE863">
            <v>13095</v>
          </cell>
          <cell r="AF863">
            <v>9000</v>
          </cell>
          <cell r="AG863">
            <v>3</v>
          </cell>
          <cell r="AH863">
            <v>7</v>
          </cell>
          <cell r="AI863">
            <v>15000</v>
          </cell>
          <cell r="AJ863">
            <v>13500</v>
          </cell>
          <cell r="AK863">
            <v>-4500</v>
          </cell>
          <cell r="AL863">
            <v>13095</v>
          </cell>
        </row>
        <row r="864">
          <cell r="T864" t="str">
            <v>ISEDA PEÑA LIZETH CAROLINA</v>
          </cell>
          <cell r="U864" t="str">
            <v xml:space="preserve">Parque Bolivar 1 </v>
          </cell>
          <cell r="V864" t="str">
            <v xml:space="preserve">Parque Bolivar </v>
          </cell>
          <cell r="W864" t="str">
            <v>CERCANO</v>
          </cell>
          <cell r="X864">
            <v>3007895153</v>
          </cell>
          <cell r="Y864" t="str">
            <v>NORTE</v>
          </cell>
          <cell r="Z864"/>
          <cell r="AA864" t="str">
            <v>Santa Marta</v>
          </cell>
          <cell r="AB864" t="str">
            <v>Santa Marta</v>
          </cell>
          <cell r="AC864" t="str">
            <v>Cra.  19 # 11C - 66</v>
          </cell>
          <cell r="AD864"/>
          <cell r="AE864">
            <v>13095</v>
          </cell>
          <cell r="AF864">
            <v>9000</v>
          </cell>
          <cell r="AG864">
            <v>8</v>
          </cell>
          <cell r="AH864">
            <v>20</v>
          </cell>
          <cell r="AI864">
            <v>15000</v>
          </cell>
          <cell r="AJ864">
            <v>13500</v>
          </cell>
          <cell r="AK864">
            <v>-4500</v>
          </cell>
          <cell r="AL864">
            <v>13095</v>
          </cell>
        </row>
        <row r="865">
          <cell r="T865" t="str">
            <v>MARTINEZ GAMEZ LILIANA PATRICIA</v>
          </cell>
          <cell r="U865" t="str">
            <v xml:space="preserve">MZ N casa 10 Nuevo milenio </v>
          </cell>
          <cell r="V865" t="str">
            <v xml:space="preserve">Nuevo Milenio </v>
          </cell>
          <cell r="W865" t="str">
            <v>CERCANO</v>
          </cell>
          <cell r="X865">
            <v>3168370023</v>
          </cell>
          <cell r="Y865" t="str">
            <v>NORTE</v>
          </cell>
          <cell r="Z865"/>
          <cell r="AA865" t="str">
            <v>Santa Marta</v>
          </cell>
          <cell r="AB865" t="str">
            <v>Santa Marta</v>
          </cell>
          <cell r="AC865" t="str">
            <v>Cra.  19 # 11C - 66</v>
          </cell>
          <cell r="AD865"/>
          <cell r="AE865">
            <v>13095</v>
          </cell>
          <cell r="AF865">
            <v>9000</v>
          </cell>
          <cell r="AG865">
            <v>3</v>
          </cell>
          <cell r="AH865">
            <v>10</v>
          </cell>
          <cell r="AI865">
            <v>15000</v>
          </cell>
          <cell r="AJ865">
            <v>13500</v>
          </cell>
          <cell r="AK865">
            <v>-4500</v>
          </cell>
          <cell r="AL865">
            <v>13095</v>
          </cell>
        </row>
        <row r="866">
          <cell r="T866" t="str">
            <v>PEREZ FEDRICH ADRIANY PAOLA</v>
          </cell>
          <cell r="U866" t="str">
            <v>Mz C casa 5 Arra de la Sierra ultima entreda 20 de octubre</v>
          </cell>
          <cell r="V866" t="str">
            <v xml:space="preserve">Ara de la sierra </v>
          </cell>
          <cell r="W866" t="str">
            <v>CERCANO</v>
          </cell>
          <cell r="X866">
            <v>3007587564</v>
          </cell>
          <cell r="Y866" t="str">
            <v>NORTE</v>
          </cell>
          <cell r="Z866"/>
          <cell r="AA866" t="str">
            <v>Santa Marta</v>
          </cell>
          <cell r="AB866" t="str">
            <v>Santa Marta</v>
          </cell>
          <cell r="AC866" t="str">
            <v>Cra.  19 # 11C - 66</v>
          </cell>
          <cell r="AD866"/>
          <cell r="AE866">
            <v>13095</v>
          </cell>
          <cell r="AF866">
            <v>9000</v>
          </cell>
          <cell r="AG866">
            <v>7</v>
          </cell>
          <cell r="AH866">
            <v>17</v>
          </cell>
          <cell r="AI866">
            <v>15000</v>
          </cell>
          <cell r="AJ866">
            <v>13500</v>
          </cell>
          <cell r="AK866">
            <v>-4500</v>
          </cell>
          <cell r="AL866">
            <v>13095</v>
          </cell>
        </row>
        <row r="867">
          <cell r="T867" t="str">
            <v>PINTO FRAGOSO DAMELYS KARIME</v>
          </cell>
          <cell r="U867" t="str">
            <v xml:space="preserve">Mz N casa 7 nuevo milenio </v>
          </cell>
          <cell r="V867" t="str">
            <v xml:space="preserve">Nuevo Milenio </v>
          </cell>
          <cell r="W867" t="str">
            <v>CERCANO</v>
          </cell>
          <cell r="X867">
            <v>3173753418</v>
          </cell>
          <cell r="Y867" t="str">
            <v>NORTE</v>
          </cell>
          <cell r="Z867"/>
          <cell r="AA867" t="str">
            <v>Santa Marta</v>
          </cell>
          <cell r="AB867" t="str">
            <v>Santa Marta</v>
          </cell>
          <cell r="AC867" t="str">
            <v>Cra.  19 # 11C - 66</v>
          </cell>
          <cell r="AD867"/>
          <cell r="AE867">
            <v>13095</v>
          </cell>
          <cell r="AF867">
            <v>9000</v>
          </cell>
          <cell r="AG867">
            <v>3</v>
          </cell>
          <cell r="AH867">
            <v>10</v>
          </cell>
          <cell r="AI867">
            <v>15000</v>
          </cell>
          <cell r="AJ867">
            <v>13500</v>
          </cell>
          <cell r="AK867">
            <v>-4500</v>
          </cell>
          <cell r="AL867">
            <v>13095</v>
          </cell>
        </row>
        <row r="868">
          <cell r="T868" t="str">
            <v>ROMERO CRESPO YEIMIS MILENA</v>
          </cell>
          <cell r="U868" t="str">
            <v>Cra 28 F #24 C-51 San Pedro Alejandrino</v>
          </cell>
          <cell r="V868" t="str">
            <v xml:space="preserve">San Pedro Alejandrino </v>
          </cell>
          <cell r="W868" t="str">
            <v>CERCANO</v>
          </cell>
          <cell r="X868">
            <v>3145664723</v>
          </cell>
          <cell r="Y868" t="str">
            <v>NORTE</v>
          </cell>
          <cell r="Z868"/>
          <cell r="AA868" t="str">
            <v>Santa Marta</v>
          </cell>
          <cell r="AB868" t="str">
            <v>Santa Marta</v>
          </cell>
          <cell r="AC868" t="str">
            <v>Cra.  19 # 11C - 66</v>
          </cell>
          <cell r="AD868"/>
          <cell r="AE868">
            <v>13095</v>
          </cell>
          <cell r="AF868">
            <v>9000</v>
          </cell>
          <cell r="AG868">
            <v>2</v>
          </cell>
          <cell r="AH868">
            <v>8</v>
          </cell>
          <cell r="AI868">
            <v>15000</v>
          </cell>
          <cell r="AJ868">
            <v>13500</v>
          </cell>
          <cell r="AK868">
            <v>-4500</v>
          </cell>
          <cell r="AL868">
            <v>13095</v>
          </cell>
        </row>
        <row r="869">
          <cell r="T869" t="str">
            <v>STEER PERTUZ GRACE LIZ</v>
          </cell>
          <cell r="U869" t="str">
            <v>cra 16 No 8-39</v>
          </cell>
          <cell r="V869" t="str">
            <v xml:space="preserve">Almendros </v>
          </cell>
          <cell r="W869" t="str">
            <v>CERCANO</v>
          </cell>
          <cell r="X869">
            <v>3176362573</v>
          </cell>
          <cell r="Y869" t="str">
            <v>NORTE</v>
          </cell>
          <cell r="Z869"/>
          <cell r="AA869" t="str">
            <v>Santa Marta</v>
          </cell>
          <cell r="AB869" t="str">
            <v>Santa Marta</v>
          </cell>
          <cell r="AC869" t="str">
            <v>Cra.  19 # 11C - 66</v>
          </cell>
          <cell r="AD869"/>
          <cell r="AE869">
            <v>13095</v>
          </cell>
          <cell r="AF869">
            <v>9000</v>
          </cell>
          <cell r="AG869">
            <v>1</v>
          </cell>
          <cell r="AH869">
            <v>4</v>
          </cell>
          <cell r="AI869">
            <v>15000</v>
          </cell>
          <cell r="AJ869">
            <v>13500</v>
          </cell>
          <cell r="AK869">
            <v>-4500</v>
          </cell>
          <cell r="AL869">
            <v>13095</v>
          </cell>
        </row>
        <row r="870">
          <cell r="T870" t="str">
            <v>VALERIA CORTES</v>
          </cell>
          <cell r="U870" t="str">
            <v>CALLE 26 D #34-46</v>
          </cell>
          <cell r="V870" t="str">
            <v xml:space="preserve">Mamatoco </v>
          </cell>
          <cell r="W870" t="str">
            <v>CERCANO</v>
          </cell>
          <cell r="X870">
            <v>3204335347</v>
          </cell>
          <cell r="Y870" t="str">
            <v>NORTE</v>
          </cell>
          <cell r="Z870"/>
          <cell r="AA870" t="str">
            <v>Santa Marta</v>
          </cell>
          <cell r="AB870" t="str">
            <v>Santa Marta</v>
          </cell>
          <cell r="AC870" t="str">
            <v>Cra.  19 # 11C - 66</v>
          </cell>
          <cell r="AD870"/>
          <cell r="AE870">
            <v>13095</v>
          </cell>
          <cell r="AF870">
            <v>9000</v>
          </cell>
          <cell r="AG870">
            <v>4</v>
          </cell>
          <cell r="AH870">
            <v>11</v>
          </cell>
          <cell r="AI870">
            <v>15000</v>
          </cell>
          <cell r="AJ870">
            <v>13500</v>
          </cell>
          <cell r="AK870">
            <v>-4500</v>
          </cell>
          <cell r="AL870">
            <v>13095</v>
          </cell>
        </row>
        <row r="871">
          <cell r="T871" t="str">
            <v xml:space="preserve">Dr. Hamiro Lara </v>
          </cell>
          <cell r="U871"/>
          <cell r="V871" t="str">
            <v xml:space="preserve">El libertador </v>
          </cell>
          <cell r="W871" t="str">
            <v>CERCANO</v>
          </cell>
          <cell r="X871" t="e">
            <v>#REF!</v>
          </cell>
          <cell r="Y871" t="str">
            <v>NORTE</v>
          </cell>
          <cell r="Z871"/>
          <cell r="AA871" t="str">
            <v>Santa Marta</v>
          </cell>
          <cell r="AB871" t="str">
            <v>Santa Marta</v>
          </cell>
          <cell r="AC871" t="str">
            <v>Cra.  19 # 11C - 66</v>
          </cell>
          <cell r="AD871"/>
          <cell r="AE871">
            <v>13095</v>
          </cell>
          <cell r="AF871">
            <v>9000</v>
          </cell>
          <cell r="AG871">
            <v>1</v>
          </cell>
          <cell r="AH871">
            <v>4</v>
          </cell>
          <cell r="AI871" t="e">
            <v>#N/A</v>
          </cell>
          <cell r="AJ871">
            <v>13500</v>
          </cell>
          <cell r="AK871">
            <v>-4500</v>
          </cell>
          <cell r="AL871">
            <v>13095</v>
          </cell>
        </row>
        <row r="872">
          <cell r="T872" t="str">
            <v>BEATRIZ PEREA</v>
          </cell>
          <cell r="U872"/>
          <cell r="V872">
            <v>0</v>
          </cell>
          <cell r="W872" t="str">
            <v>CERCANO</v>
          </cell>
          <cell r="X872" t="e">
            <v>#REF!</v>
          </cell>
          <cell r="Y872" t="str">
            <v>SUROCCIDENTE</v>
          </cell>
          <cell r="Z872"/>
          <cell r="AA872" t="str">
            <v>Tulua</v>
          </cell>
          <cell r="AB872" t="str">
            <v>Tulua</v>
          </cell>
          <cell r="AC872" t="str">
            <v>Cra. 34 # 26 - 40</v>
          </cell>
          <cell r="AD872"/>
          <cell r="AE872">
            <v>13095</v>
          </cell>
          <cell r="AF872">
            <v>9000</v>
          </cell>
          <cell r="AG872">
            <v>0</v>
          </cell>
          <cell r="AH872">
            <v>0</v>
          </cell>
          <cell r="AI872" t="e">
            <v>#N/A</v>
          </cell>
          <cell r="AJ872">
            <v>13500</v>
          </cell>
          <cell r="AK872">
            <v>-4500</v>
          </cell>
          <cell r="AL872">
            <v>13095</v>
          </cell>
        </row>
        <row r="873">
          <cell r="T873" t="str">
            <v>CRISTINA LONDOÑO</v>
          </cell>
          <cell r="U873" t="str">
            <v xml:space="preserve">Perimetro Lejano </v>
          </cell>
          <cell r="V873">
            <v>0</v>
          </cell>
          <cell r="W873" t="str">
            <v>CERCANO</v>
          </cell>
          <cell r="X873" t="e">
            <v>#REF!</v>
          </cell>
          <cell r="Y873" t="str">
            <v>SUROCCIDENTE</v>
          </cell>
          <cell r="Z873"/>
          <cell r="AA873" t="str">
            <v>Tulua</v>
          </cell>
          <cell r="AB873" t="str">
            <v>Tulua</v>
          </cell>
          <cell r="AC873" t="str">
            <v>Cra. 34 # 26 - 40</v>
          </cell>
          <cell r="AD873"/>
          <cell r="AE873">
            <v>13095</v>
          </cell>
          <cell r="AF873">
            <v>9000</v>
          </cell>
          <cell r="AG873">
            <v>0</v>
          </cell>
          <cell r="AH873">
            <v>0</v>
          </cell>
          <cell r="AI873" t="e">
            <v>#N/A</v>
          </cell>
          <cell r="AJ873">
            <v>13500</v>
          </cell>
          <cell r="AK873">
            <v>-4500</v>
          </cell>
          <cell r="AL873">
            <v>13095</v>
          </cell>
        </row>
        <row r="874">
          <cell r="T874" t="str">
            <v>JANETH ROLDAN</v>
          </cell>
          <cell r="U874" t="str">
            <v xml:space="preserve">villanueva </v>
          </cell>
          <cell r="V874" t="str">
            <v>VILLANUEVA</v>
          </cell>
          <cell r="W874" t="str">
            <v>CERCANO</v>
          </cell>
          <cell r="X874" t="e">
            <v>#REF!</v>
          </cell>
          <cell r="Y874" t="str">
            <v>SUROCCIDENTE</v>
          </cell>
          <cell r="Z874"/>
          <cell r="AA874" t="str">
            <v>Tulua</v>
          </cell>
          <cell r="AB874" t="str">
            <v>Tulua</v>
          </cell>
          <cell r="AC874" t="str">
            <v>Cra. 34 # 26 - 40</v>
          </cell>
          <cell r="AD874"/>
          <cell r="AE874">
            <v>13095</v>
          </cell>
          <cell r="AF874">
            <v>9000</v>
          </cell>
          <cell r="AG874">
            <v>0</v>
          </cell>
          <cell r="AH874">
            <v>0</v>
          </cell>
          <cell r="AI874" t="e">
            <v>#N/A</v>
          </cell>
          <cell r="AJ874">
            <v>13500</v>
          </cell>
          <cell r="AK874">
            <v>-4500</v>
          </cell>
          <cell r="AL874">
            <v>13095</v>
          </cell>
        </row>
        <row r="875">
          <cell r="T875" t="str">
            <v>MONICA COSSIO</v>
          </cell>
          <cell r="U875" t="str">
            <v xml:space="preserve">Perimetro Lejano </v>
          </cell>
          <cell r="V875">
            <v>0</v>
          </cell>
          <cell r="W875" t="str">
            <v>CERCANO</v>
          </cell>
          <cell r="X875">
            <v>3163928254</v>
          </cell>
          <cell r="Y875" t="str">
            <v>SUROCCIDENTE</v>
          </cell>
          <cell r="Z875"/>
          <cell r="AA875" t="str">
            <v>Tulua</v>
          </cell>
          <cell r="AB875" t="str">
            <v>Tulua</v>
          </cell>
          <cell r="AC875" t="str">
            <v>Cra. 34 # 26 - 40</v>
          </cell>
          <cell r="AD875"/>
          <cell r="AE875">
            <v>10670</v>
          </cell>
          <cell r="AF875">
            <v>9000</v>
          </cell>
          <cell r="AG875">
            <v>0</v>
          </cell>
          <cell r="AH875">
            <v>0</v>
          </cell>
          <cell r="AI875">
            <v>11000</v>
          </cell>
          <cell r="AJ875">
            <v>11000</v>
          </cell>
          <cell r="AK875">
            <v>-2000</v>
          </cell>
          <cell r="AL875">
            <v>10670</v>
          </cell>
        </row>
        <row r="876">
          <cell r="T876" t="str">
            <v xml:space="preserve">Julia Mora </v>
          </cell>
          <cell r="U876"/>
          <cell r="V876">
            <v>0</v>
          </cell>
          <cell r="W876" t="str">
            <v>CERCANO</v>
          </cell>
          <cell r="X876" t="e">
            <v>#REF!</v>
          </cell>
          <cell r="Y876" t="str">
            <v>SUROCCIDENTE</v>
          </cell>
          <cell r="Z876"/>
          <cell r="AA876" t="str">
            <v>Tulua</v>
          </cell>
          <cell r="AB876" t="str">
            <v>Tulua</v>
          </cell>
          <cell r="AC876" t="str">
            <v>Cra. 34 # 26 - 40</v>
          </cell>
          <cell r="AD876"/>
          <cell r="AE876">
            <v>13095</v>
          </cell>
          <cell r="AF876">
            <v>9000</v>
          </cell>
          <cell r="AG876">
            <v>0</v>
          </cell>
          <cell r="AH876">
            <v>0</v>
          </cell>
          <cell r="AI876" t="e">
            <v>#N/A</v>
          </cell>
          <cell r="AJ876">
            <v>13500</v>
          </cell>
          <cell r="AK876">
            <v>-4500</v>
          </cell>
          <cell r="AL876">
            <v>13095</v>
          </cell>
        </row>
        <row r="877">
          <cell r="T877" t="str">
            <v>Elsy Yeraldin Salamanca Perez</v>
          </cell>
          <cell r="U877" t="str">
            <v xml:space="preserve">Diagonal 66 N 19 A 37 Sur. </v>
          </cell>
          <cell r="V877" t="str">
            <v>San Francisco</v>
          </cell>
          <cell r="W877" t="str">
            <v>LEJANO</v>
          </cell>
          <cell r="X877" t="e">
            <v>#REF!</v>
          </cell>
          <cell r="Y877" t="str">
            <v>CENTRO</v>
          </cell>
          <cell r="Z877"/>
          <cell r="AA877" t="str">
            <v>Bogota</v>
          </cell>
          <cell r="AB877" t="str">
            <v>Fmexpress Bogotá</v>
          </cell>
          <cell r="AC877" t="str">
            <v>BOGOTA CLL 161 # 7G-36</v>
          </cell>
          <cell r="AD877"/>
          <cell r="AE877">
            <v>26675</v>
          </cell>
          <cell r="AF877">
            <v>22000</v>
          </cell>
          <cell r="AG877">
            <v>14</v>
          </cell>
          <cell r="AH877">
            <v>30</v>
          </cell>
          <cell r="AI877" t="e">
            <v>#N/A</v>
          </cell>
          <cell r="AJ877">
            <v>27500</v>
          </cell>
          <cell r="AK877">
            <v>-5500</v>
          </cell>
          <cell r="AL877">
            <v>26675</v>
          </cell>
        </row>
        <row r="878">
          <cell r="T878" t="str">
            <v>Harvey perez Rodríguez</v>
          </cell>
          <cell r="U878" t="str">
            <v xml:space="preserve">Calle 22 sur #51f 48 </v>
          </cell>
          <cell r="V878" t="str">
            <v>San eusebio</v>
          </cell>
          <cell r="W878" t="str">
            <v>CERCANO</v>
          </cell>
          <cell r="X878" t="e">
            <v>#REF!</v>
          </cell>
          <cell r="Y878" t="str">
            <v>CENTRO</v>
          </cell>
          <cell r="Z878"/>
          <cell r="AA878" t="str">
            <v>Bogota</v>
          </cell>
          <cell r="AB878" t="str">
            <v>Fmexpress Bogotá</v>
          </cell>
          <cell r="AC878" t="str">
            <v>BOGOTA CLL 161 # 7G-36</v>
          </cell>
          <cell r="AD878"/>
          <cell r="AE878">
            <v>13095</v>
          </cell>
          <cell r="AF878">
            <v>8000</v>
          </cell>
          <cell r="AG878">
            <v>4</v>
          </cell>
          <cell r="AH878">
            <v>9</v>
          </cell>
          <cell r="AI878" t="e">
            <v>#N/A</v>
          </cell>
          <cell r="AJ878">
            <v>13500</v>
          </cell>
          <cell r="AK878">
            <v>-5500</v>
          </cell>
          <cell r="AL878">
            <v>13095</v>
          </cell>
        </row>
        <row r="879">
          <cell r="T879" t="str">
            <v xml:space="preserve">Andrea Soto                            </v>
          </cell>
          <cell r="U879" t="str">
            <v xml:space="preserve">Transversal 30 a # 33-73 conjunto Albahaca Ciudad Verde   (soacha)         </v>
          </cell>
          <cell r="V879" t="str">
            <v>ciauda verde</v>
          </cell>
          <cell r="W879" t="str">
            <v>INTERMUNICIPAL</v>
          </cell>
          <cell r="X879" t="e">
            <v>#REF!</v>
          </cell>
          <cell r="Y879" t="str">
            <v>CENTRO</v>
          </cell>
          <cell r="Z879"/>
          <cell r="AA879" t="str">
            <v>Bogota</v>
          </cell>
          <cell r="AB879" t="str">
            <v>Fmexpress Bogotá</v>
          </cell>
          <cell r="AC879" t="str">
            <v>BOGOTA CLL 161 # 7G-36</v>
          </cell>
          <cell r="AD879"/>
          <cell r="AE879">
            <v>61110</v>
          </cell>
          <cell r="AF879">
            <v>50000</v>
          </cell>
          <cell r="AG879">
            <v>34</v>
          </cell>
          <cell r="AH879">
            <v>53</v>
          </cell>
          <cell r="AI879" t="e">
            <v>#N/A</v>
          </cell>
          <cell r="AJ879">
            <v>63000</v>
          </cell>
          <cell r="AK879">
            <v>-13000</v>
          </cell>
          <cell r="AL879">
            <v>61110</v>
          </cell>
        </row>
        <row r="880">
          <cell r="T880" t="str">
            <v xml:space="preserve">Angela Soraca                         </v>
          </cell>
          <cell r="U880" t="str">
            <v>Diagonal 82 G # 75-29       </v>
          </cell>
          <cell r="V880" t="str">
            <v xml:space="preserve">minuto de dios </v>
          </cell>
          <cell r="W880" t="str">
            <v>LEJANO</v>
          </cell>
          <cell r="X880" t="e">
            <v>#REF!</v>
          </cell>
          <cell r="Y880" t="str">
            <v>CENTRO</v>
          </cell>
          <cell r="Z880"/>
          <cell r="AA880" t="str">
            <v>Bogota</v>
          </cell>
          <cell r="AB880" t="str">
            <v>Fmexpress Bogotá</v>
          </cell>
          <cell r="AC880" t="str">
            <v>BOGOTA CLL 161 # 7G-36</v>
          </cell>
          <cell r="AD880"/>
          <cell r="AE880">
            <v>17460</v>
          </cell>
          <cell r="AF880">
            <v>12000</v>
          </cell>
          <cell r="AG880">
            <v>14</v>
          </cell>
          <cell r="AH880">
            <v>20</v>
          </cell>
          <cell r="AI880" t="e">
            <v>#N/A</v>
          </cell>
          <cell r="AJ880">
            <v>18000</v>
          </cell>
          <cell r="AK880">
            <v>-6000</v>
          </cell>
          <cell r="AL880">
            <v>17460</v>
          </cell>
        </row>
        <row r="881">
          <cell r="T881" t="str">
            <v>GEINER JOSE FUENTES MENDIOLA</v>
          </cell>
          <cell r="U881" t="str">
            <v>Av. Boyacá N° 80-94</v>
          </cell>
          <cell r="V881" t="str">
            <v>las ferias</v>
          </cell>
          <cell r="W881" t="str">
            <v>LEJANO</v>
          </cell>
          <cell r="X881" t="e">
            <v>#REF!</v>
          </cell>
          <cell r="Y881" t="str">
            <v>CENTRO</v>
          </cell>
          <cell r="Z881"/>
          <cell r="AA881" t="str">
            <v>Bogota</v>
          </cell>
          <cell r="AB881" t="str">
            <v>San Jose</v>
          </cell>
          <cell r="AC881" t="str">
            <v>Cll. 10 # 18-75 piso 3</v>
          </cell>
          <cell r="AD881"/>
          <cell r="AE881">
            <v>17460</v>
          </cell>
          <cell r="AF881">
            <v>10000</v>
          </cell>
          <cell r="AG881">
            <v>14</v>
          </cell>
          <cell r="AH881">
            <v>21</v>
          </cell>
          <cell r="AI881" t="e">
            <v>#N/A</v>
          </cell>
          <cell r="AJ881">
            <v>18000</v>
          </cell>
          <cell r="AK881">
            <v>-8000</v>
          </cell>
          <cell r="AL881">
            <v>17460</v>
          </cell>
        </row>
        <row r="882">
          <cell r="T882" t="str">
            <v>ARISLEYDA MOSQUERA MOSQUERA</v>
          </cell>
          <cell r="U882" t="str">
            <v>CARRERA 12F SUR N. 29 - 16</v>
          </cell>
          <cell r="V882" t="str">
            <v>AMAPOLAS (HTAL SAN BLAS)</v>
          </cell>
          <cell r="W882" t="str">
            <v>LEJANO</v>
          </cell>
          <cell r="X882" t="e">
            <v>#REF!</v>
          </cell>
          <cell r="Y882" t="str">
            <v>CENTRO</v>
          </cell>
          <cell r="Z882"/>
          <cell r="AA882" t="str">
            <v>Bogota</v>
          </cell>
          <cell r="AB882" t="str">
            <v>San Jose</v>
          </cell>
          <cell r="AC882" t="str">
            <v>Cll. 10 # 18-75 piso 3</v>
          </cell>
          <cell r="AD882"/>
          <cell r="AE882">
            <v>17460</v>
          </cell>
          <cell r="AF882">
            <v>10000</v>
          </cell>
          <cell r="AG882">
            <v>7</v>
          </cell>
          <cell r="AH882">
            <v>30</v>
          </cell>
          <cell r="AI882" t="e">
            <v>#N/A</v>
          </cell>
          <cell r="AJ882">
            <v>18000</v>
          </cell>
          <cell r="AK882">
            <v>-8000</v>
          </cell>
          <cell r="AL882">
            <v>17460</v>
          </cell>
        </row>
        <row r="883">
          <cell r="T883" t="str">
            <v>CONSUELO DIONISIO</v>
          </cell>
          <cell r="U883" t="str">
            <v xml:space="preserve">CALLE 73 SUR N. 14 ESTE </v>
          </cell>
          <cell r="V883" t="str">
            <v>juan rey</v>
          </cell>
          <cell r="W883" t="str">
            <v>LEJANO</v>
          </cell>
          <cell r="X883" t="e">
            <v>#REF!</v>
          </cell>
          <cell r="Y883" t="str">
            <v>CENTRO</v>
          </cell>
          <cell r="Z883"/>
          <cell r="AA883" t="str">
            <v>Bogota</v>
          </cell>
          <cell r="AB883" t="str">
            <v>San Jose</v>
          </cell>
          <cell r="AC883" t="str">
            <v>Cll. 10 # 18-75 piso 3</v>
          </cell>
          <cell r="AD883"/>
          <cell r="AE883">
            <v>17460</v>
          </cell>
          <cell r="AF883">
            <v>10000</v>
          </cell>
          <cell r="AG883">
            <v>14</v>
          </cell>
          <cell r="AH883">
            <v>30</v>
          </cell>
          <cell r="AI883" t="e">
            <v>#N/A</v>
          </cell>
          <cell r="AJ883">
            <v>18000</v>
          </cell>
          <cell r="AK883">
            <v>-8000</v>
          </cell>
          <cell r="AL883">
            <v>17460</v>
          </cell>
        </row>
        <row r="884">
          <cell r="T884" t="str">
            <v>TEOFILA HINOJOSA</v>
          </cell>
          <cell r="U884" t="str">
            <v>CARRERA 21 N. 36 - 40- SOACHA</v>
          </cell>
          <cell r="V884" t="str">
            <v>Rincon de SantaFé (sohacha)</v>
          </cell>
          <cell r="W884" t="str">
            <v>INTERMUNICIPAL</v>
          </cell>
          <cell r="X884" t="e">
            <v>#REF!</v>
          </cell>
          <cell r="Y884" t="str">
            <v>CENTRO</v>
          </cell>
          <cell r="Z884"/>
          <cell r="AA884" t="str">
            <v>Bogota</v>
          </cell>
          <cell r="AB884" t="str">
            <v>San Jose</v>
          </cell>
          <cell r="AC884" t="str">
            <v>Cll. 10 # 18-75 piso 3</v>
          </cell>
          <cell r="AD884"/>
          <cell r="AE884">
            <v>61110</v>
          </cell>
          <cell r="AF884">
            <v>50000</v>
          </cell>
          <cell r="AG884">
            <v>30</v>
          </cell>
          <cell r="AH884">
            <v>16</v>
          </cell>
          <cell r="AI884" t="e">
            <v>#N/A</v>
          </cell>
          <cell r="AJ884">
            <v>63000</v>
          </cell>
          <cell r="AK884">
            <v>-13000</v>
          </cell>
          <cell r="AL884">
            <v>61110</v>
          </cell>
        </row>
        <row r="885">
          <cell r="T885" t="str">
            <v>SILVIA SANCHEZ</v>
          </cell>
          <cell r="U885" t="str">
            <v>Cra 68 D # 40 - 53 Sur</v>
          </cell>
          <cell r="V885" t="str">
            <v>venecia</v>
          </cell>
          <cell r="W885" t="str">
            <v>LEJANO</v>
          </cell>
          <cell r="X885" t="e">
            <v>#REF!</v>
          </cell>
          <cell r="Y885" t="str">
            <v>CENTRO</v>
          </cell>
          <cell r="Z885"/>
          <cell r="AA885" t="str">
            <v>Bogota</v>
          </cell>
          <cell r="AB885" t="str">
            <v>Cruz Roja</v>
          </cell>
          <cell r="AC885" t="str">
            <v>Av. Kra  68 # 68 B-31 Bloque 1 Piso 1</v>
          </cell>
          <cell r="AD885"/>
          <cell r="AE885">
            <v>17460</v>
          </cell>
          <cell r="AF885">
            <v>15000</v>
          </cell>
          <cell r="AG885">
            <v>13</v>
          </cell>
          <cell r="AH885">
            <v>20</v>
          </cell>
          <cell r="AI885" t="e">
            <v>#N/A</v>
          </cell>
          <cell r="AJ885">
            <v>18000</v>
          </cell>
          <cell r="AK885">
            <v>-3000</v>
          </cell>
          <cell r="AL885">
            <v>17460</v>
          </cell>
        </row>
        <row r="886">
          <cell r="T886" t="str">
            <v xml:space="preserve">ANDREA PAREDES </v>
          </cell>
          <cell r="U886" t="str">
            <v xml:space="preserve">Carrera 25 # 20 a - 16 </v>
          </cell>
          <cell r="V886">
            <v>0</v>
          </cell>
          <cell r="W886" t="str">
            <v>CERCANO</v>
          </cell>
          <cell r="X886" t="e">
            <v>#REF!</v>
          </cell>
          <cell r="Y886" t="str">
            <v>SUROCCIDENTE</v>
          </cell>
          <cell r="Z886"/>
          <cell r="AA886" t="str">
            <v>Tulua</v>
          </cell>
          <cell r="AB886" t="str">
            <v>Tulua</v>
          </cell>
          <cell r="AC886" t="str">
            <v>Cra. 34 # 26 - 40</v>
          </cell>
          <cell r="AD886"/>
          <cell r="AE886">
            <v>13095</v>
          </cell>
          <cell r="AF886">
            <v>9000</v>
          </cell>
          <cell r="AG886">
            <v>7</v>
          </cell>
          <cell r="AH886">
            <v>0</v>
          </cell>
          <cell r="AI886" t="e">
            <v>#N/A</v>
          </cell>
          <cell r="AJ886">
            <v>13500</v>
          </cell>
          <cell r="AK886">
            <v>-4500</v>
          </cell>
          <cell r="AL886">
            <v>13095</v>
          </cell>
        </row>
        <row r="887">
          <cell r="T887" t="str">
            <v xml:space="preserve">Lady SUarez </v>
          </cell>
          <cell r="U887" t="str">
            <v xml:space="preserve">Calle 41a # 25-68 </v>
          </cell>
          <cell r="V887">
            <v>0</v>
          </cell>
          <cell r="W887" t="str">
            <v>CERCANO</v>
          </cell>
          <cell r="X887" t="e">
            <v>#REF!</v>
          </cell>
          <cell r="Y887" t="str">
            <v>SUROCCIDENTE</v>
          </cell>
          <cell r="Z887"/>
          <cell r="AA887" t="str">
            <v>Tulua</v>
          </cell>
          <cell r="AB887" t="str">
            <v>Tulua</v>
          </cell>
          <cell r="AC887" t="str">
            <v>Cra. 34 # 26 - 40</v>
          </cell>
          <cell r="AD887"/>
          <cell r="AE887">
            <v>13095</v>
          </cell>
          <cell r="AF887">
            <v>9000</v>
          </cell>
          <cell r="AG887">
            <v>7</v>
          </cell>
          <cell r="AH887">
            <v>0</v>
          </cell>
          <cell r="AI887" t="e">
            <v>#N/A</v>
          </cell>
          <cell r="AJ887">
            <v>13500</v>
          </cell>
          <cell r="AK887">
            <v>-4500</v>
          </cell>
          <cell r="AL887">
            <v>13095</v>
          </cell>
        </row>
        <row r="888">
          <cell r="T888" t="str">
            <v>Laura Barrera</v>
          </cell>
          <cell r="U888" t="str">
            <v>Cra84#45c-106 Edificio San José La floresta</v>
          </cell>
          <cell r="V888" t="str">
            <v>BARRIO LA FLORESTA</v>
          </cell>
          <cell r="W888" t="str">
            <v>LEJANO</v>
          </cell>
          <cell r="X888" t="e">
            <v>#REF!</v>
          </cell>
          <cell r="Y888" t="str">
            <v>SUROCCIDENTE</v>
          </cell>
          <cell r="Z888"/>
          <cell r="AA888" t="str">
            <v>Medellin</v>
          </cell>
          <cell r="AB888" t="str">
            <v>Hosp. San Vicente de Paúl</v>
          </cell>
          <cell r="AC888" t="str">
            <v>Cll. 64 # 51 D - 70 HSVP</v>
          </cell>
          <cell r="AD888"/>
          <cell r="AE888">
            <v>19400</v>
          </cell>
          <cell r="AF888">
            <v>12000</v>
          </cell>
          <cell r="AG888" t="str">
            <v>7 KM</v>
          </cell>
          <cell r="AH888" t="str">
            <v>15 MIN</v>
          </cell>
          <cell r="AI888" t="e">
            <v>#N/A</v>
          </cell>
          <cell r="AJ888">
            <v>20000</v>
          </cell>
          <cell r="AK888">
            <v>-8000</v>
          </cell>
          <cell r="AL888">
            <v>19400</v>
          </cell>
        </row>
        <row r="889">
          <cell r="T889" t="str">
            <v>Maribel Gonzalez</v>
          </cell>
          <cell r="U889" t="str">
            <v>Carrera 68# 94-75</v>
          </cell>
          <cell r="V889" t="str">
            <v>BARRIO CASTILLA COMUNA 5</v>
          </cell>
          <cell r="W889" t="str">
            <v>LEJANO</v>
          </cell>
          <cell r="X889" t="e">
            <v>#REF!</v>
          </cell>
          <cell r="Y889" t="str">
            <v>SUROCCIDENTE</v>
          </cell>
          <cell r="Z889"/>
          <cell r="AA889" t="str">
            <v>Medellin</v>
          </cell>
          <cell r="AB889" t="str">
            <v>Hosp. San Vicente de Paúl</v>
          </cell>
          <cell r="AC889" t="str">
            <v>Cll. 64 # 51 D - 70 HSVP</v>
          </cell>
          <cell r="AD889"/>
          <cell r="AE889">
            <v>19400</v>
          </cell>
          <cell r="AF889">
            <v>12000</v>
          </cell>
          <cell r="AG889" t="str">
            <v>6 KM</v>
          </cell>
          <cell r="AH889" t="str">
            <v>12 MIN</v>
          </cell>
          <cell r="AI889" t="e">
            <v>#N/A</v>
          </cell>
          <cell r="AJ889">
            <v>20000</v>
          </cell>
          <cell r="AK889">
            <v>-8000</v>
          </cell>
          <cell r="AL889">
            <v>19400</v>
          </cell>
        </row>
        <row r="890">
          <cell r="T890" t="str">
            <v>JANET NARANJO</v>
          </cell>
          <cell r="U890" t="str">
            <v>CARRERA 8 # 123 - 154 TRR 8 AP 202 / CONJUNTO TREVISO</v>
          </cell>
          <cell r="V890" t="str">
            <v>Treviso</v>
          </cell>
          <cell r="W890" t="str">
            <v>CERCANO</v>
          </cell>
          <cell r="X890" t="e">
            <v>#REF!</v>
          </cell>
          <cell r="Y890" t="str">
            <v>SUROCCIDENTE</v>
          </cell>
          <cell r="Z890"/>
          <cell r="AA890" t="str">
            <v>Ibague</v>
          </cell>
          <cell r="AB890" t="str">
            <v>Ibague</v>
          </cell>
          <cell r="AC890" t="str">
            <v>Calle 41 # 5 - 40 Barrio Restrepo</v>
          </cell>
          <cell r="AD890"/>
          <cell r="AE890">
            <v>13095</v>
          </cell>
          <cell r="AF890">
            <v>9000</v>
          </cell>
          <cell r="AG890" t="str">
            <v>6.2 km</v>
          </cell>
          <cell r="AH890" t="str">
            <v>12 min</v>
          </cell>
          <cell r="AI890" t="e">
            <v>#N/A</v>
          </cell>
          <cell r="AJ890">
            <v>13500</v>
          </cell>
          <cell r="AK890">
            <v>-4500</v>
          </cell>
          <cell r="AL890">
            <v>13095</v>
          </cell>
        </row>
        <row r="891">
          <cell r="T891" t="str">
            <v>Luis Barrios</v>
          </cell>
          <cell r="U891" t="str">
            <v xml:space="preserve">Diagonal 54 #17-100 Urbanizacion Poblado Niquia - Bello </v>
          </cell>
          <cell r="V891" t="str">
            <v>bello</v>
          </cell>
          <cell r="W891" t="str">
            <v>INTERMUNICIPAL</v>
          </cell>
          <cell r="X891" t="e">
            <v>#REF!</v>
          </cell>
          <cell r="Y891" t="str">
            <v>SUROCCIDENTE</v>
          </cell>
          <cell r="Z891"/>
          <cell r="AA891" t="str">
            <v>Medellin</v>
          </cell>
          <cell r="AB891" t="str">
            <v>Hosp. San Vicente de Paúl</v>
          </cell>
          <cell r="AC891" t="str">
            <v>Cll. 64 # 51 D - 70 HSVP</v>
          </cell>
          <cell r="AD891"/>
          <cell r="AE891">
            <v>34920</v>
          </cell>
          <cell r="AF891">
            <v>12000</v>
          </cell>
          <cell r="AG891" t="str">
            <v>12 KM</v>
          </cell>
          <cell r="AH891" t="str">
            <v>20 min</v>
          </cell>
          <cell r="AI891" t="e">
            <v>#N/A</v>
          </cell>
          <cell r="AJ891">
            <v>36000</v>
          </cell>
          <cell r="AK891">
            <v>-24000</v>
          </cell>
          <cell r="AL891">
            <v>34920</v>
          </cell>
        </row>
        <row r="892">
          <cell r="T892" t="str">
            <v>MARIA OTTY JIMENEZ</v>
          </cell>
          <cell r="U892" t="str">
            <v>Cra 80 # 5 - 220 valle de la ferreria II</v>
          </cell>
          <cell r="V892">
            <v>0</v>
          </cell>
          <cell r="W892" t="str">
            <v>CERCANO</v>
          </cell>
          <cell r="X892" t="e">
            <v>#REF!</v>
          </cell>
          <cell r="Y892" t="str">
            <v>SUROCCIDENTE</v>
          </cell>
          <cell r="Z892"/>
          <cell r="AA892" t="str">
            <v>Cali</v>
          </cell>
          <cell r="AB892" t="str">
            <v>Imbanaco</v>
          </cell>
          <cell r="AC892" t="str">
            <v>Cll. 5B 4  # 38 -123</v>
          </cell>
          <cell r="AD892"/>
          <cell r="AE892">
            <v>13095</v>
          </cell>
          <cell r="AF892">
            <v>9000</v>
          </cell>
          <cell r="AG892" t="str">
            <v>5.8 km</v>
          </cell>
          <cell r="AH892" t="str">
            <v>12 min</v>
          </cell>
          <cell r="AI892" t="e">
            <v>#N/A</v>
          </cell>
          <cell r="AJ892">
            <v>13500</v>
          </cell>
          <cell r="AK892">
            <v>-4500</v>
          </cell>
          <cell r="AL892">
            <v>13095</v>
          </cell>
        </row>
        <row r="893">
          <cell r="T893" t="str">
            <v xml:space="preserve">Luz Islenia Sandoval </v>
          </cell>
          <cell r="U893" t="str">
            <v>CONJUNTO PARQUE LA CIGARRAS</v>
          </cell>
          <cell r="V893" t="str">
            <v>CONJUNTO PARQUE LA CIGARRAS</v>
          </cell>
          <cell r="W893" t="str">
            <v>CERCANO</v>
          </cell>
          <cell r="X893" t="e">
            <v>#REF!</v>
          </cell>
          <cell r="Y893" t="str">
            <v>NORTE</v>
          </cell>
          <cell r="Z893"/>
          <cell r="AA893" t="str">
            <v>Bucaramanga</v>
          </cell>
          <cell r="AB893" t="str">
            <v>Cabecera</v>
          </cell>
          <cell r="AC893" t="str">
            <v>Cll.  54 #  33-45 piso 1</v>
          </cell>
          <cell r="AD893"/>
          <cell r="AE893">
            <v>19400</v>
          </cell>
          <cell r="AF893">
            <v>9000</v>
          </cell>
          <cell r="AG893" t="str">
            <v>6 km</v>
          </cell>
          <cell r="AH893" t="str">
            <v>10 min</v>
          </cell>
          <cell r="AI893">
            <v>20000</v>
          </cell>
          <cell r="AJ893">
            <v>20000</v>
          </cell>
          <cell r="AK893">
            <v>-11000</v>
          </cell>
          <cell r="AL893">
            <v>19400</v>
          </cell>
        </row>
        <row r="894">
          <cell r="T894" t="str">
            <v>Daniel Martinez</v>
          </cell>
          <cell r="U894" t="str">
            <v>Calle 143 A # 141 D 15</v>
          </cell>
          <cell r="V894">
            <v>0</v>
          </cell>
          <cell r="W894" t="str">
            <v>LEJANO</v>
          </cell>
          <cell r="X894" t="e">
            <v>#REF!</v>
          </cell>
          <cell r="Y894" t="str">
            <v>CENTRO</v>
          </cell>
          <cell r="Z894"/>
          <cell r="AA894" t="str">
            <v>Bogota</v>
          </cell>
          <cell r="AB894" t="str">
            <v>Cruz Roja</v>
          </cell>
          <cell r="AC894" t="str">
            <v>Av. Kra  68 # 68 B-31 Bloque 1 Piso 1</v>
          </cell>
          <cell r="AD894"/>
          <cell r="AE894">
            <v>26675</v>
          </cell>
          <cell r="AF894">
            <v>22000</v>
          </cell>
          <cell r="AG894">
            <v>14</v>
          </cell>
          <cell r="AH894">
            <v>30</v>
          </cell>
          <cell r="AI894" t="e">
            <v>#N/A</v>
          </cell>
          <cell r="AJ894">
            <v>27500</v>
          </cell>
          <cell r="AK894">
            <v>-5500</v>
          </cell>
          <cell r="AL894">
            <v>26675</v>
          </cell>
        </row>
        <row r="895">
          <cell r="T895" t="str">
            <v>JANETH TORRES URBANO</v>
          </cell>
          <cell r="U895" t="str">
            <v>CRA 78 C #  58P-69</v>
          </cell>
          <cell r="V895" t="str">
            <v>bosa villa nora</v>
          </cell>
          <cell r="W895" t="str">
            <v>LEJANO</v>
          </cell>
          <cell r="X895" t="e">
            <v>#REF!</v>
          </cell>
          <cell r="Y895" t="str">
            <v>CENTRO</v>
          </cell>
          <cell r="Z895"/>
          <cell r="AA895" t="str">
            <v>Bogota</v>
          </cell>
          <cell r="AB895" t="str">
            <v>San Jose</v>
          </cell>
          <cell r="AC895" t="str">
            <v>Cll. 10 # 18-75 piso 3</v>
          </cell>
          <cell r="AD895"/>
          <cell r="AE895">
            <v>26675</v>
          </cell>
          <cell r="AF895">
            <v>22000</v>
          </cell>
          <cell r="AG895">
            <v>15</v>
          </cell>
          <cell r="AH895">
            <v>30</v>
          </cell>
          <cell r="AI895" t="e">
            <v>#N/A</v>
          </cell>
          <cell r="AJ895">
            <v>27500</v>
          </cell>
          <cell r="AK895">
            <v>-5500</v>
          </cell>
          <cell r="AL895">
            <v>26675</v>
          </cell>
        </row>
        <row r="896">
          <cell r="T896" t="str">
            <v>Damian Acosta</v>
          </cell>
          <cell r="U896" t="str">
            <v>El Carmen de viboral</v>
          </cell>
          <cell r="V896" t="str">
            <v>El carmen de Viboral</v>
          </cell>
          <cell r="W896" t="str">
            <v>INTERMUNICIPAL</v>
          </cell>
          <cell r="X896" t="e">
            <v>#REF!</v>
          </cell>
          <cell r="Y896" t="str">
            <v>SUROCCIDENTE</v>
          </cell>
          <cell r="Z896"/>
          <cell r="AA896" t="str">
            <v xml:space="preserve">RIONEGRO </v>
          </cell>
          <cell r="AB896" t="str">
            <v>Clinica somer</v>
          </cell>
          <cell r="AC896" t="str">
            <v>Cll. 38 # 54 A - 35 piso 4 Rionegro</v>
          </cell>
          <cell r="AD896"/>
          <cell r="AE896">
            <v>43650</v>
          </cell>
          <cell r="AF896">
            <v>38000</v>
          </cell>
          <cell r="AG896" t="str">
            <v>11 km</v>
          </cell>
          <cell r="AH896" t="str">
            <v>20 min</v>
          </cell>
          <cell r="AI896" t="e">
            <v>#N/A</v>
          </cell>
          <cell r="AJ896">
            <v>45000</v>
          </cell>
          <cell r="AK896">
            <v>-7000</v>
          </cell>
          <cell r="AL896">
            <v>43650</v>
          </cell>
        </row>
        <row r="897">
          <cell r="T897" t="str">
            <v>ADRIANA JARABA</v>
          </cell>
          <cell r="U897" t="str">
            <v>Cra 63 # 64 - 50 Barrio Bellavista Barranquilla</v>
          </cell>
          <cell r="V897" t="str">
            <v>Bellavista</v>
          </cell>
          <cell r="W897" t="str">
            <v>INTERMUNICIPAL</v>
          </cell>
          <cell r="X897">
            <v>3013184997</v>
          </cell>
          <cell r="Y897" t="str">
            <v>NORTE</v>
          </cell>
          <cell r="Z897"/>
          <cell r="AA897" t="str">
            <v>Barranquilla</v>
          </cell>
          <cell r="AB897" t="str">
            <v>Murillo</v>
          </cell>
          <cell r="AC897" t="str">
            <v>Calle 45 # 9B - 08
Barrio La Victoria</v>
          </cell>
          <cell r="AD897"/>
          <cell r="AE897">
            <v>43650</v>
          </cell>
          <cell r="AF897">
            <v>30000</v>
          </cell>
          <cell r="AG897" t="str">
            <v>13 km</v>
          </cell>
          <cell r="AH897" t="str">
            <v>23 min</v>
          </cell>
          <cell r="AI897" t="e">
            <v>#N/A</v>
          </cell>
          <cell r="AJ897">
            <v>45000</v>
          </cell>
          <cell r="AK897">
            <v>-15000</v>
          </cell>
          <cell r="AL897">
            <v>43650</v>
          </cell>
        </row>
        <row r="898">
          <cell r="T898" t="str">
            <v xml:space="preserve">BRAYAN MAATAMOROS </v>
          </cell>
          <cell r="U898" t="str">
            <v>CALLE 36 # 1- 35, BARRIO SAN MATEO, COJUNTO TERRA GRANDE 1, CASA 285.</v>
          </cell>
          <cell r="V898" t="str">
            <v>san mateo/soacha</v>
          </cell>
          <cell r="W898" t="str">
            <v>INTERMUNICIPAL</v>
          </cell>
          <cell r="X898" t="e">
            <v>#REF!</v>
          </cell>
          <cell r="Y898" t="str">
            <v>CENTRO</v>
          </cell>
          <cell r="Z898"/>
          <cell r="AA898" t="str">
            <v>Bogota</v>
          </cell>
          <cell r="AB898" t="str">
            <v>Fmexpress Bogotá</v>
          </cell>
          <cell r="AC898" t="str">
            <v>BOGOTA CLL 161 # 7G-36</v>
          </cell>
          <cell r="AD898"/>
          <cell r="AE898">
            <v>61110</v>
          </cell>
          <cell r="AF898">
            <v>50000</v>
          </cell>
          <cell r="AG898">
            <v>14</v>
          </cell>
          <cell r="AH898">
            <v>24</v>
          </cell>
          <cell r="AI898" t="e">
            <v>#N/A</v>
          </cell>
          <cell r="AJ898">
            <v>63000</v>
          </cell>
          <cell r="AK898">
            <v>-13000</v>
          </cell>
          <cell r="AL898">
            <v>61110</v>
          </cell>
        </row>
        <row r="899">
          <cell r="T899" t="str">
            <v>RUBEN SAMUEL RINCON</v>
          </cell>
          <cell r="U899" t="str">
            <v>CARRERA 2 # 31-48, SAN MATEO SOACHA, CUMBRES DE SAN MATEO 2,CASA 50</v>
          </cell>
          <cell r="V899" t="str">
            <v>soacha</v>
          </cell>
          <cell r="W899" t="str">
            <v>INTERMUNICIPAL</v>
          </cell>
          <cell r="X899" t="e">
            <v>#REF!</v>
          </cell>
          <cell r="Y899" t="str">
            <v>CENTRO</v>
          </cell>
          <cell r="Z899"/>
          <cell r="AA899" t="str">
            <v>Bogota</v>
          </cell>
          <cell r="AB899" t="str">
            <v>Fmexpress Bogotá</v>
          </cell>
          <cell r="AC899" t="str">
            <v>BOGOTA CLL 161 # 7G-36</v>
          </cell>
          <cell r="AD899"/>
          <cell r="AE899">
            <v>61110</v>
          </cell>
          <cell r="AF899">
            <v>50000</v>
          </cell>
          <cell r="AG899">
            <v>14</v>
          </cell>
          <cell r="AH899">
            <v>25</v>
          </cell>
          <cell r="AI899" t="e">
            <v>#N/A</v>
          </cell>
          <cell r="AJ899">
            <v>63000</v>
          </cell>
          <cell r="AK899">
            <v>-13000</v>
          </cell>
          <cell r="AL899">
            <v>61110</v>
          </cell>
        </row>
        <row r="900">
          <cell r="T900" t="str">
            <v>LADY GUERRERO</v>
          </cell>
          <cell r="U900" t="str">
            <v xml:space="preserve">CALLE 86  # 95D- 03    </v>
          </cell>
          <cell r="V900" t="str">
            <v>Bochica 1 / Portal 80</v>
          </cell>
          <cell r="W900" t="str">
            <v>LEJANO</v>
          </cell>
          <cell r="X900" t="e">
            <v>#REF!</v>
          </cell>
          <cell r="Y900" t="str">
            <v>CENTRO</v>
          </cell>
          <cell r="Z900"/>
          <cell r="AA900" t="str">
            <v>Bogota</v>
          </cell>
          <cell r="AB900" t="str">
            <v>Fmexpress Bogotá</v>
          </cell>
          <cell r="AC900" t="str">
            <v>BOGOTA CLL 161 # 7G-36</v>
          </cell>
          <cell r="AD900"/>
          <cell r="AE900">
            <v>29100</v>
          </cell>
          <cell r="AF900">
            <v>22000</v>
          </cell>
          <cell r="AG900">
            <v>17</v>
          </cell>
          <cell r="AH900">
            <v>28</v>
          </cell>
          <cell r="AI900" t="e">
            <v>#N/A</v>
          </cell>
          <cell r="AJ900">
            <v>30000</v>
          </cell>
          <cell r="AK900">
            <v>-8000</v>
          </cell>
          <cell r="AL900">
            <v>29100</v>
          </cell>
        </row>
        <row r="901">
          <cell r="T901" t="str">
            <v>VICTOR ALFONSO VASQUEZ</v>
          </cell>
          <cell r="U901" t="str">
            <v>CALLE 151 C # 115-45 APTO 102 BLOQUE 4  SUBA COMPARTIR</v>
          </cell>
          <cell r="V901" t="str">
            <v>suba compartir</v>
          </cell>
          <cell r="W901" t="str">
            <v>LEJANO</v>
          </cell>
          <cell r="X901" t="e">
            <v>#REF!</v>
          </cell>
          <cell r="Y901" t="str">
            <v>CENTRO</v>
          </cell>
          <cell r="Z901"/>
          <cell r="AA901" t="str">
            <v>Bogota</v>
          </cell>
          <cell r="AB901" t="str">
            <v>Fmexpress Bogotá</v>
          </cell>
          <cell r="AC901" t="str">
            <v>BOGOTA CLL 161 # 7G-36</v>
          </cell>
          <cell r="AD901"/>
          <cell r="AE901">
            <v>26675</v>
          </cell>
          <cell r="AF901">
            <v>22000</v>
          </cell>
          <cell r="AG901">
            <v>14</v>
          </cell>
          <cell r="AH901">
            <v>25</v>
          </cell>
          <cell r="AI901" t="e">
            <v>#N/A</v>
          </cell>
          <cell r="AJ901">
            <v>27500</v>
          </cell>
          <cell r="AK901">
            <v>-5500</v>
          </cell>
          <cell r="AL901">
            <v>26675</v>
          </cell>
        </row>
        <row r="902">
          <cell r="T902" t="str">
            <v>Claudia patricia Correa</v>
          </cell>
          <cell r="U902" t="str">
            <v>kra 58D # 130A-12</v>
          </cell>
          <cell r="V902" t="str">
            <v>Ciudad Jardin Norte</v>
          </cell>
          <cell r="W902" t="str">
            <v>LEJANO</v>
          </cell>
          <cell r="X902" t="e">
            <v>#REF!</v>
          </cell>
          <cell r="Y902" t="str">
            <v>CENTRO</v>
          </cell>
          <cell r="Z902"/>
          <cell r="AA902" t="str">
            <v>BOGOTÁ</v>
          </cell>
          <cell r="AB902" t="str">
            <v>Occidente</v>
          </cell>
          <cell r="AC902" t="str">
            <v>Calle 5C No. 71C - 29 Torre B Piso 2 
Edificio Servicios Ambulatorios</v>
          </cell>
          <cell r="AD902"/>
          <cell r="AE902">
            <v>26675</v>
          </cell>
          <cell r="AF902">
            <v>22000</v>
          </cell>
          <cell r="AG902">
            <v>22</v>
          </cell>
          <cell r="AH902">
            <v>29</v>
          </cell>
          <cell r="AI902" t="e">
            <v>#N/A</v>
          </cell>
          <cell r="AJ902">
            <v>27500</v>
          </cell>
          <cell r="AK902">
            <v>-5500</v>
          </cell>
          <cell r="AL902">
            <v>26675</v>
          </cell>
        </row>
        <row r="903">
          <cell r="T903" t="str">
            <v xml:space="preserve">lina Marcela Marin </v>
          </cell>
          <cell r="U903" t="str">
            <v xml:space="preserve">MANZANA 7 CASA 17B CONJUNTO GALATEA </v>
          </cell>
          <cell r="V903" t="str">
            <v>dos quebradas</v>
          </cell>
          <cell r="W903" t="str">
            <v>INTERMUNICIPAL</v>
          </cell>
          <cell r="X903" t="e">
            <v>#REF!</v>
          </cell>
          <cell r="Y903" t="str">
            <v>SUROCCIDENTE</v>
          </cell>
          <cell r="Z903"/>
          <cell r="AA903" t="str">
            <v>PEREIRA</v>
          </cell>
          <cell r="AB903" t="str">
            <v>Pereira</v>
          </cell>
          <cell r="AC903" t="str">
            <v>Avenida Juan B. Gutierrez # 17-55.  Piso 1 Edificio Icono</v>
          </cell>
          <cell r="AD903"/>
          <cell r="AE903">
            <v>38800</v>
          </cell>
          <cell r="AF903">
            <v>32000</v>
          </cell>
          <cell r="AG903">
            <v>7</v>
          </cell>
          <cell r="AH903">
            <v>19</v>
          </cell>
          <cell r="AI903" t="e">
            <v>#N/A</v>
          </cell>
          <cell r="AJ903">
            <v>27000</v>
          </cell>
          <cell r="AK903">
            <v>5000</v>
          </cell>
          <cell r="AL903">
            <v>26190</v>
          </cell>
        </row>
        <row r="904">
          <cell r="T904" t="str">
            <v>CARMEN TERESA PATIÑO</v>
          </cell>
          <cell r="U904" t="str">
            <v>Carrera 68 # 20 - 30 B/ la Hacienda</v>
          </cell>
          <cell r="V904" t="str">
            <v>La Hacienda</v>
          </cell>
          <cell r="W904" t="str">
            <v>CERCANO</v>
          </cell>
          <cell r="X904">
            <v>3174215928</v>
          </cell>
          <cell r="Y904" t="str">
            <v>SUROCCIDENTE</v>
          </cell>
          <cell r="Z904"/>
          <cell r="AA904" t="str">
            <v>Cali</v>
          </cell>
          <cell r="AB904" t="str">
            <v>Imbanaco</v>
          </cell>
          <cell r="AC904" t="str">
            <v>Cll. 5B 4  # 38 -123</v>
          </cell>
          <cell r="AD904"/>
          <cell r="AE904">
            <v>13095</v>
          </cell>
          <cell r="AF904">
            <v>9000</v>
          </cell>
          <cell r="AG904">
            <v>6</v>
          </cell>
          <cell r="AH904">
            <v>14</v>
          </cell>
          <cell r="AI904" t="e">
            <v>#N/A</v>
          </cell>
          <cell r="AJ904">
            <v>13500</v>
          </cell>
          <cell r="AK904">
            <v>-4500</v>
          </cell>
          <cell r="AL904">
            <v>13095</v>
          </cell>
        </row>
        <row r="905">
          <cell r="T905" t="str">
            <v>CLARA INCHIMA</v>
          </cell>
          <cell r="U905" t="str">
            <v>Calle 3 Oeste #83-06 Altos Napoles</v>
          </cell>
          <cell r="V905" t="str">
            <v>Altos Napoles</v>
          </cell>
          <cell r="W905" t="str">
            <v>CERCANO</v>
          </cell>
          <cell r="X905">
            <v>3218456967</v>
          </cell>
          <cell r="Y905" t="str">
            <v>SUROCCIDENTE</v>
          </cell>
          <cell r="Z905"/>
          <cell r="AA905" t="str">
            <v>Cali</v>
          </cell>
          <cell r="AB905" t="str">
            <v>Imbanaco</v>
          </cell>
          <cell r="AC905" t="str">
            <v>Cll. 5B 4  # 38 -123</v>
          </cell>
          <cell r="AD905"/>
          <cell r="AE905">
            <v>13095</v>
          </cell>
          <cell r="AF905">
            <v>9000</v>
          </cell>
          <cell r="AG905" t="str">
            <v>6.9 km</v>
          </cell>
          <cell r="AH905" t="str">
            <v>17 min</v>
          </cell>
          <cell r="AI905" t="e">
            <v>#N/A</v>
          </cell>
          <cell r="AJ905">
            <v>13500</v>
          </cell>
          <cell r="AK905">
            <v>-4500</v>
          </cell>
          <cell r="AL905">
            <v>13095</v>
          </cell>
        </row>
        <row r="906">
          <cell r="T906" t="str">
            <v>YOSELIN PEREZ</v>
          </cell>
          <cell r="U906" t="str">
            <v>Cra 2 #58c - 20 Barrio Villa María</v>
          </cell>
          <cell r="V906" t="str">
            <v>Villa Maria</v>
          </cell>
          <cell r="W906" t="str">
            <v>INTERMUNICIPAL</v>
          </cell>
          <cell r="X906" t="e">
            <v>#REF!</v>
          </cell>
          <cell r="Y906" t="str">
            <v>NORTE</v>
          </cell>
          <cell r="Z906"/>
          <cell r="AA906" t="str">
            <v>Barranquilla</v>
          </cell>
          <cell r="AB906" t="str">
            <v>Riomar</v>
          </cell>
          <cell r="AC906" t="str">
            <v>Cra. 51 # 82-197</v>
          </cell>
          <cell r="AD906"/>
          <cell r="AE906">
            <v>39285</v>
          </cell>
          <cell r="AF906">
            <v>30000</v>
          </cell>
          <cell r="AG906" t="str">
            <v>11.4 km</v>
          </cell>
          <cell r="AH906" t="str">
            <v>23 min</v>
          </cell>
          <cell r="AI906" t="e">
            <v>#N/A</v>
          </cell>
          <cell r="AJ906">
            <v>40500</v>
          </cell>
          <cell r="AK906">
            <v>-10500</v>
          </cell>
          <cell r="AL906">
            <v>39285</v>
          </cell>
        </row>
        <row r="907">
          <cell r="T907" t="str">
            <v>LAURA OTALVARO</v>
          </cell>
          <cell r="U907" t="str">
            <v>CRA 41G # 43 - 62 Urbanizacion el Parque</v>
          </cell>
          <cell r="V907" t="str">
            <v>Av Las Torres</v>
          </cell>
          <cell r="W907" t="str">
            <v>INTERMUNICIPAL</v>
          </cell>
          <cell r="X907" t="e">
            <v>#REF!</v>
          </cell>
          <cell r="Y907" t="str">
            <v>NORTE</v>
          </cell>
          <cell r="Z907"/>
          <cell r="AA907" t="str">
            <v>Barranquilla</v>
          </cell>
          <cell r="AB907" t="str">
            <v>Unirenal</v>
          </cell>
          <cell r="AC907" t="str">
            <v>Cll.  70B # 38-152</v>
          </cell>
          <cell r="AD907"/>
          <cell r="AE907">
            <v>39285</v>
          </cell>
          <cell r="AF907">
            <v>30000</v>
          </cell>
          <cell r="AG907" t="str">
            <v xml:space="preserve">9.5 km </v>
          </cell>
          <cell r="AH907" t="str">
            <v>23 min</v>
          </cell>
          <cell r="AI907" t="e">
            <v>#N/A</v>
          </cell>
          <cell r="AJ907">
            <v>40500</v>
          </cell>
          <cell r="AK907">
            <v>-10500</v>
          </cell>
          <cell r="AL907">
            <v>39285</v>
          </cell>
        </row>
        <row r="908">
          <cell r="T908" t="str">
            <v>ADRIANA GARCIA</v>
          </cell>
          <cell r="U908" t="str">
            <v>Calle 9b # 1a - 03</v>
          </cell>
          <cell r="V908" t="str">
            <v>Villa Pilar</v>
          </cell>
          <cell r="W908" t="str">
            <v>CERCANO</v>
          </cell>
          <cell r="X908">
            <v>3105156297</v>
          </cell>
          <cell r="Y908" t="str">
            <v>SUROCCIDENTE</v>
          </cell>
          <cell r="Z908"/>
          <cell r="AA908" t="str">
            <v>Manizales</v>
          </cell>
          <cell r="AB908" t="str">
            <v>Manizales</v>
          </cell>
          <cell r="AC908" t="str">
            <v>Cra. 23 # 39 - 25 Piso 2
Antiguo Edificio Clínica Manizales
(IPS Caprecom Clínica Manizales)</v>
          </cell>
          <cell r="AD908"/>
          <cell r="AE908">
            <v>13095</v>
          </cell>
          <cell r="AF908">
            <v>9000</v>
          </cell>
          <cell r="AG908">
            <v>4</v>
          </cell>
          <cell r="AH908">
            <v>10</v>
          </cell>
          <cell r="AI908" t="e">
            <v>#N/A</v>
          </cell>
          <cell r="AJ908">
            <v>13500</v>
          </cell>
          <cell r="AK908">
            <v>-4500</v>
          </cell>
          <cell r="AL908">
            <v>13095</v>
          </cell>
        </row>
        <row r="909">
          <cell r="T909" t="str">
            <v>DIANA</v>
          </cell>
          <cell r="U909" t="str">
            <v>Cra 32a # 31 - 48 San Carlos</v>
          </cell>
          <cell r="V909" t="str">
            <v>San Carlos</v>
          </cell>
          <cell r="W909" t="str">
            <v>CERCANO</v>
          </cell>
          <cell r="X909" t="e">
            <v>#REF!</v>
          </cell>
          <cell r="Y909" t="str">
            <v>SUROCCIDENTE</v>
          </cell>
          <cell r="Z909"/>
          <cell r="AA909" t="str">
            <v>Cali</v>
          </cell>
          <cell r="AB909" t="str">
            <v>Imbanaco</v>
          </cell>
          <cell r="AC909" t="str">
            <v>Cll. 5B 4  # 38 -123</v>
          </cell>
          <cell r="AD909"/>
          <cell r="AE909">
            <v>17460</v>
          </cell>
          <cell r="AF909">
            <v>9000</v>
          </cell>
          <cell r="AG909" t="str">
            <v>6.6 km</v>
          </cell>
          <cell r="AH909" t="str">
            <v>17 min</v>
          </cell>
          <cell r="AI909" t="e">
            <v>#N/A</v>
          </cell>
          <cell r="AJ909">
            <v>18000</v>
          </cell>
          <cell r="AK909">
            <v>-9000</v>
          </cell>
          <cell r="AL909">
            <v>17460</v>
          </cell>
        </row>
        <row r="910">
          <cell r="T910" t="str">
            <v>JHONATAN</v>
          </cell>
          <cell r="U910" t="str">
            <v>Cra 9 # 72 - 70</v>
          </cell>
          <cell r="V910" t="str">
            <v>7 de Agosto</v>
          </cell>
          <cell r="W910" t="str">
            <v>CERCANO</v>
          </cell>
          <cell r="X910" t="e">
            <v>#REF!</v>
          </cell>
          <cell r="Y910" t="str">
            <v>SUROCCIDENTE</v>
          </cell>
          <cell r="Z910"/>
          <cell r="AA910" t="str">
            <v>Cali</v>
          </cell>
          <cell r="AB910" t="str">
            <v>Imbanaco</v>
          </cell>
          <cell r="AC910" t="str">
            <v>Cll. 5B 4  # 38 -123</v>
          </cell>
          <cell r="AD910"/>
          <cell r="AE910">
            <v>17460</v>
          </cell>
          <cell r="AF910">
            <v>9000</v>
          </cell>
          <cell r="AG910" t="str">
            <v>10 km</v>
          </cell>
          <cell r="AH910" t="str">
            <v>19 min</v>
          </cell>
          <cell r="AI910" t="e">
            <v>#N/A</v>
          </cell>
          <cell r="AJ910">
            <v>18000</v>
          </cell>
          <cell r="AK910">
            <v>-9000</v>
          </cell>
          <cell r="AL910">
            <v>17460</v>
          </cell>
        </row>
        <row r="911">
          <cell r="T911" t="str">
            <v>Natalia Guerrero</v>
          </cell>
          <cell r="U911" t="str">
            <v>Dirección Cl 8a Bis # 94-23</v>
          </cell>
          <cell r="V911" t="str">
            <v>Tintal</v>
          </cell>
          <cell r="W911" t="str">
            <v>LEJANO</v>
          </cell>
          <cell r="X911" t="e">
            <v>#REF!</v>
          </cell>
          <cell r="Y911" t="str">
            <v>CENTRO</v>
          </cell>
          <cell r="Z911"/>
          <cell r="AA911" t="str">
            <v>Bogota</v>
          </cell>
          <cell r="AB911" t="str">
            <v>Horizonte</v>
          </cell>
          <cell r="AC911" t="str">
            <v>Av. Cll 134 # 7b- 83 Edificio el Bosque piso 2 Consultorio 2018</v>
          </cell>
          <cell r="AD911"/>
          <cell r="AE911">
            <v>29100</v>
          </cell>
          <cell r="AF911">
            <v>22000</v>
          </cell>
          <cell r="AG911">
            <v>25</v>
          </cell>
          <cell r="AH911">
            <v>40</v>
          </cell>
          <cell r="AI911" t="e">
            <v>#N/A</v>
          </cell>
          <cell r="AJ911">
            <v>30000</v>
          </cell>
          <cell r="AK911">
            <v>-8000</v>
          </cell>
          <cell r="AL911">
            <v>29100</v>
          </cell>
        </row>
        <row r="912">
          <cell r="T912" t="str">
            <v>MARIA ISABEL DELGADO</v>
          </cell>
          <cell r="U912" t="str">
            <v>CONJUNTO ALAMEDA CAÑABERAL</v>
          </cell>
          <cell r="V912" t="str">
            <v>cañaberal</v>
          </cell>
          <cell r="W912" t="str">
            <v>CERCANO</v>
          </cell>
          <cell r="X912" t="e">
            <v>#REF!</v>
          </cell>
          <cell r="Y912" t="str">
            <v>NORTE</v>
          </cell>
          <cell r="Z912"/>
          <cell r="AA912" t="str">
            <v>Bucaramanga</v>
          </cell>
          <cell r="AB912" t="str">
            <v>Cabecera</v>
          </cell>
          <cell r="AC912" t="str">
            <v>Cll.  54 #  33-45 piso 1</v>
          </cell>
          <cell r="AD912"/>
          <cell r="AE912">
            <v>13095</v>
          </cell>
          <cell r="AF912">
            <v>9000</v>
          </cell>
          <cell r="AG912">
            <v>0</v>
          </cell>
          <cell r="AH912">
            <v>0</v>
          </cell>
          <cell r="AI912" t="e">
            <v>#N/A</v>
          </cell>
          <cell r="AJ912">
            <v>13500</v>
          </cell>
          <cell r="AK912">
            <v>-4500</v>
          </cell>
          <cell r="AL912">
            <v>13095</v>
          </cell>
        </row>
        <row r="913">
          <cell r="T913" t="str">
            <v>jennifer zambrano</v>
          </cell>
          <cell r="U913" t="str">
            <v>Calle 74 B No. 11-04 sur Barrio Santa Librada. </v>
          </cell>
          <cell r="V913" t="str">
            <v>santa librada-usme</v>
          </cell>
          <cell r="W913" t="str">
            <v>INTERMUNICIPAL</v>
          </cell>
          <cell r="X913" t="e">
            <v>#REF!</v>
          </cell>
          <cell r="Y913" t="str">
            <v>CENTRO</v>
          </cell>
          <cell r="Z913"/>
          <cell r="AA913" t="str">
            <v>Bogota</v>
          </cell>
          <cell r="AB913" t="str">
            <v>Cruz Roja</v>
          </cell>
          <cell r="AC913" t="str">
            <v>Av. Kra  68 # 68 B-31 Bloque 1 Piso 1</v>
          </cell>
          <cell r="AD913"/>
          <cell r="AE913">
            <v>29100</v>
          </cell>
          <cell r="AF913">
            <v>22000</v>
          </cell>
          <cell r="AG913">
            <v>25</v>
          </cell>
          <cell r="AH913">
            <v>40</v>
          </cell>
          <cell r="AI913" t="e">
            <v>#N/A</v>
          </cell>
          <cell r="AJ913">
            <v>30000</v>
          </cell>
          <cell r="AK913">
            <v>-8000</v>
          </cell>
          <cell r="AL913">
            <v>29100</v>
          </cell>
        </row>
        <row r="914">
          <cell r="T914" t="str">
            <v>INGRID ZAMBRANO</v>
          </cell>
          <cell r="U914" t="str">
            <v>CARRERA 36 # 37-73 CONJUNTO EL TREBOL</v>
          </cell>
          <cell r="V914" t="str">
            <v>soacha</v>
          </cell>
          <cell r="W914" t="str">
            <v>INTERMUNICIPAL</v>
          </cell>
          <cell r="X914" t="e">
            <v>#REF!</v>
          </cell>
          <cell r="Y914" t="str">
            <v>CENTRO</v>
          </cell>
          <cell r="Z914"/>
          <cell r="AA914" t="str">
            <v>Bogota</v>
          </cell>
          <cell r="AB914" t="str">
            <v>San Jose</v>
          </cell>
          <cell r="AC914" t="str">
            <v>Cll. 10 # 18-75 piso 3</v>
          </cell>
          <cell r="AD914"/>
          <cell r="AE914">
            <v>61110</v>
          </cell>
          <cell r="AF914">
            <v>50000</v>
          </cell>
          <cell r="AG914">
            <v>0</v>
          </cell>
          <cell r="AH914">
            <v>0</v>
          </cell>
          <cell r="AI914" t="e">
            <v>#N/A</v>
          </cell>
          <cell r="AJ914">
            <v>63000</v>
          </cell>
          <cell r="AK914">
            <v>-13000</v>
          </cell>
          <cell r="AL914">
            <v>61110</v>
          </cell>
        </row>
        <row r="915">
          <cell r="T915" t="str">
            <v>ROSA</v>
          </cell>
          <cell r="U915" t="str">
            <v>Cra 42 b1 # 84-123</v>
          </cell>
          <cell r="V915">
            <v>0</v>
          </cell>
          <cell r="W915" t="str">
            <v>CERCANO</v>
          </cell>
          <cell r="X915" t="e">
            <v>#REF!</v>
          </cell>
          <cell r="Y915" t="str">
            <v>NORTE</v>
          </cell>
          <cell r="Z915"/>
          <cell r="AA915" t="str">
            <v>Barranquilla</v>
          </cell>
          <cell r="AB915" t="str">
            <v>Murillo</v>
          </cell>
          <cell r="AC915" t="str">
            <v>Calle 45 # 9B - 08
Barrio La Victoria</v>
          </cell>
          <cell r="AD915"/>
          <cell r="AE915">
            <v>13095</v>
          </cell>
          <cell r="AF915">
            <v>9000</v>
          </cell>
          <cell r="AG915">
            <v>0</v>
          </cell>
          <cell r="AH915">
            <v>0</v>
          </cell>
          <cell r="AI915" t="e">
            <v>#N/A</v>
          </cell>
          <cell r="AJ915">
            <v>13500</v>
          </cell>
          <cell r="AK915">
            <v>-4500</v>
          </cell>
          <cell r="AL915">
            <v>13095</v>
          </cell>
        </row>
        <row r="916">
          <cell r="T916" t="str">
            <v>GINET DIAZ</v>
          </cell>
          <cell r="U916"/>
          <cell r="V916">
            <v>0</v>
          </cell>
          <cell r="W916" t="str">
            <v>CERCANO</v>
          </cell>
          <cell r="X916" t="e">
            <v>#REF!</v>
          </cell>
          <cell r="Y916" t="str">
            <v>SUROCCIDENTE</v>
          </cell>
          <cell r="Z916"/>
          <cell r="AA916" t="str">
            <v>Cali</v>
          </cell>
          <cell r="AB916" t="str">
            <v>Imbanaco</v>
          </cell>
          <cell r="AC916" t="str">
            <v>Cll. 5B 4  # 38 -123</v>
          </cell>
          <cell r="AD916"/>
          <cell r="AE916">
            <v>13095</v>
          </cell>
          <cell r="AF916">
            <v>9000</v>
          </cell>
          <cell r="AG916">
            <v>0</v>
          </cell>
          <cell r="AH916">
            <v>0</v>
          </cell>
          <cell r="AI916" t="e">
            <v>#N/A</v>
          </cell>
          <cell r="AJ916">
            <v>13500</v>
          </cell>
          <cell r="AK916">
            <v>-4500</v>
          </cell>
          <cell r="AL916">
            <v>13095</v>
          </cell>
        </row>
        <row r="917">
          <cell r="T917" t="str">
            <v>Francia Giraldo</v>
          </cell>
          <cell r="U917" t="str">
            <v xml:space="preserve">Cll 23#60-90 Barrio Nuevo bello </v>
          </cell>
          <cell r="V917" t="str">
            <v>Nuevo Bello</v>
          </cell>
          <cell r="W917" t="str">
            <v>INTERMUNICIPAL</v>
          </cell>
          <cell r="X917" t="e">
            <v>#REF!</v>
          </cell>
          <cell r="Y917" t="str">
            <v>SUROCCIDENTE</v>
          </cell>
          <cell r="Z917"/>
          <cell r="AA917" t="str">
            <v>Medellin</v>
          </cell>
          <cell r="AB917" t="str">
            <v>Hosp. San Vicente de Paúl</v>
          </cell>
          <cell r="AC917" t="str">
            <v>Cll. 64 # 51 D - 70 HSVP</v>
          </cell>
          <cell r="AD917"/>
          <cell r="AE917">
            <v>34920</v>
          </cell>
          <cell r="AF917">
            <v>13000</v>
          </cell>
          <cell r="AG917" t="str">
            <v>12 KM</v>
          </cell>
          <cell r="AH917" t="str">
            <v>20 MIN</v>
          </cell>
          <cell r="AI917" t="e">
            <v>#N/A</v>
          </cell>
          <cell r="AJ917">
            <v>36000</v>
          </cell>
          <cell r="AK917">
            <v>-23000</v>
          </cell>
          <cell r="AL917">
            <v>34920</v>
          </cell>
        </row>
        <row r="918">
          <cell r="T918" t="str">
            <v>SANDRA NOVOA</v>
          </cell>
          <cell r="U918" t="str">
            <v>CALLE 14 D # 18 G – 45, SOACHA, BARRIO PRADO LAS VEGAS, ENTRADA POR EL CEMENTERIO DE SOACHA</v>
          </cell>
          <cell r="V918" t="str">
            <v>soacha</v>
          </cell>
          <cell r="W918" t="str">
            <v>INTERMUNICIPAL</v>
          </cell>
          <cell r="X918" t="e">
            <v>#REF!</v>
          </cell>
          <cell r="Y918" t="str">
            <v>CENTRO</v>
          </cell>
          <cell r="Z918"/>
          <cell r="AA918" t="str">
            <v>Bogota</v>
          </cell>
          <cell r="AB918" t="str">
            <v>Fmexpress Bogotá</v>
          </cell>
          <cell r="AC918" t="str">
            <v>BOGOTA CLL 161 # 7G-36</v>
          </cell>
          <cell r="AD918"/>
          <cell r="AE918">
            <v>61110</v>
          </cell>
          <cell r="AF918">
            <v>50000</v>
          </cell>
          <cell r="AG918">
            <v>0</v>
          </cell>
          <cell r="AH918">
            <v>0</v>
          </cell>
          <cell r="AI918" t="e">
            <v>#N/A</v>
          </cell>
          <cell r="AJ918">
            <v>63000</v>
          </cell>
          <cell r="AK918">
            <v>-13000</v>
          </cell>
          <cell r="AL918">
            <v>61110</v>
          </cell>
        </row>
        <row r="919">
          <cell r="T919" t="str">
            <v xml:space="preserve">EDWIN ANTONIO RUIZ </v>
          </cell>
          <cell r="U919" t="str">
            <v xml:space="preserve">CALLE 81 SUR # 81-90, BARRIO BOSA SAN JOSE, URB MAL PELO 2, TORRE 27, APTO 301.                </v>
          </cell>
          <cell r="V919" t="str">
            <v>bosa san jose</v>
          </cell>
          <cell r="W919" t="str">
            <v>LEJANO</v>
          </cell>
          <cell r="X919" t="e">
            <v>#REF!</v>
          </cell>
          <cell r="Y919" t="str">
            <v>CENTRO</v>
          </cell>
          <cell r="Z919"/>
          <cell r="AA919" t="str">
            <v>Bogota</v>
          </cell>
          <cell r="AB919" t="str">
            <v>Fmexpress Bogotá</v>
          </cell>
          <cell r="AC919" t="str">
            <v>BOGOTA CLL 161 # 7G-36</v>
          </cell>
          <cell r="AD919"/>
          <cell r="AE919">
            <v>29100</v>
          </cell>
          <cell r="AF919">
            <v>22000</v>
          </cell>
          <cell r="AG919">
            <v>15</v>
          </cell>
          <cell r="AH919">
            <v>26</v>
          </cell>
          <cell r="AI919" t="e">
            <v>#N/A</v>
          </cell>
          <cell r="AJ919">
            <v>30000</v>
          </cell>
          <cell r="AK919">
            <v>-8000</v>
          </cell>
          <cell r="AL919">
            <v>29100</v>
          </cell>
        </row>
        <row r="920">
          <cell r="T920" t="str">
            <v>MAIRA VARGAS</v>
          </cell>
          <cell r="U920" t="str">
            <v>CALLE 8va  SUR # 68D-4    FLORESTA SUR</v>
          </cell>
          <cell r="V920" t="str">
            <v>floresta sur</v>
          </cell>
          <cell r="W920" t="str">
            <v>LEJANO</v>
          </cell>
          <cell r="X920" t="e">
            <v>#REF!</v>
          </cell>
          <cell r="Y920" t="str">
            <v>CENTRO</v>
          </cell>
          <cell r="Z920"/>
          <cell r="AA920" t="str">
            <v>Bogota</v>
          </cell>
          <cell r="AB920" t="str">
            <v>Fmexpress Bogotá</v>
          </cell>
          <cell r="AC920" t="str">
            <v>BOGOTA CLL 161 # 7G-36</v>
          </cell>
          <cell r="AD920"/>
          <cell r="AE920">
            <v>29100</v>
          </cell>
          <cell r="AF920">
            <v>22000</v>
          </cell>
          <cell r="AG920">
            <v>22</v>
          </cell>
          <cell r="AH920">
            <v>34</v>
          </cell>
          <cell r="AI920" t="e">
            <v>#N/A</v>
          </cell>
          <cell r="AJ920">
            <v>30000</v>
          </cell>
          <cell r="AK920">
            <v>-8000</v>
          </cell>
          <cell r="AL920">
            <v>29100</v>
          </cell>
        </row>
        <row r="921">
          <cell r="T921" t="str">
            <v xml:space="preserve">LUZ MERY PAEZ                    </v>
          </cell>
          <cell r="U921" t="str">
            <v xml:space="preserve">CARRERA 141 A BIS # 143 A - 29 SUBA BILBAO                   </v>
          </cell>
          <cell r="V921" t="str">
            <v>suba bilbao</v>
          </cell>
          <cell r="W921" t="str">
            <v>LEJANO</v>
          </cell>
          <cell r="X921" t="e">
            <v>#REF!</v>
          </cell>
          <cell r="Y921" t="str">
            <v>CENTRO</v>
          </cell>
          <cell r="Z921"/>
          <cell r="AA921" t="str">
            <v>Bogota</v>
          </cell>
          <cell r="AB921" t="str">
            <v>Fmexpress Bogotá</v>
          </cell>
          <cell r="AC921" t="str">
            <v>BOGOTA CLL 161 # 7G-36</v>
          </cell>
          <cell r="AD921"/>
          <cell r="AE921">
            <v>29100</v>
          </cell>
          <cell r="AF921">
            <v>22000</v>
          </cell>
          <cell r="AG921">
            <v>16</v>
          </cell>
          <cell r="AH921">
            <v>30</v>
          </cell>
          <cell r="AI921" t="e">
            <v>#N/A</v>
          </cell>
          <cell r="AJ921">
            <v>30000</v>
          </cell>
          <cell r="AK921">
            <v>-8000</v>
          </cell>
          <cell r="AL921">
            <v>29100</v>
          </cell>
        </row>
        <row r="922">
          <cell r="T922" t="str">
            <v>Leonor Machacön Hernandez</v>
          </cell>
          <cell r="U922" t="str">
            <v>Urb. Villas de la candelaria , Mz 14 lote 18</v>
          </cell>
          <cell r="V922">
            <v>0</v>
          </cell>
          <cell r="W922" t="str">
            <v>CERCANO</v>
          </cell>
          <cell r="X922" t="e">
            <v>#REF!</v>
          </cell>
          <cell r="Y922" t="str">
            <v>NORTE</v>
          </cell>
          <cell r="Z922"/>
          <cell r="AA922" t="str">
            <v>CARTAGENA</v>
          </cell>
          <cell r="AB922" t="str">
            <v>Cartagena</v>
          </cell>
          <cell r="AC922" t="str">
            <v>Barrio La Plazuela Carrera 71 # 29 - 236 CC shoping center La plazuela local 16</v>
          </cell>
          <cell r="AD922"/>
          <cell r="AE922">
            <v>13095</v>
          </cell>
          <cell r="AF922">
            <v>9000</v>
          </cell>
          <cell r="AG922">
            <v>5</v>
          </cell>
          <cell r="AH922">
            <v>10</v>
          </cell>
          <cell r="AI922" t="e">
            <v>#N/A</v>
          </cell>
          <cell r="AJ922">
            <v>13500</v>
          </cell>
          <cell r="AK922">
            <v>-4500</v>
          </cell>
          <cell r="AL922">
            <v>13095</v>
          </cell>
        </row>
        <row r="923">
          <cell r="T923" t="str">
            <v>Joan Sebastian Barrera</v>
          </cell>
          <cell r="U923" t="str">
            <v>carrera 6w # 17-80 (municipio)</v>
          </cell>
          <cell r="V923" t="str">
            <v>ciudadela barro blanco</v>
          </cell>
          <cell r="W923" t="str">
            <v>INTERMUNICIPAL</v>
          </cell>
          <cell r="X923" t="e">
            <v>#REF!</v>
          </cell>
          <cell r="Y923" t="str">
            <v>NORTE</v>
          </cell>
          <cell r="Z923"/>
          <cell r="AA923" t="str">
            <v>Bucaramanga</v>
          </cell>
          <cell r="AB923" t="str">
            <v>Cabecera</v>
          </cell>
          <cell r="AC923" t="str">
            <v>Cll.  54 #  33-45 piso 1</v>
          </cell>
          <cell r="AD923"/>
          <cell r="AE923">
            <v>24735</v>
          </cell>
          <cell r="AF923">
            <v>20000</v>
          </cell>
          <cell r="AG923">
            <v>18</v>
          </cell>
          <cell r="AH923">
            <v>22</v>
          </cell>
          <cell r="AI923" t="e">
            <v>#N/A</v>
          </cell>
          <cell r="AJ923">
            <v>25500</v>
          </cell>
          <cell r="AK923">
            <v>-5500</v>
          </cell>
          <cell r="AL923">
            <v>24735</v>
          </cell>
        </row>
        <row r="924">
          <cell r="T924" t="str">
            <v>Yurley Walteros</v>
          </cell>
          <cell r="U924" t="str">
            <v>Urbanizacion Bucarica</v>
          </cell>
          <cell r="V924" t="str">
            <v>urbanizacion bucarica</v>
          </cell>
          <cell r="W924" t="str">
            <v>CERCANO</v>
          </cell>
          <cell r="X924" t="e">
            <v>#REF!</v>
          </cell>
          <cell r="Y924" t="str">
            <v>NORTE</v>
          </cell>
          <cell r="Z924"/>
          <cell r="AA924" t="str">
            <v>Bucaramanga</v>
          </cell>
          <cell r="AB924" t="str">
            <v>Cabecera</v>
          </cell>
          <cell r="AC924" t="str">
            <v>Cll.  54 #  33-45 piso 1</v>
          </cell>
          <cell r="AD924"/>
          <cell r="AE924">
            <v>13095</v>
          </cell>
          <cell r="AF924">
            <v>9000</v>
          </cell>
          <cell r="AG924">
            <v>5</v>
          </cell>
          <cell r="AH924">
            <v>10</v>
          </cell>
          <cell r="AI924" t="e">
            <v>#N/A</v>
          </cell>
          <cell r="AJ924">
            <v>13500</v>
          </cell>
          <cell r="AK924">
            <v>-4500</v>
          </cell>
          <cell r="AL924">
            <v>13095</v>
          </cell>
        </row>
        <row r="925">
          <cell r="T925" t="str">
            <v>MARCOS MANJARREZ</v>
          </cell>
          <cell r="U925" t="str">
            <v>Clle 33 # 3 - 13 Barrio los Mayales</v>
          </cell>
          <cell r="V925" t="str">
            <v>los mayales</v>
          </cell>
          <cell r="W925" t="str">
            <v>CERCANO</v>
          </cell>
          <cell r="X925" t="e">
            <v>#REF!</v>
          </cell>
          <cell r="Y925" t="str">
            <v>NORTE</v>
          </cell>
          <cell r="Z925"/>
          <cell r="AA925" t="str">
            <v>Valledupar</v>
          </cell>
          <cell r="AB925" t="str">
            <v>Valledupar</v>
          </cell>
          <cell r="AC925" t="str">
            <v>Carrera 7A # 28-62
Barrio 12 de Octubre</v>
          </cell>
          <cell r="AD925"/>
          <cell r="AE925">
            <v>13095</v>
          </cell>
          <cell r="AF925">
            <v>9000</v>
          </cell>
          <cell r="AG925">
            <v>3</v>
          </cell>
          <cell r="AH925">
            <v>5</v>
          </cell>
          <cell r="AI925" t="e">
            <v>#N/A</v>
          </cell>
          <cell r="AJ925">
            <v>13500</v>
          </cell>
          <cell r="AK925">
            <v>-4500</v>
          </cell>
          <cell r="AL925">
            <v>13095</v>
          </cell>
        </row>
        <row r="926">
          <cell r="T926" t="str">
            <v>Luisa Franco</v>
          </cell>
          <cell r="U926"/>
          <cell r="V926">
            <v>0</v>
          </cell>
          <cell r="W926" t="str">
            <v>CERCANO</v>
          </cell>
          <cell r="X926" t="e">
            <v>#REF!</v>
          </cell>
          <cell r="Y926" t="str">
            <v>CENTRO</v>
          </cell>
          <cell r="Z926"/>
          <cell r="AA926" t="str">
            <v>Honda</v>
          </cell>
          <cell r="AB926" t="str">
            <v>Honda</v>
          </cell>
          <cell r="AC926" t="str">
            <v>Calle 9 No. 16-38 Av Centenario Hospital San Juan de Dios Honda</v>
          </cell>
          <cell r="AD926"/>
          <cell r="AE926">
            <v>13095</v>
          </cell>
          <cell r="AF926">
            <v>9000</v>
          </cell>
          <cell r="AG926">
            <v>0</v>
          </cell>
          <cell r="AH926">
            <v>0</v>
          </cell>
          <cell r="AI926" t="e">
            <v>#N/A</v>
          </cell>
          <cell r="AJ926">
            <v>13500</v>
          </cell>
          <cell r="AK926">
            <v>-4500</v>
          </cell>
          <cell r="AL926">
            <v>13095</v>
          </cell>
        </row>
        <row r="927">
          <cell r="T927" t="str">
            <v>ADRIANA ALVAREZ</v>
          </cell>
          <cell r="U927" t="str">
            <v>Cra 39 # 13b-48 Alambra 4</v>
          </cell>
          <cell r="V927" t="str">
            <v>alambra 4</v>
          </cell>
          <cell r="W927" t="str">
            <v>CERCANO</v>
          </cell>
          <cell r="X927" t="e">
            <v>#REF!</v>
          </cell>
          <cell r="Y927" t="str">
            <v>SUROCCIDENTE</v>
          </cell>
          <cell r="Z927"/>
          <cell r="AA927" t="str">
            <v>Cali</v>
          </cell>
          <cell r="AB927" t="str">
            <v>Imbanaco</v>
          </cell>
          <cell r="AC927" t="str">
            <v>Cll. 5B 4  # 38 -123</v>
          </cell>
          <cell r="AD927"/>
          <cell r="AE927">
            <v>13095</v>
          </cell>
          <cell r="AF927">
            <v>9000</v>
          </cell>
          <cell r="AG927">
            <v>5</v>
          </cell>
          <cell r="AH927">
            <v>10</v>
          </cell>
          <cell r="AI927" t="e">
            <v>#N/A</v>
          </cell>
          <cell r="AJ927">
            <v>13500</v>
          </cell>
          <cell r="AK927">
            <v>-4500</v>
          </cell>
          <cell r="AL927">
            <v>13095</v>
          </cell>
        </row>
        <row r="928">
          <cell r="T928" t="str">
            <v>Dioselina Peñates Montes</v>
          </cell>
          <cell r="U928" t="str">
            <v>Avenida 40 # 55-98, manzana 3 Bloque 47 barrio Niquia, Bello</v>
          </cell>
          <cell r="V928" t="str">
            <v>Bello</v>
          </cell>
          <cell r="W928" t="str">
            <v>LEJANO</v>
          </cell>
          <cell r="X928" t="e">
            <v>#REF!</v>
          </cell>
          <cell r="Y928" t="str">
            <v>SUROCCIDENTE</v>
          </cell>
          <cell r="Z928"/>
          <cell r="AA928" t="str">
            <v xml:space="preserve">Medellin </v>
          </cell>
          <cell r="AB928" t="str">
            <v>Belen</v>
          </cell>
          <cell r="AC928" t="str">
            <v>Cra 65B No. 30  - 95 Torre médica, piso 5</v>
          </cell>
          <cell r="AD928"/>
          <cell r="AE928">
            <v>34920</v>
          </cell>
          <cell r="AF928">
            <v>12000</v>
          </cell>
          <cell r="AG928">
            <v>16</v>
          </cell>
          <cell r="AH928">
            <v>20</v>
          </cell>
          <cell r="AI928" t="e">
            <v>#N/A</v>
          </cell>
          <cell r="AJ928">
            <v>36000</v>
          </cell>
          <cell r="AK928">
            <v>-24000</v>
          </cell>
          <cell r="AL928">
            <v>34920</v>
          </cell>
        </row>
        <row r="929">
          <cell r="T929" t="str">
            <v>SANDRA NEIZA</v>
          </cell>
          <cell r="U929" t="str">
            <v>DG 77 # 120A -68</v>
          </cell>
          <cell r="V929">
            <v>0</v>
          </cell>
          <cell r="W929" t="str">
            <v>CERCANO</v>
          </cell>
          <cell r="X929" t="e">
            <v>#REF!</v>
          </cell>
          <cell r="Y929" t="str">
            <v>CENTRO</v>
          </cell>
          <cell r="Z929"/>
          <cell r="AA929" t="str">
            <v>Bogota</v>
          </cell>
          <cell r="AB929" t="str">
            <v>Dorado</v>
          </cell>
          <cell r="AC929" t="str">
            <v>Diagonal 82 Bis # 85 - 90</v>
          </cell>
          <cell r="AD929"/>
          <cell r="AE929">
            <v>13095</v>
          </cell>
          <cell r="AF929">
            <v>8000</v>
          </cell>
          <cell r="AG929">
            <v>7</v>
          </cell>
          <cell r="AH929">
            <v>22</v>
          </cell>
          <cell r="AI929" t="e">
            <v>#N/A</v>
          </cell>
          <cell r="AJ929">
            <v>13500</v>
          </cell>
          <cell r="AK929">
            <v>-5500</v>
          </cell>
          <cell r="AL929">
            <v>13095</v>
          </cell>
        </row>
        <row r="930">
          <cell r="T930" t="str">
            <v>maria del pilar perez</v>
          </cell>
          <cell r="U930" t="str">
            <v>conjunto los trinitarios</v>
          </cell>
          <cell r="V930" t="str">
            <v>trinitario</v>
          </cell>
          <cell r="W930" t="str">
            <v>CERCANO</v>
          </cell>
          <cell r="X930" t="e">
            <v>#N/A</v>
          </cell>
          <cell r="Y930" t="str">
            <v>NORTE</v>
          </cell>
          <cell r="Z930"/>
          <cell r="AA930" t="str">
            <v>Bucaramanga</v>
          </cell>
          <cell r="AB930" t="str">
            <v>Cabecera</v>
          </cell>
          <cell r="AC930" t="str">
            <v>Cll.  54 #  33-45 piso 1</v>
          </cell>
          <cell r="AD930"/>
          <cell r="AE930">
            <v>13095</v>
          </cell>
          <cell r="AF930">
            <v>9000</v>
          </cell>
          <cell r="AG930">
            <v>0</v>
          </cell>
          <cell r="AH930">
            <v>0</v>
          </cell>
          <cell r="AI930" t="e">
            <v>#N/A</v>
          </cell>
          <cell r="AJ930">
            <v>13500</v>
          </cell>
          <cell r="AK930">
            <v>-4500</v>
          </cell>
          <cell r="AL930">
            <v>13095</v>
          </cell>
        </row>
        <row r="931">
          <cell r="T931" t="str">
            <v>FREDY AMARIS</v>
          </cell>
          <cell r="U931" t="str">
            <v>Calle 47 # 21b-69 San Jose</v>
          </cell>
          <cell r="V931" t="str">
            <v>san jose</v>
          </cell>
          <cell r="W931" t="str">
            <v>LEJANO</v>
          </cell>
          <cell r="X931" t="e">
            <v>#REF!</v>
          </cell>
          <cell r="Y931" t="str">
            <v>NORTE</v>
          </cell>
          <cell r="Z931"/>
          <cell r="AA931" t="str">
            <v>Barranquilla</v>
          </cell>
          <cell r="AB931" t="str">
            <v>Riomar</v>
          </cell>
          <cell r="AC931" t="str">
            <v>Cra. 51 # 82-197</v>
          </cell>
          <cell r="AD931"/>
          <cell r="AE931">
            <v>17460</v>
          </cell>
          <cell r="AF931">
            <v>9000</v>
          </cell>
          <cell r="AG931">
            <v>8</v>
          </cell>
          <cell r="AH931">
            <v>19</v>
          </cell>
          <cell r="AI931" t="e">
            <v>#N/A</v>
          </cell>
          <cell r="AJ931">
            <v>18000</v>
          </cell>
          <cell r="AK931">
            <v>-9000</v>
          </cell>
          <cell r="AL931">
            <v>17460</v>
          </cell>
        </row>
        <row r="932">
          <cell r="T932" t="str">
            <v>Andrea Ramirez</v>
          </cell>
          <cell r="U932" t="str">
            <v>Calle 138 Bis No. 132-21 Tibabuyes Universal </v>
          </cell>
          <cell r="V932" t="str">
            <v>Tibabuyes Universal- abjo del cai de la gaitana</v>
          </cell>
          <cell r="W932" t="str">
            <v>LEJANO</v>
          </cell>
          <cell r="X932" t="e">
            <v>#REF!</v>
          </cell>
          <cell r="Y932" t="str">
            <v>CENTRO</v>
          </cell>
          <cell r="Z932"/>
          <cell r="AA932" t="str">
            <v>Bogota</v>
          </cell>
          <cell r="AB932" t="str">
            <v>Cruz Roja</v>
          </cell>
          <cell r="AC932" t="str">
            <v>Av. Kra  68 # 68 B-31 Bloque 1 Piso 1</v>
          </cell>
          <cell r="AD932"/>
          <cell r="AE932">
            <v>26675</v>
          </cell>
          <cell r="AF932">
            <v>22000</v>
          </cell>
          <cell r="AG932">
            <v>14</v>
          </cell>
          <cell r="AH932">
            <v>26</v>
          </cell>
          <cell r="AI932" t="e">
            <v>#N/A</v>
          </cell>
          <cell r="AJ932">
            <v>27500</v>
          </cell>
          <cell r="AK932">
            <v>-5500</v>
          </cell>
          <cell r="AL932">
            <v>26675</v>
          </cell>
        </row>
        <row r="933">
          <cell r="T933" t="str">
            <v>JENNY YAMILE PAEZ</v>
          </cell>
          <cell r="U933" t="str">
            <v xml:space="preserve">Cra 36 # 17-333 ciudad verde sohacha </v>
          </cell>
          <cell r="V933" t="str">
            <v xml:space="preserve">ciudad verde- Sohacha </v>
          </cell>
          <cell r="W933" t="str">
            <v>INTERMUNICIPAL</v>
          </cell>
          <cell r="X933" t="e">
            <v>#REF!</v>
          </cell>
          <cell r="Y933" t="str">
            <v>CENTRO</v>
          </cell>
          <cell r="Z933"/>
          <cell r="AA933" t="str">
            <v>BOGOTÁ</v>
          </cell>
          <cell r="AB933" t="str">
            <v>Occidente</v>
          </cell>
          <cell r="AC933" t="str">
            <v>Calle 5C No. 71C - 29 Torre B Piso 2 
Edificio Servicios Ambulatorios</v>
          </cell>
          <cell r="AD933"/>
          <cell r="AE933">
            <v>61110</v>
          </cell>
          <cell r="AF933">
            <v>50000</v>
          </cell>
          <cell r="AG933">
            <v>0</v>
          </cell>
          <cell r="AH933">
            <v>0</v>
          </cell>
          <cell r="AI933" t="e">
            <v>#N/A</v>
          </cell>
          <cell r="AJ933">
            <v>63000</v>
          </cell>
          <cell r="AK933">
            <v>-13000</v>
          </cell>
          <cell r="AL933">
            <v>61110</v>
          </cell>
        </row>
        <row r="934">
          <cell r="T934" t="str">
            <v xml:space="preserve">susana vargas </v>
          </cell>
          <cell r="U934" t="str">
            <v>TV 4# 52 B- 64 chapinero</v>
          </cell>
          <cell r="V934" t="str">
            <v>Chapinero</v>
          </cell>
          <cell r="W934" t="str">
            <v>LEJANO</v>
          </cell>
          <cell r="X934" t="e">
            <v>#REF!</v>
          </cell>
          <cell r="Y934" t="str">
            <v>CENTRO</v>
          </cell>
          <cell r="Z934"/>
          <cell r="AA934" t="str">
            <v>Bogota</v>
          </cell>
          <cell r="AB934" t="str">
            <v>Horizonte</v>
          </cell>
          <cell r="AC934" t="str">
            <v>Av. Cll 134 # 7b- 83 Edificio el Bosque piso 2 Consultorio 2018</v>
          </cell>
          <cell r="AD934"/>
          <cell r="AE934">
            <v>17460</v>
          </cell>
          <cell r="AF934">
            <v>12000</v>
          </cell>
          <cell r="AG934">
            <v>12</v>
          </cell>
          <cell r="AH934">
            <v>23</v>
          </cell>
          <cell r="AI934" t="e">
            <v>#N/A</v>
          </cell>
          <cell r="AJ934">
            <v>18000</v>
          </cell>
          <cell r="AK934">
            <v>-6000</v>
          </cell>
          <cell r="AL934">
            <v>17460</v>
          </cell>
        </row>
        <row r="935">
          <cell r="T935" t="str">
            <v>GLORIA LEIDY RINCON</v>
          </cell>
          <cell r="U935" t="str">
            <v>TRANSVERSAL 5 I  # 48 B 83 SUR-bochica sur molinos</v>
          </cell>
          <cell r="V935" t="str">
            <v xml:space="preserve">BOCHICA SUR  MOLINOS   </v>
          </cell>
          <cell r="W935" t="str">
            <v>LEJANO</v>
          </cell>
          <cell r="X935" t="e">
            <v>#REF!</v>
          </cell>
          <cell r="Y935" t="str">
            <v>CENTRO</v>
          </cell>
          <cell r="Z935"/>
          <cell r="AA935" t="str">
            <v>Bogota</v>
          </cell>
          <cell r="AB935" t="str">
            <v>San Jose</v>
          </cell>
          <cell r="AC935" t="str">
            <v>Cll. 10 # 18-75 piso 3</v>
          </cell>
          <cell r="AD935"/>
          <cell r="AE935">
            <v>17460</v>
          </cell>
          <cell r="AF935">
            <v>9000</v>
          </cell>
          <cell r="AG935">
            <v>10</v>
          </cell>
          <cell r="AH935">
            <v>24</v>
          </cell>
          <cell r="AI935" t="e">
            <v>#N/A</v>
          </cell>
          <cell r="AJ935">
            <v>18000</v>
          </cell>
          <cell r="AK935">
            <v>-9000</v>
          </cell>
          <cell r="AL935">
            <v>17460</v>
          </cell>
        </row>
        <row r="936">
          <cell r="T936" t="str">
            <v>RUBEN RAMIREZ</v>
          </cell>
          <cell r="U936" t="str">
            <v>CALLE 82 # 109-16, BARRIO BOLIVIA</v>
          </cell>
          <cell r="V936" t="str">
            <v>Bolivia</v>
          </cell>
          <cell r="W936" t="str">
            <v>LEJANO</v>
          </cell>
          <cell r="X936" t="e">
            <v>#REF!</v>
          </cell>
          <cell r="Y936" t="str">
            <v>CENTRO</v>
          </cell>
          <cell r="Z936"/>
          <cell r="AA936" t="str">
            <v>Bogota</v>
          </cell>
          <cell r="AB936" t="str">
            <v>Fmexpress Bogotá</v>
          </cell>
          <cell r="AC936" t="str">
            <v>BOGOTA CLL 161 # 7G-36</v>
          </cell>
          <cell r="AD936"/>
          <cell r="AE936">
            <v>17460</v>
          </cell>
          <cell r="AF936">
            <v>12000</v>
          </cell>
          <cell r="AG936">
            <v>13</v>
          </cell>
          <cell r="AH936">
            <v>23</v>
          </cell>
          <cell r="AI936" t="e">
            <v>#N/A</v>
          </cell>
          <cell r="AJ936">
            <v>18000</v>
          </cell>
          <cell r="AK936">
            <v>-6000</v>
          </cell>
          <cell r="AL936">
            <v>17460</v>
          </cell>
        </row>
        <row r="937">
          <cell r="T937" t="str">
            <v>CESAR MEJIA</v>
          </cell>
          <cell r="U937" t="str">
            <v>CALLE 74 # 82H-10 SUR, BOSA SAN PEDRO</v>
          </cell>
          <cell r="V937" t="str">
            <v>Bosa San Pedro</v>
          </cell>
          <cell r="W937" t="str">
            <v>LEJANO</v>
          </cell>
          <cell r="X937" t="e">
            <v>#REF!</v>
          </cell>
          <cell r="Y937" t="str">
            <v>CENTRO</v>
          </cell>
          <cell r="Z937"/>
          <cell r="AA937" t="str">
            <v>Bogota</v>
          </cell>
          <cell r="AB937" t="str">
            <v>Fmexpress Bogotá</v>
          </cell>
          <cell r="AC937" t="str">
            <v>BOGOTA CLL 161 # 7G-36</v>
          </cell>
          <cell r="AD937"/>
          <cell r="AE937">
            <v>17460</v>
          </cell>
          <cell r="AF937">
            <v>12000</v>
          </cell>
          <cell r="AG937">
            <v>14</v>
          </cell>
          <cell r="AH937">
            <v>26</v>
          </cell>
          <cell r="AI937" t="e">
            <v>#N/A</v>
          </cell>
          <cell r="AJ937">
            <v>18000</v>
          </cell>
          <cell r="AK937">
            <v>-6000</v>
          </cell>
          <cell r="AL937">
            <v>17460</v>
          </cell>
        </row>
        <row r="938">
          <cell r="T938" t="str">
            <v>JENIFER AGUILAR</v>
          </cell>
          <cell r="U938" t="str">
            <v xml:space="preserve">TRANSVERSAL 5a Q # 48 H Bis 39 Sur BARRIO MARRUECOS </v>
          </cell>
          <cell r="V938" t="str">
            <v>Barrio Marruecos</v>
          </cell>
          <cell r="W938" t="str">
            <v>LEJANO</v>
          </cell>
          <cell r="X938" t="e">
            <v>#REF!</v>
          </cell>
          <cell r="Y938" t="str">
            <v>CENTRO</v>
          </cell>
          <cell r="Z938"/>
          <cell r="AA938" t="str">
            <v>Bogota</v>
          </cell>
          <cell r="AB938" t="str">
            <v>Fmexpress Bogotá</v>
          </cell>
          <cell r="AC938" t="str">
            <v>BOGOTA CLL 161 # 7G-36</v>
          </cell>
          <cell r="AD938"/>
          <cell r="AE938">
            <v>29100</v>
          </cell>
          <cell r="AF938">
            <v>22000</v>
          </cell>
          <cell r="AG938">
            <v>30</v>
          </cell>
          <cell r="AH938">
            <v>59</v>
          </cell>
          <cell r="AI938" t="e">
            <v>#N/A</v>
          </cell>
          <cell r="AJ938">
            <v>30000</v>
          </cell>
          <cell r="AK938">
            <v>-8000</v>
          </cell>
          <cell r="AL938">
            <v>29100</v>
          </cell>
        </row>
        <row r="939">
          <cell r="T939" t="str">
            <v>JEINY VARGAS</v>
          </cell>
          <cell r="U939" t="str">
            <v xml:space="preserve">CALLE 76 A N 87 - 15  BARRIO FLORENCIA </v>
          </cell>
          <cell r="V939" t="str">
            <v>Florencia</v>
          </cell>
          <cell r="W939" t="str">
            <v>LEJANO</v>
          </cell>
          <cell r="X939" t="e">
            <v>#REF!</v>
          </cell>
          <cell r="Y939" t="str">
            <v>CENTRO</v>
          </cell>
          <cell r="Z939"/>
          <cell r="AA939" t="str">
            <v>Bogota</v>
          </cell>
          <cell r="AB939" t="str">
            <v>Fmexpress Bogotá</v>
          </cell>
          <cell r="AC939" t="str">
            <v>BOGOTA CLL 161 # 7G-36</v>
          </cell>
          <cell r="AD939"/>
          <cell r="AE939">
            <v>17460</v>
          </cell>
          <cell r="AF939">
            <v>12000</v>
          </cell>
          <cell r="AG939">
            <v>15</v>
          </cell>
          <cell r="AH939">
            <v>25</v>
          </cell>
          <cell r="AI939" t="e">
            <v>#N/A</v>
          </cell>
          <cell r="AJ939">
            <v>18000</v>
          </cell>
          <cell r="AK939">
            <v>-6000</v>
          </cell>
          <cell r="AL939">
            <v>17460</v>
          </cell>
        </row>
        <row r="940">
          <cell r="T940" t="str">
            <v>Eliana María Restrepo Arias</v>
          </cell>
          <cell r="U940" t="str">
            <v>Cra 31 número 65a-40</v>
          </cell>
          <cell r="V940">
            <v>0</v>
          </cell>
          <cell r="W940" t="str">
            <v>CERCANO</v>
          </cell>
          <cell r="X940" t="e">
            <v>#REF!</v>
          </cell>
          <cell r="Y940" t="str">
            <v>SUROCCIDENTE</v>
          </cell>
          <cell r="Z940"/>
          <cell r="AA940" t="str">
            <v xml:space="preserve">Medellin </v>
          </cell>
          <cell r="AB940" t="str">
            <v>Belen</v>
          </cell>
          <cell r="AC940" t="str">
            <v>Cra 65B No. 30  - 95 Torre médica, piso 5</v>
          </cell>
          <cell r="AD940"/>
          <cell r="AE940">
            <v>13095</v>
          </cell>
          <cell r="AF940">
            <v>9000</v>
          </cell>
          <cell r="AG940" t="str">
            <v>500 m</v>
          </cell>
          <cell r="AH940" t="str">
            <v>5 MIN</v>
          </cell>
          <cell r="AI940" t="e">
            <v>#N/A</v>
          </cell>
          <cell r="AJ940">
            <v>13500</v>
          </cell>
          <cell r="AK940">
            <v>-4500</v>
          </cell>
          <cell r="AL940">
            <v>13095</v>
          </cell>
        </row>
        <row r="941">
          <cell r="T941" t="str">
            <v>Roger Parra</v>
          </cell>
          <cell r="U941" t="str">
            <v xml:space="preserve">Calle 68# 51C-39 Apto 302 Sevilla </v>
          </cell>
          <cell r="V941" t="str">
            <v>sevilla</v>
          </cell>
          <cell r="W941" t="str">
            <v>CERCANO</v>
          </cell>
          <cell r="X941" t="e">
            <v>#REF!</v>
          </cell>
          <cell r="Y941" t="str">
            <v>SUROCCIDENTE</v>
          </cell>
          <cell r="Z941"/>
          <cell r="AA941" t="str">
            <v>Medellin</v>
          </cell>
          <cell r="AB941" t="str">
            <v>Hosp. San Vicente de Paúl</v>
          </cell>
          <cell r="AC941" t="str">
            <v>Cll. 64 # 51 D - 70 HSVP</v>
          </cell>
          <cell r="AD941"/>
          <cell r="AE941">
            <v>13095</v>
          </cell>
          <cell r="AF941">
            <v>12000</v>
          </cell>
          <cell r="AG941" t="str">
            <v>5 km</v>
          </cell>
          <cell r="AH941" t="str">
            <v>10 min</v>
          </cell>
          <cell r="AI941" t="e">
            <v>#N/A</v>
          </cell>
          <cell r="AJ941">
            <v>13500</v>
          </cell>
          <cell r="AK941">
            <v>-1500</v>
          </cell>
          <cell r="AL941">
            <v>13095</v>
          </cell>
        </row>
        <row r="942">
          <cell r="T942" t="str">
            <v>Luisa Fernanda Franco</v>
          </cell>
          <cell r="U942"/>
          <cell r="V942">
            <v>0</v>
          </cell>
          <cell r="W942" t="str">
            <v>CERCANO</v>
          </cell>
          <cell r="X942" t="e">
            <v>#REF!</v>
          </cell>
          <cell r="Y942" t="str">
            <v>CENTRO</v>
          </cell>
          <cell r="Z942"/>
          <cell r="AA942" t="str">
            <v>Honda</v>
          </cell>
          <cell r="AB942" t="str">
            <v>Honda</v>
          </cell>
          <cell r="AC942" t="str">
            <v>Calle 9 No. 16-38 Av Centenario Hospital San Juan de Dios Honda</v>
          </cell>
          <cell r="AD942"/>
          <cell r="AE942">
            <v>13095</v>
          </cell>
          <cell r="AF942">
            <v>9000</v>
          </cell>
          <cell r="AG942" t="str">
            <v>5 KM</v>
          </cell>
          <cell r="AH942" t="str">
            <v>8 MIN</v>
          </cell>
          <cell r="AI942" t="e">
            <v>#N/A</v>
          </cell>
          <cell r="AJ942">
            <v>13500</v>
          </cell>
          <cell r="AK942">
            <v>-4500</v>
          </cell>
          <cell r="AL942">
            <v>13095</v>
          </cell>
        </row>
        <row r="943">
          <cell r="T943" t="str">
            <v>Ximena Barrios</v>
          </cell>
          <cell r="U943"/>
          <cell r="V943">
            <v>0</v>
          </cell>
          <cell r="W943" t="str">
            <v>CERCANO</v>
          </cell>
          <cell r="X943" t="e">
            <v>#REF!</v>
          </cell>
          <cell r="Y943" t="str">
            <v>SUROCCIDENTE</v>
          </cell>
          <cell r="Z943"/>
          <cell r="AA943" t="str">
            <v xml:space="preserve">Medellin </v>
          </cell>
          <cell r="AB943" t="str">
            <v>Belen</v>
          </cell>
          <cell r="AC943" t="str">
            <v>Cra 65B No. 30  - 95 Torre médica, piso 5</v>
          </cell>
          <cell r="AD943"/>
          <cell r="AE943">
            <v>13095</v>
          </cell>
          <cell r="AF943">
            <v>9000</v>
          </cell>
          <cell r="AG943">
            <v>23</v>
          </cell>
          <cell r="AH943">
            <v>14</v>
          </cell>
          <cell r="AI943" t="e">
            <v>#N/A</v>
          </cell>
          <cell r="AJ943">
            <v>13500</v>
          </cell>
          <cell r="AK943">
            <v>-4500</v>
          </cell>
          <cell r="AL943">
            <v>13095</v>
          </cell>
        </row>
        <row r="944">
          <cell r="T944" t="str">
            <v>SHIRLEY PADILLA</v>
          </cell>
          <cell r="U944" t="str">
            <v>CLL 3B TV 3B - 225 PLAZUELA DEL MAR</v>
          </cell>
          <cell r="V944" t="str">
            <v>puerto colombia</v>
          </cell>
          <cell r="W944" t="str">
            <v>INTERMUNICIPAL</v>
          </cell>
          <cell r="X944" t="e">
            <v>#REF!</v>
          </cell>
          <cell r="Y944" t="str">
            <v>NORTE</v>
          </cell>
          <cell r="Z944"/>
          <cell r="AA944" t="str">
            <v>Barranquilla</v>
          </cell>
          <cell r="AB944" t="str">
            <v>Riomar</v>
          </cell>
          <cell r="AC944" t="str">
            <v>Cra. 51 # 82-197</v>
          </cell>
          <cell r="AD944"/>
          <cell r="AE944">
            <v>39576</v>
          </cell>
          <cell r="AF944">
            <v>30000</v>
          </cell>
          <cell r="AG944" t="str">
            <v>19.1 km</v>
          </cell>
          <cell r="AH944" t="str">
            <v>27 min</v>
          </cell>
          <cell r="AI944" t="e">
            <v>#N/A</v>
          </cell>
          <cell r="AJ944">
            <v>40800</v>
          </cell>
          <cell r="AK944">
            <v>-10800</v>
          </cell>
          <cell r="AL944">
            <v>39576</v>
          </cell>
        </row>
        <row r="945">
          <cell r="T945" t="str">
            <v xml:space="preserve">YAMID LOPEZ </v>
          </cell>
          <cell r="U945"/>
          <cell r="V945">
            <v>0</v>
          </cell>
          <cell r="W945" t="str">
            <v>CERCANO</v>
          </cell>
          <cell r="X945" t="e">
            <v>#REF!</v>
          </cell>
          <cell r="Y945" t="str">
            <v>SUROCCIDENTE</v>
          </cell>
          <cell r="Z945"/>
          <cell r="AA945" t="str">
            <v>Tulua</v>
          </cell>
          <cell r="AB945" t="str">
            <v>Tulua</v>
          </cell>
          <cell r="AC945" t="str">
            <v>Cra. 34 # 26 - 40</v>
          </cell>
          <cell r="AD945"/>
          <cell r="AE945">
            <v>13095</v>
          </cell>
          <cell r="AF945">
            <v>9000</v>
          </cell>
          <cell r="AG945">
            <v>0</v>
          </cell>
          <cell r="AH945">
            <v>0</v>
          </cell>
          <cell r="AI945" t="e">
            <v>#N/A</v>
          </cell>
          <cell r="AJ945">
            <v>13500</v>
          </cell>
          <cell r="AK945">
            <v>-4500</v>
          </cell>
          <cell r="AL945">
            <v>13095</v>
          </cell>
        </row>
        <row r="946">
          <cell r="T946" t="str">
            <v xml:space="preserve">Paula Andrea Sanchez </v>
          </cell>
          <cell r="U946" t="str">
            <v>MZ 29 CS15 MONTEBONITO DOS QUEBRADAS</v>
          </cell>
          <cell r="V946" t="str">
            <v>dos quebradas</v>
          </cell>
          <cell r="W946" t="str">
            <v>INTERMUNICIPAL</v>
          </cell>
          <cell r="X946" t="e">
            <v>#REF!</v>
          </cell>
          <cell r="Y946" t="str">
            <v>SUROCCIDENTE</v>
          </cell>
          <cell r="Z946"/>
          <cell r="AA946" t="str">
            <v>PEREIRA</v>
          </cell>
          <cell r="AB946" t="str">
            <v>Pereira</v>
          </cell>
          <cell r="AC946" t="str">
            <v>Avenida Juan B. Gutierrez # 17-55.  Piso 1 Edificio Icono</v>
          </cell>
          <cell r="AD946"/>
          <cell r="AE946">
            <v>38800</v>
          </cell>
          <cell r="AF946">
            <v>32000</v>
          </cell>
          <cell r="AG946">
            <v>0</v>
          </cell>
          <cell r="AH946">
            <v>0</v>
          </cell>
          <cell r="AI946" t="e">
            <v>#N/A</v>
          </cell>
          <cell r="AJ946">
            <v>27000</v>
          </cell>
          <cell r="AK946">
            <v>5000</v>
          </cell>
          <cell r="AL946">
            <v>26190</v>
          </cell>
        </row>
        <row r="947">
          <cell r="T947" t="str">
            <v xml:space="preserve">Jhon Fredi Hincapie </v>
          </cell>
          <cell r="U947"/>
          <cell r="V947">
            <v>0</v>
          </cell>
          <cell r="W947" t="str">
            <v>CERCANO</v>
          </cell>
          <cell r="X947" t="e">
            <v>#REF!</v>
          </cell>
          <cell r="Y947" t="str">
            <v>SUROCCIDENTE</v>
          </cell>
          <cell r="Z947"/>
          <cell r="AA947" t="str">
            <v>Tulua</v>
          </cell>
          <cell r="AB947" t="str">
            <v>Tulua</v>
          </cell>
          <cell r="AC947" t="str">
            <v>Cra. 34 # 26 - 40</v>
          </cell>
          <cell r="AD947"/>
          <cell r="AE947">
            <v>13095</v>
          </cell>
          <cell r="AF947">
            <v>9000</v>
          </cell>
          <cell r="AG947">
            <v>0</v>
          </cell>
          <cell r="AH947">
            <v>0</v>
          </cell>
          <cell r="AI947" t="e">
            <v>#N/A</v>
          </cell>
          <cell r="AJ947">
            <v>13500</v>
          </cell>
          <cell r="AK947">
            <v>-4500</v>
          </cell>
          <cell r="AL947">
            <v>13095</v>
          </cell>
        </row>
        <row r="948">
          <cell r="T948" t="str">
            <v>ALEXANDER HUMBERTO ORTIZ ROSAS</v>
          </cell>
          <cell r="U948" t="str">
            <v xml:space="preserve">MANZANA 18 CASA 16 CAMPESTRE D </v>
          </cell>
          <cell r="V948" t="str">
            <v>dos quebradas</v>
          </cell>
          <cell r="W948" t="str">
            <v>INTERMUNICIPAL</v>
          </cell>
          <cell r="X948">
            <v>3015642664</v>
          </cell>
          <cell r="Y948" t="str">
            <v>SUROCCIDENTE</v>
          </cell>
          <cell r="Z948"/>
          <cell r="AA948" t="str">
            <v>PEREIRA</v>
          </cell>
          <cell r="AB948" t="str">
            <v>Pereira</v>
          </cell>
          <cell r="AC948" t="str">
            <v>Avenida Juan B. Gutierrez # 17-55.  Piso 1 Edificio Icono</v>
          </cell>
          <cell r="AD948"/>
          <cell r="AE948">
            <v>38800</v>
          </cell>
          <cell r="AF948">
            <v>32000</v>
          </cell>
          <cell r="AG948">
            <v>0</v>
          </cell>
          <cell r="AH948">
            <v>0</v>
          </cell>
          <cell r="AI948" t="e">
            <v>#N/A</v>
          </cell>
          <cell r="AJ948">
            <v>27000</v>
          </cell>
          <cell r="AK948">
            <v>5000</v>
          </cell>
          <cell r="AL948">
            <v>26190</v>
          </cell>
        </row>
        <row r="949">
          <cell r="T949" t="str">
            <v xml:space="preserve">Edwinfg Ortiz </v>
          </cell>
          <cell r="U949" t="str">
            <v>diagonal 25 A número 22 A 47 Riviera del lago</v>
          </cell>
          <cell r="V949" t="str">
            <v>riviera el lago</v>
          </cell>
          <cell r="W949" t="str">
            <v>CERCANO</v>
          </cell>
          <cell r="X949" t="e">
            <v>#REF!</v>
          </cell>
          <cell r="Y949" t="str">
            <v>NORTE</v>
          </cell>
          <cell r="Z949"/>
          <cell r="AA949" t="str">
            <v>Santa Marta</v>
          </cell>
          <cell r="AB949" t="str">
            <v>Santa Marta</v>
          </cell>
          <cell r="AC949" t="str">
            <v>Cra.  19 # 11C - 66</v>
          </cell>
          <cell r="AD949"/>
          <cell r="AE949">
            <v>13095</v>
          </cell>
          <cell r="AF949">
            <v>9000</v>
          </cell>
          <cell r="AG949">
            <v>1</v>
          </cell>
          <cell r="AH949">
            <v>4</v>
          </cell>
          <cell r="AI949" t="e">
            <v>#N/A</v>
          </cell>
          <cell r="AJ949">
            <v>13500</v>
          </cell>
          <cell r="AK949">
            <v>-4500</v>
          </cell>
          <cell r="AL949">
            <v>13095</v>
          </cell>
        </row>
        <row r="950">
          <cell r="T950" t="str">
            <v xml:space="preserve">Lady </v>
          </cell>
          <cell r="U950" t="str">
            <v xml:space="preserve">Calle 41a # 25-68 </v>
          </cell>
          <cell r="V950">
            <v>0</v>
          </cell>
          <cell r="W950" t="str">
            <v>CERCANO</v>
          </cell>
          <cell r="X950" t="e">
            <v>#REF!</v>
          </cell>
          <cell r="Y950" t="str">
            <v>SUROCCIDENTE</v>
          </cell>
          <cell r="Z950"/>
          <cell r="AA950" t="str">
            <v>Tulua</v>
          </cell>
          <cell r="AB950" t="str">
            <v>Tulua</v>
          </cell>
          <cell r="AC950" t="str">
            <v>Cra. 34 # 26 - 40</v>
          </cell>
          <cell r="AD950"/>
          <cell r="AE950">
            <v>13095</v>
          </cell>
          <cell r="AF950">
            <v>9000</v>
          </cell>
          <cell r="AG950">
            <v>2</v>
          </cell>
          <cell r="AH950">
            <v>7</v>
          </cell>
          <cell r="AI950" t="e">
            <v>#N/A</v>
          </cell>
          <cell r="AJ950">
            <v>13500</v>
          </cell>
          <cell r="AK950">
            <v>-4500</v>
          </cell>
          <cell r="AL950">
            <v>13095</v>
          </cell>
        </row>
        <row r="951">
          <cell r="T951" t="str">
            <v xml:space="preserve">YAMID LOPEZ </v>
          </cell>
          <cell r="U951"/>
          <cell r="V951">
            <v>0</v>
          </cell>
          <cell r="W951" t="str">
            <v>CERCANO</v>
          </cell>
          <cell r="X951" t="e">
            <v>#REF!</v>
          </cell>
          <cell r="Y951" t="str">
            <v>SUROCCIDENTE</v>
          </cell>
          <cell r="Z951"/>
          <cell r="AA951" t="str">
            <v>Tulua</v>
          </cell>
          <cell r="AB951" t="str">
            <v>Tulua</v>
          </cell>
          <cell r="AC951" t="str">
            <v>Cra. 34 # 26 - 40</v>
          </cell>
          <cell r="AD951"/>
          <cell r="AE951">
            <v>13095</v>
          </cell>
          <cell r="AF951">
            <v>9000</v>
          </cell>
          <cell r="AG951">
            <v>0</v>
          </cell>
          <cell r="AH951">
            <v>0</v>
          </cell>
          <cell r="AI951" t="e">
            <v>#N/A</v>
          </cell>
          <cell r="AJ951">
            <v>13500</v>
          </cell>
          <cell r="AK951">
            <v>-4500</v>
          </cell>
          <cell r="AL951">
            <v>13095</v>
          </cell>
        </row>
        <row r="952">
          <cell r="T952" t="str">
            <v xml:space="preserve">ROSA EDILIA CRUZ </v>
          </cell>
          <cell r="U952" t="str">
            <v xml:space="preserve">MANZANA 18 CASA 16 CAMPESTRE D </v>
          </cell>
          <cell r="V952" t="str">
            <v>dos quebradas</v>
          </cell>
          <cell r="W952" t="str">
            <v>INTERMUNICIPAL</v>
          </cell>
          <cell r="X952" t="e">
            <v>#REF!</v>
          </cell>
          <cell r="Y952" t="str">
            <v>SUROCCIDENTE</v>
          </cell>
          <cell r="Z952"/>
          <cell r="AA952" t="str">
            <v>PEREIRA</v>
          </cell>
          <cell r="AB952" t="str">
            <v>Pereira</v>
          </cell>
          <cell r="AC952" t="str">
            <v>Avenida Juan B. Gutierrez # 17-55.  Piso 1 Edificio Icono</v>
          </cell>
          <cell r="AD952"/>
          <cell r="AE952">
            <v>38800</v>
          </cell>
          <cell r="AF952">
            <v>32000</v>
          </cell>
          <cell r="AG952">
            <v>0</v>
          </cell>
          <cell r="AH952">
            <v>0</v>
          </cell>
          <cell r="AI952" t="e">
            <v>#N/A</v>
          </cell>
          <cell r="AJ952">
            <v>27000</v>
          </cell>
          <cell r="AK952">
            <v>5000</v>
          </cell>
          <cell r="AL952">
            <v>26190</v>
          </cell>
        </row>
        <row r="953">
          <cell r="T953" t="str">
            <v xml:space="preserve">Lady SUarez </v>
          </cell>
          <cell r="U953" t="str">
            <v xml:space="preserve">Calle 41a # 25-68 </v>
          </cell>
          <cell r="V953">
            <v>0</v>
          </cell>
          <cell r="W953" t="str">
            <v>CERCANO</v>
          </cell>
          <cell r="X953" t="e">
            <v>#REF!</v>
          </cell>
          <cell r="Y953" t="str">
            <v>SUROCCIDENTE</v>
          </cell>
          <cell r="Z953"/>
          <cell r="AA953" t="str">
            <v>Tulua</v>
          </cell>
          <cell r="AB953" t="str">
            <v>Tulua</v>
          </cell>
          <cell r="AC953" t="str">
            <v>Cra. 34 # 26 - 40</v>
          </cell>
          <cell r="AD953"/>
          <cell r="AE953">
            <v>13095</v>
          </cell>
          <cell r="AF953">
            <v>9000</v>
          </cell>
          <cell r="AG953">
            <v>7</v>
          </cell>
          <cell r="AH953">
            <v>0</v>
          </cell>
          <cell r="AI953" t="e">
            <v>#N/A</v>
          </cell>
          <cell r="AJ953">
            <v>13500</v>
          </cell>
          <cell r="AK953">
            <v>-4500</v>
          </cell>
          <cell r="AL953">
            <v>13095</v>
          </cell>
        </row>
        <row r="954">
          <cell r="T954" t="str">
            <v xml:space="preserve">Diana Caraballo </v>
          </cell>
          <cell r="U954" t="str">
            <v>socorro mza 26 lote 1</v>
          </cell>
          <cell r="V954" t="str">
            <v>lote 1</v>
          </cell>
          <cell r="W954" t="str">
            <v>CERCANO</v>
          </cell>
          <cell r="X954" t="e">
            <v>#REF!</v>
          </cell>
          <cell r="Y954" t="str">
            <v>NORTE</v>
          </cell>
          <cell r="Z954"/>
          <cell r="AA954" t="str">
            <v>CARTAGENA</v>
          </cell>
          <cell r="AB954" t="str">
            <v>Cartagena</v>
          </cell>
          <cell r="AC954" t="str">
            <v>Barrio La Plazuela Carrera 71 # 29 - 236 CC shoping center La plazuela local 16</v>
          </cell>
          <cell r="AD954"/>
          <cell r="AE954">
            <v>13095</v>
          </cell>
          <cell r="AF954">
            <v>9000</v>
          </cell>
          <cell r="AG954">
            <v>1.5</v>
          </cell>
          <cell r="AH954">
            <v>5</v>
          </cell>
          <cell r="AI954" t="e">
            <v>#N/A</v>
          </cell>
          <cell r="AJ954">
            <v>13500</v>
          </cell>
          <cell r="AK954">
            <v>-4500</v>
          </cell>
          <cell r="AL954">
            <v>13095</v>
          </cell>
        </row>
        <row r="955">
          <cell r="T955" t="str">
            <v>Grace liliana suarez mogollon</v>
          </cell>
          <cell r="U955" t="str">
            <v>carrera 56 # 85-31 torre 8 apt 432</v>
          </cell>
          <cell r="V955" t="str">
            <v>hacienda san juan</v>
          </cell>
          <cell r="W955" t="str">
            <v>CERCANO</v>
          </cell>
          <cell r="X955">
            <v>3214758937</v>
          </cell>
          <cell r="Y955" t="str">
            <v>NORTE</v>
          </cell>
          <cell r="Z955"/>
          <cell r="AA955" t="str">
            <v>Bucaramanga</v>
          </cell>
          <cell r="AB955" t="str">
            <v>Cabecera</v>
          </cell>
          <cell r="AC955" t="str">
            <v>Cll.  54 #  33-45 piso 1</v>
          </cell>
          <cell r="AD955"/>
          <cell r="AE955">
            <v>13095</v>
          </cell>
          <cell r="AF955">
            <v>9000</v>
          </cell>
          <cell r="AG955" t="str">
            <v>7 km</v>
          </cell>
          <cell r="AH955" t="str">
            <v>8 min</v>
          </cell>
          <cell r="AI955" t="e">
            <v>#N/A</v>
          </cell>
          <cell r="AJ955">
            <v>13500</v>
          </cell>
          <cell r="AK955">
            <v>-4500</v>
          </cell>
          <cell r="AL955">
            <v>13095</v>
          </cell>
        </row>
        <row r="956">
          <cell r="T956" t="str">
            <v>SANDRA GAITAN</v>
          </cell>
          <cell r="U956" t="str">
            <v>CRA 34 # 34 - 17</v>
          </cell>
          <cell r="V956" t="str">
            <v>REPETIDA</v>
          </cell>
          <cell r="W956" t="str">
            <v>CERCANO</v>
          </cell>
          <cell r="X956" t="e">
            <v>#REF!</v>
          </cell>
          <cell r="Y956" t="str">
            <v>NORTE</v>
          </cell>
          <cell r="Z956"/>
          <cell r="AA956" t="str">
            <v>Bucaramanga</v>
          </cell>
          <cell r="AB956" t="str">
            <v>Cabecera</v>
          </cell>
          <cell r="AC956" t="str">
            <v>Cll.  54 #  33-45 piso 1</v>
          </cell>
          <cell r="AD956"/>
          <cell r="AE956">
            <v>13095</v>
          </cell>
          <cell r="AF956">
            <v>9000</v>
          </cell>
          <cell r="AG956">
            <v>0</v>
          </cell>
          <cell r="AH956">
            <v>0</v>
          </cell>
          <cell r="AI956" t="e">
            <v>#N/A</v>
          </cell>
          <cell r="AJ956">
            <v>13500</v>
          </cell>
          <cell r="AK956">
            <v>-4500</v>
          </cell>
          <cell r="AL956">
            <v>13095</v>
          </cell>
        </row>
        <row r="957">
          <cell r="T957" t="str">
            <v>Luz Islenia Sandoval</v>
          </cell>
          <cell r="U957" t="str">
            <v>CONJUNTO PARQUE LA CIGARRAS</v>
          </cell>
          <cell r="V957" t="str">
            <v>las cigarras</v>
          </cell>
          <cell r="W957" t="str">
            <v>CERCANO</v>
          </cell>
          <cell r="X957" t="e">
            <v>#REF!</v>
          </cell>
          <cell r="Y957" t="str">
            <v>NORTE</v>
          </cell>
          <cell r="Z957"/>
          <cell r="AA957" t="str">
            <v>Bucaramanga</v>
          </cell>
          <cell r="AB957" t="str">
            <v>Cabecera</v>
          </cell>
          <cell r="AC957" t="str">
            <v>Cll.  54 #  33-45 piso 1</v>
          </cell>
          <cell r="AD957"/>
          <cell r="AE957">
            <v>13095</v>
          </cell>
          <cell r="AF957">
            <v>9000</v>
          </cell>
          <cell r="AG957" t="str">
            <v>6 km</v>
          </cell>
          <cell r="AH957" t="str">
            <v>10 min</v>
          </cell>
          <cell r="AI957" t="e">
            <v>#N/A</v>
          </cell>
          <cell r="AJ957">
            <v>13500</v>
          </cell>
          <cell r="AK957">
            <v>-4500</v>
          </cell>
          <cell r="AL957">
            <v>13095</v>
          </cell>
        </row>
        <row r="958">
          <cell r="T958" t="str">
            <v>KAREN LOZANO</v>
          </cell>
          <cell r="U958" t="str">
            <v>MZ 23 CASA 15 ALTOS DEL PEÑON</v>
          </cell>
          <cell r="V958" t="str">
            <v>Altos del Peñon</v>
          </cell>
          <cell r="W958" t="str">
            <v>CERCANO</v>
          </cell>
          <cell r="X958" t="e">
            <v>#REF!</v>
          </cell>
          <cell r="Y958" t="str">
            <v>CENTRO</v>
          </cell>
          <cell r="Z958"/>
          <cell r="AA958" t="str">
            <v>Girardot</v>
          </cell>
          <cell r="AB958" t="str">
            <v>Girardot</v>
          </cell>
          <cell r="AC958" t="str">
            <v>Cra. 7 A # 31 - 54 Barrio La Magdalena</v>
          </cell>
          <cell r="AD958"/>
          <cell r="AE958">
            <v>13095</v>
          </cell>
          <cell r="AF958">
            <v>9000</v>
          </cell>
          <cell r="AG958">
            <v>2</v>
          </cell>
          <cell r="AH958">
            <v>5</v>
          </cell>
          <cell r="AI958" t="e">
            <v>#N/A</v>
          </cell>
          <cell r="AJ958">
            <v>13500</v>
          </cell>
          <cell r="AK958">
            <v>-4500</v>
          </cell>
          <cell r="AL958">
            <v>13095</v>
          </cell>
        </row>
        <row r="959">
          <cell r="T959" t="str">
            <v>JUAN DOMINGUEZ</v>
          </cell>
          <cell r="U959" t="str">
            <v>Calle 15 # 15b - 41</v>
          </cell>
          <cell r="V959">
            <v>0</v>
          </cell>
          <cell r="W959" t="str">
            <v>CERCANO</v>
          </cell>
          <cell r="X959" t="e">
            <v>#REF!</v>
          </cell>
          <cell r="Y959" t="str">
            <v>NORTE</v>
          </cell>
          <cell r="Z959"/>
          <cell r="AA959" t="str">
            <v>Barranquilla</v>
          </cell>
          <cell r="AB959" t="str">
            <v>Unirenal</v>
          </cell>
          <cell r="AC959" t="str">
            <v>Cll.  70B # 38-152</v>
          </cell>
          <cell r="AD959"/>
          <cell r="AE959">
            <v>13095</v>
          </cell>
          <cell r="AF959">
            <v>9000</v>
          </cell>
          <cell r="AG959">
            <v>7</v>
          </cell>
          <cell r="AH959">
            <v>15</v>
          </cell>
          <cell r="AI959" t="e">
            <v>#N/A</v>
          </cell>
          <cell r="AJ959">
            <v>13500</v>
          </cell>
          <cell r="AK959">
            <v>-4500</v>
          </cell>
          <cell r="AL959">
            <v>13095</v>
          </cell>
        </row>
        <row r="960">
          <cell r="T960" t="str">
            <v>Gustavo sierra Martines</v>
          </cell>
          <cell r="U960" t="str">
            <v xml:space="preserve">cra 7H No.159b 33 </v>
          </cell>
          <cell r="V960" t="str">
            <v>alta blanca</v>
          </cell>
          <cell r="W960" t="str">
            <v>CERCANO</v>
          </cell>
          <cell r="X960" t="e">
            <v>#REF!</v>
          </cell>
          <cell r="Y960" t="str">
            <v>CENTRO</v>
          </cell>
          <cell r="Z960"/>
          <cell r="AA960" t="str">
            <v>Bogota</v>
          </cell>
          <cell r="AB960" t="str">
            <v>Horizonte</v>
          </cell>
          <cell r="AC960" t="str">
            <v>Av. Cll 134 # 7b- 83 Edificio el Bosque piso 2 Consultorio 2018</v>
          </cell>
          <cell r="AD960"/>
          <cell r="AE960">
            <v>13095</v>
          </cell>
          <cell r="AF960">
            <v>8000</v>
          </cell>
          <cell r="AG960">
            <v>4</v>
          </cell>
          <cell r="AH960">
            <v>8</v>
          </cell>
          <cell r="AI960" t="e">
            <v>#N/A</v>
          </cell>
          <cell r="AJ960">
            <v>13500</v>
          </cell>
          <cell r="AK960">
            <v>-5500</v>
          </cell>
          <cell r="AL960">
            <v>13095</v>
          </cell>
        </row>
        <row r="961">
          <cell r="T961" t="str">
            <v>Lorena Acosta</v>
          </cell>
          <cell r="U961" t="str">
            <v xml:space="preserve">calle 129 bis No 95 B 13 suba rincon </v>
          </cell>
          <cell r="V961" t="str">
            <v>suba rincon</v>
          </cell>
          <cell r="W961" t="str">
            <v>LEJANO</v>
          </cell>
          <cell r="X961" t="e">
            <v>#REF!</v>
          </cell>
          <cell r="Y961" t="str">
            <v>CENTRO</v>
          </cell>
          <cell r="Z961"/>
          <cell r="AA961" t="str">
            <v>BOGOTÁ</v>
          </cell>
          <cell r="AB961" t="str">
            <v>Occidente</v>
          </cell>
          <cell r="AC961" t="str">
            <v>Calle 5C No. 71C - 29 Torre B Piso 2 
Edificio Servicios Ambulatorios</v>
          </cell>
          <cell r="AD961"/>
          <cell r="AE961">
            <v>17460</v>
          </cell>
          <cell r="AF961">
            <v>12000</v>
          </cell>
          <cell r="AG961">
            <v>16</v>
          </cell>
          <cell r="AH961">
            <v>25</v>
          </cell>
          <cell r="AI961" t="e">
            <v>#N/A</v>
          </cell>
          <cell r="AJ961">
            <v>18000</v>
          </cell>
          <cell r="AK961">
            <v>-6000</v>
          </cell>
          <cell r="AL961">
            <v>17460</v>
          </cell>
        </row>
        <row r="962">
          <cell r="T962" t="str">
            <v xml:space="preserve">HENRY ESPINEL </v>
          </cell>
          <cell r="U962" t="str">
            <v xml:space="preserve">CRA 6 N 183 - 80 CASA 35 conjunto Colina del norte </v>
          </cell>
          <cell r="V962" t="str">
            <v>colina del norte</v>
          </cell>
          <cell r="W962" t="str">
            <v>CERCANO</v>
          </cell>
          <cell r="X962" t="e">
            <v>#REF!</v>
          </cell>
          <cell r="Y962" t="str">
            <v>CENTRO</v>
          </cell>
          <cell r="Z962"/>
          <cell r="AA962" t="str">
            <v>Bogota</v>
          </cell>
          <cell r="AB962" t="str">
            <v>Fmexpress Bogotá</v>
          </cell>
          <cell r="AC962" t="str">
            <v>BOGOTA CLL 161 # 7G-36</v>
          </cell>
          <cell r="AD962"/>
          <cell r="AE962">
            <v>13095</v>
          </cell>
          <cell r="AF962">
            <v>8000</v>
          </cell>
          <cell r="AG962">
            <v>4</v>
          </cell>
          <cell r="AH962">
            <v>8</v>
          </cell>
          <cell r="AI962" t="e">
            <v>#N/A</v>
          </cell>
          <cell r="AJ962">
            <v>13500</v>
          </cell>
          <cell r="AK962">
            <v>-5500</v>
          </cell>
          <cell r="AL962">
            <v>13095</v>
          </cell>
        </row>
        <row r="963">
          <cell r="T963" t="str">
            <v>JORGE CRUZ</v>
          </cell>
          <cell r="U963" t="str">
            <v>CALLE 1D BIS N 26-32</v>
          </cell>
          <cell r="V963" t="str">
            <v>Santa isabel</v>
          </cell>
          <cell r="W963" t="str">
            <v>LEJANO</v>
          </cell>
          <cell r="X963" t="e">
            <v>#REF!</v>
          </cell>
          <cell r="Y963" t="str">
            <v>CENTRO</v>
          </cell>
          <cell r="Z963"/>
          <cell r="AA963" t="str">
            <v>Bogota</v>
          </cell>
          <cell r="AB963" t="str">
            <v>Fmexpress Bogotá</v>
          </cell>
          <cell r="AC963" t="str">
            <v>BOGOTA CLL 161 # 7G-36</v>
          </cell>
          <cell r="AD963"/>
          <cell r="AE963">
            <v>29100</v>
          </cell>
          <cell r="AF963">
            <v>22000</v>
          </cell>
          <cell r="AG963">
            <v>23</v>
          </cell>
          <cell r="AH963">
            <v>52</v>
          </cell>
          <cell r="AI963" t="e">
            <v>#N/A</v>
          </cell>
          <cell r="AJ963">
            <v>30000</v>
          </cell>
          <cell r="AK963">
            <v>-8000</v>
          </cell>
          <cell r="AL963">
            <v>29100</v>
          </cell>
        </row>
        <row r="964">
          <cell r="T964" t="str">
            <v>MIRLEYS PATRICIA RAMIREZ</v>
          </cell>
          <cell r="U964" t="str">
            <v>Cra 19d 1 # 12 - 29 Garupal 2 etapa</v>
          </cell>
          <cell r="V964" t="str">
            <v>Garupal etapa 2</v>
          </cell>
          <cell r="W964" t="str">
            <v>CERCANO</v>
          </cell>
          <cell r="X964" t="e">
            <v>#REF!</v>
          </cell>
          <cell r="Y964" t="str">
            <v>NORTE</v>
          </cell>
          <cell r="Z964"/>
          <cell r="AA964" t="str">
            <v>Valledupar</v>
          </cell>
          <cell r="AB964" t="str">
            <v>Valledupar</v>
          </cell>
          <cell r="AC964" t="str">
            <v>Carrera 7A # 28-62
Barrio 12 de Octubre</v>
          </cell>
          <cell r="AD964"/>
          <cell r="AE964">
            <v>13095</v>
          </cell>
          <cell r="AF964">
            <v>9000</v>
          </cell>
          <cell r="AG964" t="str">
            <v>3.9 km</v>
          </cell>
          <cell r="AH964" t="str">
            <v>9 min</v>
          </cell>
          <cell r="AI964" t="e">
            <v>#N/A</v>
          </cell>
          <cell r="AJ964">
            <v>13500</v>
          </cell>
          <cell r="AK964">
            <v>-4500</v>
          </cell>
          <cell r="AL964">
            <v>13095</v>
          </cell>
        </row>
        <row r="965">
          <cell r="T965" t="str">
            <v>JHON LOPEZ</v>
          </cell>
          <cell r="U965" t="str">
            <v>calle 60c #13-94</v>
          </cell>
          <cell r="V965" t="str">
            <v>Nuevo Milenio-soledad</v>
          </cell>
          <cell r="W965" t="str">
            <v>INTERMUNICIPAL</v>
          </cell>
          <cell r="X965" t="e">
            <v>#REF!</v>
          </cell>
          <cell r="Y965" t="str">
            <v>NORTE</v>
          </cell>
          <cell r="Z965"/>
          <cell r="AA965" t="str">
            <v>Barranquilla</v>
          </cell>
          <cell r="AB965" t="str">
            <v>Murillo</v>
          </cell>
          <cell r="AC965" t="str">
            <v>Calle 45 # 9B - 08
Barrio La Victoria</v>
          </cell>
          <cell r="AD965"/>
          <cell r="AE965">
            <v>39285</v>
          </cell>
          <cell r="AF965">
            <v>30000</v>
          </cell>
          <cell r="AG965" t="str">
            <v>12 km</v>
          </cell>
          <cell r="AH965" t="str">
            <v>23 min</v>
          </cell>
          <cell r="AI965" t="e">
            <v>#N/A</v>
          </cell>
          <cell r="AJ965">
            <v>40500</v>
          </cell>
          <cell r="AK965">
            <v>-10500</v>
          </cell>
          <cell r="AL965">
            <v>39285</v>
          </cell>
        </row>
        <row r="966">
          <cell r="T966" t="str">
            <v>JEFREY CAMILO RODRIGUEZ</v>
          </cell>
          <cell r="U966" t="str">
            <v>CRA 88 N 6A-90 CONJUNTO PORTALES DE CASTILLA 3 TORRE 10 APTO 204</v>
          </cell>
          <cell r="V966" t="str">
            <v>el tintal</v>
          </cell>
          <cell r="W966" t="str">
            <v>LEJANO</v>
          </cell>
          <cell r="X966" t="e">
            <v>#REF!</v>
          </cell>
          <cell r="Y966" t="str">
            <v>CENTRO</v>
          </cell>
          <cell r="Z966"/>
          <cell r="AA966" t="str">
            <v>Bogota</v>
          </cell>
          <cell r="AB966" t="str">
            <v>Fmexpress Bogotá</v>
          </cell>
          <cell r="AC966" t="str">
            <v>BOGOTA CLL 161 # 7G-36</v>
          </cell>
          <cell r="AD966"/>
          <cell r="AE966">
            <v>19400</v>
          </cell>
          <cell r="AF966">
            <v>12000</v>
          </cell>
          <cell r="AG966">
            <v>11</v>
          </cell>
          <cell r="AH966">
            <v>22</v>
          </cell>
          <cell r="AI966" t="e">
            <v>#N/A</v>
          </cell>
          <cell r="AJ966">
            <v>20000</v>
          </cell>
          <cell r="AK966">
            <v>-8000</v>
          </cell>
          <cell r="AL966">
            <v>19400</v>
          </cell>
        </row>
        <row r="967">
          <cell r="T967" t="str">
            <v xml:space="preserve">Mirian Adriana Gutierrez </v>
          </cell>
          <cell r="U967" t="str">
            <v>Calle 83 # 93C 15 apto 108 Bachue</v>
          </cell>
          <cell r="V967" t="str">
            <v xml:space="preserve">bachue- quirigua </v>
          </cell>
          <cell r="W967" t="str">
            <v>LEJANO</v>
          </cell>
          <cell r="X967" t="e">
            <v>#REF!</v>
          </cell>
          <cell r="Y967" t="str">
            <v>CENTRO</v>
          </cell>
          <cell r="Z967"/>
          <cell r="AA967" t="str">
            <v>Bogota</v>
          </cell>
          <cell r="AB967" t="str">
            <v>Horizonte</v>
          </cell>
          <cell r="AC967" t="str">
            <v>Av. Cll 134 # 7b- 83 Edificio el Bosque piso 2 Consultorio 2018</v>
          </cell>
          <cell r="AD967"/>
          <cell r="AE967">
            <v>17460</v>
          </cell>
          <cell r="AF967">
            <v>12000</v>
          </cell>
          <cell r="AG967">
            <v>7</v>
          </cell>
          <cell r="AH967">
            <v>20</v>
          </cell>
          <cell r="AI967" t="e">
            <v>#N/A</v>
          </cell>
          <cell r="AJ967">
            <v>18000</v>
          </cell>
          <cell r="AK967">
            <v>-6000</v>
          </cell>
          <cell r="AL967">
            <v>17460</v>
          </cell>
        </row>
        <row r="968">
          <cell r="T968" t="str">
            <v>YURY RIVERA</v>
          </cell>
          <cell r="U968" t="str">
            <v xml:space="preserve">CRA 9 N 81 B- 27 SUR </v>
          </cell>
          <cell r="V968" t="str">
            <v>yomasa</v>
          </cell>
          <cell r="W968" t="str">
            <v>LEJANO</v>
          </cell>
          <cell r="X968" t="e">
            <v>#REF!</v>
          </cell>
          <cell r="Y968" t="str">
            <v>CENTRO</v>
          </cell>
          <cell r="Z968" t="str">
            <v>yomasa</v>
          </cell>
          <cell r="AA968" t="str">
            <v>BOGOTÁ</v>
          </cell>
          <cell r="AB968" t="str">
            <v>Occidente</v>
          </cell>
          <cell r="AC968" t="str">
            <v>Calle 5C No. 71C - 29 Torre B Piso 2 
Edificio Servicios Ambulatorios</v>
          </cell>
          <cell r="AD968"/>
          <cell r="AE968">
            <v>17460</v>
          </cell>
          <cell r="AF968">
            <v>12000</v>
          </cell>
          <cell r="AG968">
            <v>12</v>
          </cell>
          <cell r="AH968">
            <v>23</v>
          </cell>
          <cell r="AI968" t="e">
            <v>#N/A</v>
          </cell>
          <cell r="AJ968">
            <v>18000</v>
          </cell>
          <cell r="AK968">
            <v>-6000</v>
          </cell>
          <cell r="AL968">
            <v>17460</v>
          </cell>
        </row>
        <row r="969">
          <cell r="T969" t="str">
            <v xml:space="preserve">INGRID SANCHEZ </v>
          </cell>
          <cell r="U969" t="str">
            <v xml:space="preserve">CARRERA 8 # 88 B - 14 SUR </v>
          </cell>
          <cell r="V969" t="str">
            <v xml:space="preserve">Chuniza </v>
          </cell>
          <cell r="W969" t="str">
            <v>LEJANO</v>
          </cell>
          <cell r="X969" t="e">
            <v>#REF!</v>
          </cell>
          <cell r="Y969" t="str">
            <v>CENTRO</v>
          </cell>
          <cell r="Z969"/>
          <cell r="AA969" t="str">
            <v>Bogota</v>
          </cell>
          <cell r="AB969" t="str">
            <v>Horizonte</v>
          </cell>
          <cell r="AC969" t="str">
            <v>Av. Cll 134 # 7b- 83 Edificio el Bosque piso 2 Consultorio 2018</v>
          </cell>
          <cell r="AD969"/>
          <cell r="AE969">
            <v>29100</v>
          </cell>
          <cell r="AF969">
            <v>22000</v>
          </cell>
          <cell r="AG969">
            <v>16</v>
          </cell>
          <cell r="AH969">
            <v>30</v>
          </cell>
          <cell r="AI969" t="e">
            <v>#N/A</v>
          </cell>
          <cell r="AJ969">
            <v>30000</v>
          </cell>
          <cell r="AK969">
            <v>-8000</v>
          </cell>
          <cell r="AL969">
            <v>29100</v>
          </cell>
        </row>
        <row r="970">
          <cell r="T970" t="str">
            <v>Dunia Linero Niebles</v>
          </cell>
          <cell r="U970" t="str">
            <v>calle 32a #65-28 Belen Fátima</v>
          </cell>
          <cell r="V970" t="str">
            <v>belen fatima</v>
          </cell>
          <cell r="W970" t="str">
            <v>CERCANO</v>
          </cell>
          <cell r="X970" t="e">
            <v>#REF!</v>
          </cell>
          <cell r="Y970" t="str">
            <v>SUROCCIDENTE</v>
          </cell>
          <cell r="Z970"/>
          <cell r="AA970" t="str">
            <v xml:space="preserve">Medellin </v>
          </cell>
          <cell r="AB970" t="str">
            <v>Belen</v>
          </cell>
          <cell r="AC970" t="str">
            <v>Cra 65B No. 30  - 95 Torre médica, piso 5</v>
          </cell>
          <cell r="AD970"/>
          <cell r="AE970">
            <v>13095</v>
          </cell>
          <cell r="AF970">
            <v>9000</v>
          </cell>
          <cell r="AG970" t="str">
            <v>500 m</v>
          </cell>
          <cell r="AH970" t="str">
            <v>5 MIN</v>
          </cell>
          <cell r="AI970" t="e">
            <v>#N/A</v>
          </cell>
          <cell r="AJ970">
            <v>13500</v>
          </cell>
          <cell r="AK970">
            <v>-4500</v>
          </cell>
          <cell r="AL970">
            <v>13095</v>
          </cell>
        </row>
        <row r="971">
          <cell r="T971" t="str">
            <v>MARIA JANETH TORREZ</v>
          </cell>
          <cell r="U971" t="str">
            <v xml:space="preserve">Carrera 78c # 58p - 69 sur </v>
          </cell>
          <cell r="V971" t="str">
            <v xml:space="preserve">barrio bosa jose antonio galan </v>
          </cell>
          <cell r="W971" t="str">
            <v>LEJANO</v>
          </cell>
          <cell r="X971" t="e">
            <v>#REF!</v>
          </cell>
          <cell r="Y971" t="str">
            <v>CENTRO</v>
          </cell>
          <cell r="Z971"/>
          <cell r="AA971" t="str">
            <v>Bogota</v>
          </cell>
          <cell r="AB971" t="str">
            <v>San Jose</v>
          </cell>
          <cell r="AC971" t="str">
            <v>Cll. 10 # 18-75 piso 3</v>
          </cell>
          <cell r="AD971"/>
          <cell r="AE971">
            <v>29100</v>
          </cell>
          <cell r="AF971">
            <v>22000</v>
          </cell>
          <cell r="AG971">
            <v>14</v>
          </cell>
          <cell r="AH971">
            <v>33</v>
          </cell>
          <cell r="AI971" t="e">
            <v>#N/A</v>
          </cell>
          <cell r="AJ971">
            <v>30000</v>
          </cell>
          <cell r="AK971">
            <v>-8000</v>
          </cell>
          <cell r="AL971">
            <v>29100</v>
          </cell>
        </row>
        <row r="972">
          <cell r="T972" t="str">
            <v xml:space="preserve">PAOLA ANDREA RAMIREZ </v>
          </cell>
          <cell r="U972" t="str">
            <v>calle 138 bis # 132-21</v>
          </cell>
          <cell r="V972" t="str">
            <v>tibabuyes universal-suba</v>
          </cell>
          <cell r="W972" t="str">
            <v>LEJANO</v>
          </cell>
          <cell r="X972" t="e">
            <v>#REF!</v>
          </cell>
          <cell r="Y972" t="str">
            <v>CENTRO</v>
          </cell>
          <cell r="Z972"/>
          <cell r="AA972" t="str">
            <v>Bogota</v>
          </cell>
          <cell r="AB972" t="str">
            <v>Cruz Roja</v>
          </cell>
          <cell r="AC972" t="str">
            <v>Av. Kra  68 # 68 B-31 Bloque 1 Piso 1</v>
          </cell>
          <cell r="AD972"/>
          <cell r="AE972">
            <v>29100</v>
          </cell>
          <cell r="AF972">
            <v>22000</v>
          </cell>
          <cell r="AG972">
            <v>15</v>
          </cell>
          <cell r="AH972">
            <v>30</v>
          </cell>
          <cell r="AI972" t="e">
            <v>#N/A</v>
          </cell>
          <cell r="AJ972">
            <v>30000</v>
          </cell>
          <cell r="AK972">
            <v>-8000</v>
          </cell>
          <cell r="AL972">
            <v>29100</v>
          </cell>
        </row>
        <row r="973">
          <cell r="T973" t="str">
            <v>KAREN</v>
          </cell>
          <cell r="U973" t="str">
            <v>galapa</v>
          </cell>
          <cell r="V973" t="str">
            <v>Galapa</v>
          </cell>
          <cell r="W973" t="str">
            <v>INTERMUNICIPAL</v>
          </cell>
          <cell r="X973" t="e">
            <v>#REF!</v>
          </cell>
          <cell r="Y973" t="str">
            <v>NORTE</v>
          </cell>
          <cell r="Z973"/>
          <cell r="AA973" t="str">
            <v>Barranquilla</v>
          </cell>
          <cell r="AB973" t="str">
            <v>Riomar</v>
          </cell>
          <cell r="AC973" t="str">
            <v>Cra. 51 # 82-197</v>
          </cell>
          <cell r="AD973"/>
          <cell r="AE973">
            <v>39285</v>
          </cell>
          <cell r="AF973">
            <v>30000</v>
          </cell>
          <cell r="AG973" t="str">
            <v>16.4 km</v>
          </cell>
          <cell r="AH973" t="str">
            <v>25 min</v>
          </cell>
          <cell r="AI973" t="e">
            <v>#N/A</v>
          </cell>
          <cell r="AJ973">
            <v>40500</v>
          </cell>
          <cell r="AK973">
            <v>-10500</v>
          </cell>
          <cell r="AL973">
            <v>39285</v>
          </cell>
        </row>
        <row r="974">
          <cell r="T974" t="str">
            <v>Gledys Seguanes</v>
          </cell>
          <cell r="U974" t="str">
            <v>Calle 39 sur # 41 -46</v>
          </cell>
          <cell r="V974" t="str">
            <v>Guanteros</v>
          </cell>
          <cell r="W974" t="str">
            <v>LEJANO</v>
          </cell>
          <cell r="X974" t="e">
            <v>#REF!</v>
          </cell>
          <cell r="Y974" t="str">
            <v>SUROCCIDENTE</v>
          </cell>
          <cell r="Z974"/>
          <cell r="AA974" t="str">
            <v>Medellin</v>
          </cell>
          <cell r="AB974" t="str">
            <v>Envigado</v>
          </cell>
          <cell r="AC974" t="str">
            <v>Dg. 31 # 36 A Sur - 80</v>
          </cell>
          <cell r="AD974"/>
          <cell r="AE974">
            <v>19400</v>
          </cell>
          <cell r="AF974">
            <v>9000</v>
          </cell>
          <cell r="AG974" t="str">
            <v>13 km</v>
          </cell>
          <cell r="AH974" t="str">
            <v>20 min</v>
          </cell>
          <cell r="AI974" t="e">
            <v>#N/A</v>
          </cell>
          <cell r="AJ974">
            <v>20000</v>
          </cell>
          <cell r="AK974">
            <v>-11000</v>
          </cell>
          <cell r="AL974">
            <v>19400</v>
          </cell>
        </row>
        <row r="975">
          <cell r="T975" t="str">
            <v>LUISA FERNANDA ORTIZ GALINDO</v>
          </cell>
          <cell r="U975" t="str">
            <v>CRA 68 H N 79-74</v>
          </cell>
          <cell r="V975" t="str">
            <v xml:space="preserve">las ferias </v>
          </cell>
          <cell r="W975" t="str">
            <v>CERCANO</v>
          </cell>
          <cell r="X975" t="e">
            <v>#REF!</v>
          </cell>
          <cell r="Y975" t="str">
            <v>CENTRO</v>
          </cell>
          <cell r="Z975"/>
          <cell r="AA975" t="str">
            <v>Bogota</v>
          </cell>
          <cell r="AB975" t="str">
            <v>Dorado</v>
          </cell>
          <cell r="AC975" t="str">
            <v>Diagonal 82 Bis # 85 - 90</v>
          </cell>
          <cell r="AD975"/>
          <cell r="AE975">
            <v>13095</v>
          </cell>
          <cell r="AF975">
            <v>8000</v>
          </cell>
          <cell r="AG975">
            <v>5</v>
          </cell>
          <cell r="AH975">
            <v>15</v>
          </cell>
          <cell r="AI975" t="e">
            <v>#N/A</v>
          </cell>
          <cell r="AJ975">
            <v>13500</v>
          </cell>
          <cell r="AK975">
            <v>-5500</v>
          </cell>
          <cell r="AL975">
            <v>13095</v>
          </cell>
        </row>
        <row r="976">
          <cell r="T976" t="str">
            <v>Diana Caraballo</v>
          </cell>
          <cell r="U976" t="str">
            <v>socorro mza 26 lote 1</v>
          </cell>
          <cell r="V976">
            <v>0</v>
          </cell>
          <cell r="W976" t="str">
            <v>CERCANO</v>
          </cell>
          <cell r="X976" t="e">
            <v>#REF!</v>
          </cell>
          <cell r="Y976" t="str">
            <v>NORTE</v>
          </cell>
          <cell r="Z976"/>
          <cell r="AA976" t="str">
            <v>CARTAGENA</v>
          </cell>
          <cell r="AB976" t="str">
            <v>Cartagena</v>
          </cell>
          <cell r="AC976" t="str">
            <v>Barrio La Plazuela Carrera 71 # 29 - 236 CC shoping center La plazuela local 16</v>
          </cell>
          <cell r="AD976"/>
          <cell r="AE976">
            <v>13095</v>
          </cell>
          <cell r="AF976">
            <v>9000</v>
          </cell>
          <cell r="AG976">
            <v>0</v>
          </cell>
          <cell r="AH976">
            <v>0</v>
          </cell>
          <cell r="AI976" t="e">
            <v>#N/A</v>
          </cell>
          <cell r="AJ976">
            <v>13500</v>
          </cell>
          <cell r="AK976">
            <v>-4500</v>
          </cell>
          <cell r="AL976">
            <v>13095</v>
          </cell>
        </row>
        <row r="977">
          <cell r="T977" t="str">
            <v>Dinacella Cardenas</v>
          </cell>
          <cell r="U977" t="str">
            <v>Calle 94 # 73a -21 Castilla</v>
          </cell>
          <cell r="V977" t="str">
            <v>Castilla</v>
          </cell>
          <cell r="W977" t="str">
            <v>LEJANO</v>
          </cell>
          <cell r="X977" t="e">
            <v>#REF!</v>
          </cell>
          <cell r="Y977" t="str">
            <v>SUROCCIDENTE</v>
          </cell>
          <cell r="Z977"/>
          <cell r="AA977" t="str">
            <v>Medellin</v>
          </cell>
          <cell r="AB977" t="str">
            <v>Envigado</v>
          </cell>
          <cell r="AC977" t="str">
            <v>Dg. 31 # 36 A Sur - 80</v>
          </cell>
          <cell r="AD977"/>
          <cell r="AE977">
            <v>19400</v>
          </cell>
          <cell r="AF977">
            <v>9000</v>
          </cell>
          <cell r="AG977" t="str">
            <v>17 km</v>
          </cell>
          <cell r="AH977" t="str">
            <v>24 min</v>
          </cell>
          <cell r="AI977" t="e">
            <v>#N/A</v>
          </cell>
          <cell r="AJ977">
            <v>20000</v>
          </cell>
          <cell r="AK977">
            <v>-11000</v>
          </cell>
          <cell r="AL977">
            <v>19400</v>
          </cell>
        </row>
        <row r="978">
          <cell r="T978" t="str">
            <v>(Maritza Parra)</v>
          </cell>
          <cell r="U978" t="str">
            <v xml:space="preserve">Mz F casa 43 Urbanización Bosquez de Viscaya </v>
          </cell>
          <cell r="V978" t="str">
            <v>Bosques de Viscaya</v>
          </cell>
          <cell r="W978" t="str">
            <v>CERCANO</v>
          </cell>
          <cell r="X978" t="e">
            <v>#REF!</v>
          </cell>
          <cell r="Y978" t="str">
            <v>CENTRO</v>
          </cell>
          <cell r="Z978"/>
          <cell r="AA978" t="str">
            <v>Girardot</v>
          </cell>
          <cell r="AB978" t="str">
            <v>Girardot</v>
          </cell>
          <cell r="AC978" t="str">
            <v>Cra. 7 A # 31 - 54 Barrio La Magdalena</v>
          </cell>
          <cell r="AD978"/>
          <cell r="AE978">
            <v>13095</v>
          </cell>
          <cell r="AF978">
            <v>9000</v>
          </cell>
          <cell r="AG978" t="str">
            <v>1.9 km</v>
          </cell>
          <cell r="AH978" t="str">
            <v>6 min</v>
          </cell>
          <cell r="AI978" t="e">
            <v>#N/A</v>
          </cell>
          <cell r="AJ978">
            <v>13500</v>
          </cell>
          <cell r="AK978">
            <v>-4500</v>
          </cell>
          <cell r="AL978">
            <v>13095</v>
          </cell>
        </row>
        <row r="979">
          <cell r="T979" t="str">
            <v>OLGA</v>
          </cell>
          <cell r="U979" t="str">
            <v>Cra 16 # 58 - 19 Barrio Nueva Esperanza</v>
          </cell>
          <cell r="V979">
            <v>0</v>
          </cell>
          <cell r="W979" t="str">
            <v>LEJANO</v>
          </cell>
          <cell r="X979" t="e">
            <v>#REF!</v>
          </cell>
          <cell r="Y979" t="str">
            <v>NORTE</v>
          </cell>
          <cell r="Z979"/>
          <cell r="AA979" t="str">
            <v>Barranquilla</v>
          </cell>
          <cell r="AB979" t="str">
            <v>Riomar</v>
          </cell>
          <cell r="AC979" t="str">
            <v>Cra. 51 # 82-197</v>
          </cell>
          <cell r="AD979"/>
          <cell r="AE979">
            <v>17460</v>
          </cell>
          <cell r="AF979">
            <v>9000</v>
          </cell>
          <cell r="AG979">
            <v>5</v>
          </cell>
          <cell r="AH979">
            <v>13</v>
          </cell>
          <cell r="AI979" t="e">
            <v>#N/A</v>
          </cell>
          <cell r="AJ979">
            <v>18000</v>
          </cell>
          <cell r="AK979">
            <v>-9000</v>
          </cell>
          <cell r="AL979">
            <v>17460</v>
          </cell>
        </row>
        <row r="980">
          <cell r="T980" t="str">
            <v>ELIZABETH BELLO TEHERAN</v>
          </cell>
          <cell r="U980" t="str">
            <v>Carrera 88 f  bis   0-55, Barrio Patio Bonito</v>
          </cell>
          <cell r="V980" t="str">
            <v>patio bonita</v>
          </cell>
          <cell r="W980" t="str">
            <v>CERCANO</v>
          </cell>
          <cell r="X980" t="e">
            <v>#REF!</v>
          </cell>
          <cell r="Y980" t="str">
            <v>CENTRO</v>
          </cell>
          <cell r="Z980"/>
          <cell r="AA980" t="str">
            <v>Bogota</v>
          </cell>
          <cell r="AB980" t="str">
            <v>Fmexpress Bogotá</v>
          </cell>
          <cell r="AC980" t="str">
            <v>BOGOTA CLL 161 # 7G-36</v>
          </cell>
          <cell r="AD980"/>
          <cell r="AE980">
            <v>13095</v>
          </cell>
          <cell r="AF980">
            <v>8000</v>
          </cell>
          <cell r="AG980">
            <v>8</v>
          </cell>
          <cell r="AH980">
            <v>13</v>
          </cell>
          <cell r="AI980" t="e">
            <v>#N/A</v>
          </cell>
          <cell r="AJ980">
            <v>13500</v>
          </cell>
          <cell r="AK980">
            <v>-5500</v>
          </cell>
          <cell r="AL980">
            <v>13095</v>
          </cell>
        </row>
        <row r="981">
          <cell r="T981" t="str">
            <v>Juan Gabriel Arboleda</v>
          </cell>
          <cell r="U981" t="str">
            <v>San Antonio</v>
          </cell>
          <cell r="V981" t="str">
            <v>San Antonio de pereira</v>
          </cell>
          <cell r="W981" t="str">
            <v>CERCANO</v>
          </cell>
          <cell r="X981" t="e">
            <v>#REF!</v>
          </cell>
          <cell r="Y981" t="str">
            <v>SUROCCIDENTE</v>
          </cell>
          <cell r="Z981"/>
          <cell r="AA981" t="str">
            <v xml:space="preserve">RIONEGRO </v>
          </cell>
          <cell r="AB981" t="str">
            <v>Clinica somer</v>
          </cell>
          <cell r="AC981" t="str">
            <v>Cll. 38 # 54 A - 35 piso 4 Rionegro</v>
          </cell>
          <cell r="AD981"/>
          <cell r="AE981">
            <v>13095</v>
          </cell>
          <cell r="AF981">
            <v>9000</v>
          </cell>
          <cell r="AG981">
            <v>9</v>
          </cell>
          <cell r="AH981">
            <v>12</v>
          </cell>
          <cell r="AI981" t="e">
            <v>#N/A</v>
          </cell>
          <cell r="AJ981">
            <v>13500</v>
          </cell>
          <cell r="AK981">
            <v>-4500</v>
          </cell>
          <cell r="AL981">
            <v>13095</v>
          </cell>
        </row>
        <row r="982">
          <cell r="T982" t="str">
            <v xml:space="preserve">Paula Andrea Urrego </v>
          </cell>
          <cell r="U982"/>
          <cell r="V982" t="str">
            <v>dos quebradas</v>
          </cell>
          <cell r="W982" t="str">
            <v>INTERMUNICIPAL</v>
          </cell>
          <cell r="X982" t="e">
            <v>#REF!</v>
          </cell>
          <cell r="Y982" t="str">
            <v>SUROCCIDENTE</v>
          </cell>
          <cell r="Z982"/>
          <cell r="AA982" t="str">
            <v>PEREIRA</v>
          </cell>
          <cell r="AB982" t="str">
            <v>Pereira</v>
          </cell>
          <cell r="AC982" t="str">
            <v>Avenida Juan B. Gutierrez # 17-55.  Piso 1 Edificio Icono</v>
          </cell>
          <cell r="AD982"/>
          <cell r="AE982">
            <v>38800</v>
          </cell>
          <cell r="AF982">
            <v>32000</v>
          </cell>
          <cell r="AG982">
            <v>0</v>
          </cell>
          <cell r="AH982">
            <v>0</v>
          </cell>
          <cell r="AI982" t="e">
            <v>#N/A</v>
          </cell>
          <cell r="AJ982">
            <v>27000</v>
          </cell>
          <cell r="AK982">
            <v>5000</v>
          </cell>
          <cell r="AL982">
            <v>26190</v>
          </cell>
        </row>
        <row r="983">
          <cell r="T983" t="str">
            <v>OLGA ZARATE</v>
          </cell>
          <cell r="U983" t="str">
            <v>Cra 16 # 58 - 19 Barrio Nueva Esperanza</v>
          </cell>
          <cell r="V983">
            <v>0</v>
          </cell>
          <cell r="W983" t="str">
            <v>LEJANO</v>
          </cell>
          <cell r="X983" t="e">
            <v>#REF!</v>
          </cell>
          <cell r="Y983" t="str">
            <v>NORTE</v>
          </cell>
          <cell r="Z983"/>
          <cell r="AA983" t="str">
            <v>Barranquilla</v>
          </cell>
          <cell r="AB983" t="str">
            <v>Riomar</v>
          </cell>
          <cell r="AC983" t="str">
            <v>Cra. 51 # 82-197</v>
          </cell>
          <cell r="AD983"/>
          <cell r="AE983">
            <v>17460</v>
          </cell>
          <cell r="AF983">
            <v>9000</v>
          </cell>
          <cell r="AG983">
            <v>7</v>
          </cell>
          <cell r="AH983">
            <v>19</v>
          </cell>
          <cell r="AI983" t="e">
            <v>#N/A</v>
          </cell>
          <cell r="AJ983">
            <v>18000</v>
          </cell>
          <cell r="AK983">
            <v>-9000</v>
          </cell>
          <cell r="AL983">
            <v>17460</v>
          </cell>
        </row>
        <row r="984">
          <cell r="T984" t="str">
            <v>MARTHA QUIÑONES</v>
          </cell>
          <cell r="U984" t="str">
            <v>Calle 40 # 13 - 28</v>
          </cell>
          <cell r="V984" t="str">
            <v>El guabal</v>
          </cell>
          <cell r="W984" t="str">
            <v>CERCANO</v>
          </cell>
          <cell r="X984" t="e">
            <v>#REF!</v>
          </cell>
          <cell r="Y984" t="str">
            <v>SUROCCIDENTE</v>
          </cell>
          <cell r="Z984"/>
          <cell r="AA984" t="str">
            <v>Cali</v>
          </cell>
          <cell r="AB984" t="str">
            <v>Imbanaco</v>
          </cell>
          <cell r="AC984" t="str">
            <v>Cll. 5B 4  # 38 -123</v>
          </cell>
          <cell r="AD984"/>
          <cell r="AE984">
            <v>13095</v>
          </cell>
          <cell r="AF984">
            <v>9000</v>
          </cell>
          <cell r="AG984" t="str">
            <v>8 km</v>
          </cell>
          <cell r="AH984" t="str">
            <v>16 min</v>
          </cell>
          <cell r="AI984" t="e">
            <v>#N/A</v>
          </cell>
          <cell r="AJ984">
            <v>13500</v>
          </cell>
          <cell r="AK984">
            <v>-4500</v>
          </cell>
          <cell r="AL984">
            <v>13095</v>
          </cell>
        </row>
        <row r="985">
          <cell r="T985" t="str">
            <v>LEIDY YASMIN</v>
          </cell>
          <cell r="U985" t="str">
            <v>Calle 69 # 34 - 61 Fatima</v>
          </cell>
          <cell r="V985" t="str">
            <v>Fatima</v>
          </cell>
          <cell r="W985" t="str">
            <v>CERCANO</v>
          </cell>
          <cell r="X985" t="e">
            <v>#REF!</v>
          </cell>
          <cell r="Y985" t="str">
            <v>SUROCCIDENTE</v>
          </cell>
          <cell r="Z985"/>
          <cell r="AA985" t="str">
            <v>Manizales</v>
          </cell>
          <cell r="AB985" t="str">
            <v>Manizales</v>
          </cell>
          <cell r="AC985" t="str">
            <v>Cra. 23 # 39 - 25 Piso 2
Antiguo Edificio Clínica Manizales
(IPS Caprecom Clínica Manizales)</v>
          </cell>
          <cell r="AD985"/>
          <cell r="AE985">
            <v>13095</v>
          </cell>
          <cell r="AF985">
            <v>9000</v>
          </cell>
          <cell r="AG985" t="str">
            <v>6 km</v>
          </cell>
          <cell r="AH985" t="str">
            <v>15 min</v>
          </cell>
          <cell r="AI985" t="e">
            <v>#N/A</v>
          </cell>
          <cell r="AJ985">
            <v>13500</v>
          </cell>
          <cell r="AK985">
            <v>-4500</v>
          </cell>
          <cell r="AL985">
            <v>13095</v>
          </cell>
        </row>
        <row r="986">
          <cell r="T986" t="str">
            <v>JAZMIN</v>
          </cell>
          <cell r="U986"/>
          <cell r="V986">
            <v>0</v>
          </cell>
          <cell r="W986" t="str">
            <v>CERCANO</v>
          </cell>
          <cell r="X986" t="e">
            <v>#REF!</v>
          </cell>
          <cell r="Y986" t="str">
            <v>NORTE</v>
          </cell>
          <cell r="Z986"/>
          <cell r="AA986" t="str">
            <v>Barranquilla</v>
          </cell>
          <cell r="AB986" t="str">
            <v>Murillo</v>
          </cell>
          <cell r="AC986" t="str">
            <v>Calle 45 # 9B - 08
Barrio La Victoria</v>
          </cell>
          <cell r="AD986"/>
          <cell r="AE986">
            <v>13095</v>
          </cell>
          <cell r="AF986">
            <v>9000</v>
          </cell>
          <cell r="AG986">
            <v>0</v>
          </cell>
          <cell r="AH986">
            <v>0</v>
          </cell>
          <cell r="AI986" t="e">
            <v>#N/A</v>
          </cell>
          <cell r="AJ986">
            <v>13500</v>
          </cell>
          <cell r="AK986">
            <v>-4500</v>
          </cell>
          <cell r="AL986">
            <v>13095</v>
          </cell>
        </row>
        <row r="987">
          <cell r="T987" t="str">
            <v>Carolina Gomez</v>
          </cell>
          <cell r="U987" t="str">
            <v>El Santuario</v>
          </cell>
          <cell r="V987" t="str">
            <v>El Santuario</v>
          </cell>
          <cell r="W987" t="str">
            <v>INTERMUNICIPAL</v>
          </cell>
          <cell r="X987">
            <v>3013520801</v>
          </cell>
          <cell r="Y987" t="str">
            <v>SUROCCIDENTE</v>
          </cell>
          <cell r="Z987"/>
          <cell r="AA987" t="str">
            <v xml:space="preserve">RIONEGRO </v>
          </cell>
          <cell r="AB987" t="str">
            <v>Clinica somer</v>
          </cell>
          <cell r="AC987" t="str">
            <v>Cll. 38 # 54 A - 35 piso 4 Rionegro</v>
          </cell>
          <cell r="AD987"/>
          <cell r="AE987">
            <v>92150</v>
          </cell>
          <cell r="AF987">
            <v>85000</v>
          </cell>
          <cell r="AG987" t="str">
            <v>20 km</v>
          </cell>
          <cell r="AH987" t="str">
            <v>25 min</v>
          </cell>
          <cell r="AI987" t="e">
            <v>#N/A</v>
          </cell>
          <cell r="AJ987">
            <v>95000</v>
          </cell>
          <cell r="AK987">
            <v>-10000</v>
          </cell>
          <cell r="AL987">
            <v>92150</v>
          </cell>
        </row>
        <row r="988">
          <cell r="T988" t="str">
            <v>JHOANA ACEVEDO</v>
          </cell>
          <cell r="U988" t="str">
            <v xml:space="preserve"> Transversal 45 A  70-23 -sur</v>
          </cell>
          <cell r="V988" t="str">
            <v xml:space="preserve">VILLA ALSACIA </v>
          </cell>
          <cell r="W988"/>
          <cell r="X988">
            <v>3192960060</v>
          </cell>
          <cell r="Y988" t="str">
            <v>CENTRO</v>
          </cell>
          <cell r="Z988"/>
          <cell r="AA988" t="str">
            <v>BOGOTÁ</v>
          </cell>
          <cell r="AB988" t="str">
            <v>Occidente</v>
          </cell>
          <cell r="AC988" t="str">
            <v>Calle 5C No. 71C - 29 Torre B Piso 2 
Edificio Servicios Ambulatorios</v>
          </cell>
          <cell r="AE988"/>
          <cell r="AF988"/>
          <cell r="AG988">
            <v>4</v>
          </cell>
          <cell r="AH988">
            <v>10</v>
          </cell>
        </row>
        <row r="989">
          <cell r="T989" t="str">
            <v>RUBEN SAMUEL RINCON</v>
          </cell>
          <cell r="U989" t="str">
            <v>CARRERA 2 # 31-48, SAN MATEO SOACHA, CUMBRES DE SAN MATEO 2,CASA 50</v>
          </cell>
          <cell r="V989" t="str">
            <v>SAN MATEO</v>
          </cell>
          <cell r="W989"/>
          <cell r="X989" t="e">
            <v>#REF!</v>
          </cell>
          <cell r="Y989" t="str">
            <v>CENTRO</v>
          </cell>
          <cell r="Z989"/>
          <cell r="AA989" t="str">
            <v>Bogota</v>
          </cell>
          <cell r="AB989" t="str">
            <v>Fmexpress Bogotá</v>
          </cell>
          <cell r="AC989" t="str">
            <v>BOGOTA CLL 161 # 7G-36</v>
          </cell>
          <cell r="AE989"/>
          <cell r="AF989"/>
          <cell r="AG989">
            <v>14</v>
          </cell>
          <cell r="AH989">
            <v>25</v>
          </cell>
        </row>
        <row r="990">
          <cell r="T990" t="str">
            <v xml:space="preserve">VIVIANA VALENCIA </v>
          </cell>
          <cell r="U990" t="str">
            <v>Cra. 65 A # 32D- 46 Apto 301 Barrio Belen Fatima Edificio Martinez R.</v>
          </cell>
          <cell r="V990" t="str">
            <v xml:space="preserve">BELEN FATIMA </v>
          </cell>
          <cell r="W990"/>
          <cell r="X990">
            <v>3002755757</v>
          </cell>
          <cell r="Y990" t="str">
            <v>SUROCCIDENTE</v>
          </cell>
          <cell r="Z990"/>
          <cell r="AA990" t="str">
            <v>Medellin</v>
          </cell>
          <cell r="AB990" t="str">
            <v>Hosp. San Vicente de Paúl</v>
          </cell>
          <cell r="AC990" t="str">
            <v>Cll. 64 # 51 D - 70 HSVP</v>
          </cell>
          <cell r="AE990"/>
          <cell r="AF990"/>
          <cell r="AG990">
            <v>7</v>
          </cell>
          <cell r="AH990">
            <v>15</v>
          </cell>
        </row>
        <row r="991">
          <cell r="T991" t="str">
            <v xml:space="preserve">CRISTIAN SUAREZ </v>
          </cell>
          <cell r="U991"/>
          <cell r="V991" t="str">
            <v>suba san cayetano apto 101</v>
          </cell>
          <cell r="W991" t="str">
            <v>suba san cayetano apto 101</v>
          </cell>
          <cell r="X991" t="e">
            <v>#N/A</v>
          </cell>
          <cell r="Y991" t="str">
            <v>CENTRO</v>
          </cell>
          <cell r="Z991"/>
          <cell r="AA991" t="str">
            <v>Bogota</v>
          </cell>
          <cell r="AB991" t="str">
            <v>Fmexpress Bogotá</v>
          </cell>
          <cell r="AC991" t="str">
            <v>BOGOTA CLL 161 # 7G-36</v>
          </cell>
          <cell r="AE991"/>
          <cell r="AF991"/>
          <cell r="AG991">
            <v>12</v>
          </cell>
          <cell r="AH991">
            <v>24</v>
          </cell>
        </row>
        <row r="992">
          <cell r="T992" t="str">
            <v>Richard</v>
          </cell>
          <cell r="U992"/>
          <cell r="V992">
            <v>0</v>
          </cell>
          <cell r="W992"/>
          <cell r="X992" t="e">
            <v>#N/A</v>
          </cell>
          <cell r="Y992" t="str">
            <v>CENTRO</v>
          </cell>
          <cell r="Z992"/>
          <cell r="AA992" t="str">
            <v>Villavicencio</v>
          </cell>
          <cell r="AB992" t="str">
            <v>Villavicencio</v>
          </cell>
          <cell r="AC992" t="str">
            <v>Carrera 44C # 33B - 08 Edificio Navarro
Urbanización Los Pinos</v>
          </cell>
          <cell r="AE992"/>
          <cell r="AF992"/>
          <cell r="AG992" t="str">
            <v>13 km</v>
          </cell>
          <cell r="AH992" t="str">
            <v>6 MIN</v>
          </cell>
        </row>
        <row r="993">
          <cell r="T993" t="str">
            <v xml:space="preserve">JULIETH CÁCERES </v>
          </cell>
          <cell r="U993" t="str">
            <v>CRA 9 # 54a- 33</v>
          </cell>
          <cell r="V993" t="str">
            <v>CHAPINERO</v>
          </cell>
          <cell r="W993" t="str">
            <v>CHAPINERO</v>
          </cell>
          <cell r="X993" t="e">
            <v>#N/A</v>
          </cell>
          <cell r="Y993" t="str">
            <v>CENTRO</v>
          </cell>
          <cell r="Z993"/>
          <cell r="AA993" t="str">
            <v>BOGOTÁ</v>
          </cell>
          <cell r="AB993" t="str">
            <v>Occidente</v>
          </cell>
          <cell r="AC993" t="str">
            <v>Calle 5C No. 71C - 29 Torre B Piso 2 
Edificio Servicios Ambulatorios</v>
          </cell>
          <cell r="AE993"/>
          <cell r="AF993"/>
          <cell r="AG993">
            <v>14</v>
          </cell>
          <cell r="AH993">
            <v>25</v>
          </cell>
        </row>
        <row r="994">
          <cell r="T994" t="str">
            <v xml:space="preserve">CINDY LIZETH ESCALANTE FLORES </v>
          </cell>
          <cell r="U994" t="str">
            <v>Calle 41ABis SUR #81 D-56</v>
          </cell>
          <cell r="V994" t="str">
            <v>KENEDY</v>
          </cell>
          <cell r="W994" t="str">
            <v>KENEDY</v>
          </cell>
          <cell r="X994">
            <v>3214073959</v>
          </cell>
          <cell r="Y994" t="str">
            <v>CENTRO</v>
          </cell>
          <cell r="Z994"/>
          <cell r="AA994" t="str">
            <v>Bogota</v>
          </cell>
          <cell r="AB994" t="str">
            <v>San Jose</v>
          </cell>
          <cell r="AC994" t="str">
            <v>Cll. 10 # 18-75 piso 3</v>
          </cell>
          <cell r="AE994"/>
          <cell r="AF994"/>
          <cell r="AG994">
            <v>11</v>
          </cell>
          <cell r="AH994">
            <v>21</v>
          </cell>
        </row>
        <row r="995">
          <cell r="T995" t="str">
            <v>JEFFERSON VIDAL</v>
          </cell>
          <cell r="U995" t="str">
            <v>Calle 72 No 15 A-26 Soledad</v>
          </cell>
          <cell r="V995" t="str">
            <v>Soledad</v>
          </cell>
          <cell r="W995" t="str">
            <v>INTERMUNICIPAL</v>
          </cell>
          <cell r="X995" t="e">
            <v>#N/A</v>
          </cell>
          <cell r="Y995" t="str">
            <v>NORTE</v>
          </cell>
          <cell r="Z995"/>
          <cell r="AA995" t="str">
            <v>Barranquilla</v>
          </cell>
          <cell r="AB995" t="str">
            <v>Riomar</v>
          </cell>
          <cell r="AC995" t="str">
            <v>Cra. 51 # 82-197</v>
          </cell>
          <cell r="AD995"/>
          <cell r="AE995">
            <v>39285</v>
          </cell>
          <cell r="AF995">
            <v>30000</v>
          </cell>
          <cell r="AG995" t="str">
            <v>14 km</v>
          </cell>
          <cell r="AH995" t="str">
            <v>26 min</v>
          </cell>
          <cell r="AI995">
            <v>45000</v>
          </cell>
          <cell r="AJ995">
            <v>40500</v>
          </cell>
          <cell r="AK995">
            <v>-10500</v>
          </cell>
          <cell r="AL995">
            <v>39285</v>
          </cell>
        </row>
        <row r="996">
          <cell r="T996" t="str">
            <v>DIANA SOFIA MONTIEL ORTIZ</v>
          </cell>
          <cell r="U996" t="str">
            <v>Conjunto Residencial Amonte Carrera 46c # 80sur 155 apto 2215 torre2</v>
          </cell>
          <cell r="V996" t="str">
            <v>Amonte</v>
          </cell>
          <cell r="W996" t="str">
            <v>Amonte</v>
          </cell>
          <cell r="X996" t="str">
            <v>INTITUTO DEL RIÑON</v>
          </cell>
          <cell r="Y996" t="str">
            <v>SUROCCIDENTE</v>
          </cell>
          <cell r="Z996" t="str">
            <v>30 min</v>
          </cell>
          <cell r="AA996" t="str">
            <v xml:space="preserve">Medellin </v>
          </cell>
          <cell r="AB996" t="str">
            <v xml:space="preserve">I. Riñón </v>
          </cell>
          <cell r="AC996" t="str">
            <v>Cll. 11B sur # 44-103</v>
          </cell>
          <cell r="AD996"/>
          <cell r="AE996">
            <v>48500</v>
          </cell>
          <cell r="AF996">
            <v>30000</v>
          </cell>
          <cell r="AG996" t="str">
            <v>25km</v>
          </cell>
          <cell r="AH996" t="str">
            <v>30 min</v>
          </cell>
          <cell r="AI996">
            <v>40000</v>
          </cell>
          <cell r="AJ996">
            <v>36000</v>
          </cell>
          <cell r="AK996">
            <v>-6000</v>
          </cell>
          <cell r="AL996">
            <v>34920</v>
          </cell>
        </row>
        <row r="997">
          <cell r="T997" t="str">
            <v>CINDY JHOANA DUSSAN OLIVEROS</v>
          </cell>
          <cell r="U997" t="str">
            <v>CALLE 80 BIS SUR #91-90</v>
          </cell>
          <cell r="V997" t="str">
            <v>Diagonal 82 Bis # 85 - 90 bosa sanbernandino</v>
          </cell>
          <cell r="W997" t="str">
            <v>BOSA SAN BERNANDINO</v>
          </cell>
          <cell r="X997">
            <v>3008670989</v>
          </cell>
          <cell r="Y997" t="str">
            <v>CENTRO</v>
          </cell>
          <cell r="Z997"/>
          <cell r="AA997" t="str">
            <v>Bogota</v>
          </cell>
          <cell r="AB997" t="str">
            <v>Dorado</v>
          </cell>
          <cell r="AC997" t="str">
            <v>Diagonal 82 Bis # 85 - 90</v>
          </cell>
          <cell r="AE997"/>
          <cell r="AF997"/>
          <cell r="AG997">
            <v>22</v>
          </cell>
          <cell r="AH997">
            <v>56</v>
          </cell>
          <cell r="AI997">
            <v>30000</v>
          </cell>
        </row>
        <row r="998">
          <cell r="T998" t="str">
            <v>DIEGO SILVA</v>
          </cell>
          <cell r="U998" t="str">
            <v xml:space="preserve">Mz U Casa 14 BARRIO TOLIMA GRANDE </v>
          </cell>
          <cell r="V998">
            <v>0</v>
          </cell>
          <cell r="W998"/>
          <cell r="X998" t="e">
            <v>#N/A</v>
          </cell>
          <cell r="Y998" t="str">
            <v>SUROCCIDENTE</v>
          </cell>
          <cell r="Z998"/>
          <cell r="AA998" t="str">
            <v>Ibague</v>
          </cell>
          <cell r="AB998" t="str">
            <v>Ibague</v>
          </cell>
          <cell r="AC998" t="str">
            <v>Calle 41 # 5 - 40 Barrio Restrepo</v>
          </cell>
          <cell r="AE998"/>
          <cell r="AF998"/>
          <cell r="AG998">
            <v>5</v>
          </cell>
          <cell r="AH998">
            <v>11</v>
          </cell>
          <cell r="AJ998">
            <v>13500</v>
          </cell>
          <cell r="AK998">
            <v>-13500</v>
          </cell>
          <cell r="AL998">
            <v>13095</v>
          </cell>
        </row>
        <row r="999">
          <cell r="T999" t="str">
            <v>Jhon Alexander Páez</v>
          </cell>
          <cell r="U999" t="str">
            <v>Cr 15 B No. 6-32 Soacha Conjunto La Ilusión 2 Hogares</v>
          </cell>
          <cell r="V999" t="str">
            <v>Soacha conjunto la ilusion 2 hogares</v>
          </cell>
          <cell r="W999"/>
          <cell r="X999" t="str">
            <v>300 8891598</v>
          </cell>
          <cell r="Y999" t="str">
            <v>CENTRO</v>
          </cell>
          <cell r="Z999"/>
          <cell r="AA999" t="str">
            <v>Bogota</v>
          </cell>
          <cell r="AB999" t="str">
            <v>Cruz Roja</v>
          </cell>
          <cell r="AC999" t="str">
            <v>Av. Kra  68 # 68 B-31 Bloque 1 Piso 1</v>
          </cell>
          <cell r="AE999"/>
          <cell r="AF999"/>
          <cell r="AG999">
            <v>0</v>
          </cell>
          <cell r="AH999">
            <v>0</v>
          </cell>
          <cell r="AI999">
            <v>63000</v>
          </cell>
          <cell r="AJ999">
            <v>63000</v>
          </cell>
          <cell r="AK999">
            <v>-63000</v>
          </cell>
          <cell r="AL999">
            <v>61110</v>
          </cell>
        </row>
        <row r="1000">
          <cell r="T1000" t="str">
            <v xml:space="preserve">MARY  OSORIO  </v>
          </cell>
          <cell r="U1000" t="str">
            <v xml:space="preserve">Cra 108 # 19 - 33 </v>
          </cell>
          <cell r="V1000" t="str">
            <v>fontibon</v>
          </cell>
          <cell r="W1000"/>
          <cell r="X1000">
            <v>3203406159</v>
          </cell>
          <cell r="Y1000" t="str">
            <v>CENTRO</v>
          </cell>
          <cell r="Z1000"/>
          <cell r="AA1000" t="str">
            <v>Bogota</v>
          </cell>
          <cell r="AB1000" t="str">
            <v>Horizonte</v>
          </cell>
          <cell r="AC1000" t="str">
            <v>Av. Cll 134 # 7b- 83 Edificio el Bosque piso 2 Consultorio 2018</v>
          </cell>
          <cell r="AE1000"/>
          <cell r="AF1000"/>
          <cell r="AG1000">
            <v>22</v>
          </cell>
          <cell r="AH1000">
            <v>30</v>
          </cell>
        </row>
        <row r="1001">
          <cell r="T1001" t="str">
            <v>MAURICIO GUALDRON</v>
          </cell>
          <cell r="U1001" t="str">
            <v xml:space="preserve">Cra 9e # 54 - 39 </v>
          </cell>
          <cell r="V1001" t="str">
            <v>soledad</v>
          </cell>
          <cell r="W1001"/>
          <cell r="X1001" t="e">
            <v>#N/A</v>
          </cell>
          <cell r="Y1001" t="str">
            <v>NORTE</v>
          </cell>
          <cell r="Z1001"/>
          <cell r="AA1001" t="str">
            <v>Barranquilla</v>
          </cell>
          <cell r="AB1001" t="str">
            <v>Riomar</v>
          </cell>
          <cell r="AC1001" t="str">
            <v>Cra. 51 # 82-197</v>
          </cell>
          <cell r="AE1001"/>
          <cell r="AF1001"/>
          <cell r="AG1001">
            <v>0</v>
          </cell>
          <cell r="AH1001">
            <v>0</v>
          </cell>
        </row>
        <row r="1002">
          <cell r="T1002" t="str">
            <v xml:space="preserve">LIZETH POLO </v>
          </cell>
          <cell r="U1002" t="str">
            <v>Mz 15 Cs 15 sector E parque industtial</v>
          </cell>
          <cell r="V1002">
            <v>0</v>
          </cell>
          <cell r="W1002"/>
          <cell r="X1002">
            <v>3215456121</v>
          </cell>
          <cell r="Y1002" t="str">
            <v>SUROCCIDENTE</v>
          </cell>
          <cell r="Z1002"/>
          <cell r="AA1002" t="str">
            <v>PEREIRA</v>
          </cell>
          <cell r="AB1002" t="str">
            <v>Pereira</v>
          </cell>
          <cell r="AC1002" t="str">
            <v>Avenida Juan B. Gutierrez # 17-55.  Piso 1 Edificio Icono</v>
          </cell>
          <cell r="AE1002"/>
          <cell r="AF1002"/>
          <cell r="AG1002">
            <v>3</v>
          </cell>
          <cell r="AH1002">
            <v>6</v>
          </cell>
        </row>
        <row r="1003">
          <cell r="T1003" t="str">
            <v xml:space="preserve">JHOANA LAGO </v>
          </cell>
          <cell r="U1003" t="str">
            <v xml:space="preserve">Cra 16 -19b 41 Olaya Herrera </v>
          </cell>
          <cell r="V1003">
            <v>0</v>
          </cell>
          <cell r="W1003"/>
          <cell r="X1003" t="e">
            <v>#N/A</v>
          </cell>
          <cell r="Y1003" t="str">
            <v>SUROCCIDENTE</v>
          </cell>
          <cell r="Z1003"/>
          <cell r="AA1003" t="str">
            <v>PEREIRA</v>
          </cell>
          <cell r="AB1003" t="str">
            <v>Pereira</v>
          </cell>
          <cell r="AC1003" t="str">
            <v>Avenida Juan B. Gutierrez # 17-55.  Piso 1 Edificio Icono</v>
          </cell>
          <cell r="AE1003"/>
          <cell r="AF1003"/>
          <cell r="AG1003">
            <v>3</v>
          </cell>
          <cell r="AH1003">
            <v>4</v>
          </cell>
        </row>
        <row r="1004">
          <cell r="T1004" t="str">
            <v xml:space="preserve">PATRICIA AMADO </v>
          </cell>
          <cell r="U1004" t="str">
            <v>Calle 146 #  95b - 46</v>
          </cell>
          <cell r="V1004">
            <v>0</v>
          </cell>
          <cell r="W1004"/>
          <cell r="X1004">
            <v>3208561299</v>
          </cell>
          <cell r="Y1004" t="str">
            <v>CENTRO</v>
          </cell>
          <cell r="Z1004"/>
          <cell r="AA1004" t="str">
            <v>Bogota</v>
          </cell>
          <cell r="AB1004" t="str">
            <v>Horizonte</v>
          </cell>
          <cell r="AC1004" t="str">
            <v>Av. Cll 134 # 7b- 83 Edificio el Bosque piso 2 Consultorio 2018</v>
          </cell>
          <cell r="AE1004"/>
          <cell r="AF1004"/>
          <cell r="AG1004">
            <v>10</v>
          </cell>
          <cell r="AH1004">
            <v>17</v>
          </cell>
        </row>
        <row r="1005">
          <cell r="T1005" t="str">
            <v>Omaira Ortiz peña</v>
          </cell>
          <cell r="U1005" t="str">
            <v>CALLE 12 # 5-35 INT 16 APT 101 Funza Cundinamarca CONJUNTO RESIDENCIAL HACIENDA EL ROSAL BARRIO SERREZUELITA</v>
          </cell>
          <cell r="V1005" t="str">
            <v>funza</v>
          </cell>
          <cell r="W1005" t="str">
            <v>INTERMUNICIPAL</v>
          </cell>
          <cell r="X1005">
            <v>3142485303</v>
          </cell>
          <cell r="Y1005" t="str">
            <v>CENTRO</v>
          </cell>
          <cell r="Z1005"/>
          <cell r="AA1005" t="str">
            <v>BOGOTÁ</v>
          </cell>
          <cell r="AB1005" t="str">
            <v>Occidente</v>
          </cell>
          <cell r="AC1005" t="str">
            <v>Calle 5C No. 71C - 29 Torre B Piso 2 
Edificio Servicios Ambulatorios</v>
          </cell>
          <cell r="AE1005"/>
          <cell r="AF1005"/>
          <cell r="AG1005">
            <v>0</v>
          </cell>
          <cell r="AH1005">
            <v>0</v>
          </cell>
        </row>
        <row r="1006">
          <cell r="T1006" t="str">
            <v xml:space="preserve">ANADID  CANCINO  DIAZ </v>
          </cell>
          <cell r="U1006" t="str">
            <v>CRA 27 # 50- 22 Galerias Teusaquillo</v>
          </cell>
          <cell r="V1006" t="str">
            <v xml:space="preserve">Galerias </v>
          </cell>
          <cell r="W1006"/>
          <cell r="X1006">
            <v>3123891137</v>
          </cell>
          <cell r="Y1006" t="str">
            <v>CENTRO</v>
          </cell>
          <cell r="Z1006"/>
          <cell r="AA1006" t="str">
            <v>BOGOTÁ</v>
          </cell>
          <cell r="AB1006" t="str">
            <v>Occidente</v>
          </cell>
          <cell r="AC1006" t="str">
            <v>Calle 5C No. 71C - 29 Torre B Piso 2 
Edificio Servicios Ambulatorios</v>
          </cell>
          <cell r="AE1006"/>
          <cell r="AF1006"/>
          <cell r="AG1006">
            <v>11</v>
          </cell>
          <cell r="AH1006">
            <v>25</v>
          </cell>
        </row>
        <row r="1007">
          <cell r="T1007" t="str">
            <v>Jaime Andres Espinel Suancha</v>
          </cell>
          <cell r="U1007" t="str">
            <v>CRA 72 Num 57-11 barrio Olarte</v>
          </cell>
          <cell r="V1007" t="str">
            <v xml:space="preserve">Olarte </v>
          </cell>
          <cell r="W1007"/>
          <cell r="X1007" t="e">
            <v>#N/A</v>
          </cell>
          <cell r="Y1007" t="str">
            <v>CENTRO</v>
          </cell>
          <cell r="Z1007"/>
          <cell r="AA1007" t="str">
            <v>BOGOTÁ</v>
          </cell>
          <cell r="AB1007" t="str">
            <v>Occidente</v>
          </cell>
          <cell r="AC1007" t="str">
            <v>Calle 5C No. 71C - 29 Torre B Piso 2 
Edificio Servicios Ambulatorios</v>
          </cell>
          <cell r="AE1007"/>
          <cell r="AF1007"/>
          <cell r="AG1007">
            <v>4</v>
          </cell>
          <cell r="AH1007">
            <v>8</v>
          </cell>
        </row>
        <row r="1008">
          <cell r="T1008" t="str">
            <v>Liceth Rojas</v>
          </cell>
          <cell r="U1008" t="str">
            <v>cra 116 A num 15 C 70 barrio El Charco conjunto Reservas de Fontibon</v>
          </cell>
          <cell r="V1008" t="str">
            <v xml:space="preserve">fontibon </v>
          </cell>
          <cell r="W1008"/>
          <cell r="X1008">
            <v>3143871502</v>
          </cell>
          <cell r="Y1008" t="str">
            <v>CENTRO</v>
          </cell>
          <cell r="Z1008"/>
          <cell r="AA1008" t="str">
            <v>BOGOTÁ</v>
          </cell>
          <cell r="AB1008" t="str">
            <v>Occidente</v>
          </cell>
          <cell r="AC1008" t="str">
            <v>Calle 5C No. 71C - 29 Torre B Piso 2 
Edificio Servicios Ambulatorios</v>
          </cell>
          <cell r="AE1008"/>
          <cell r="AF1008"/>
          <cell r="AG1008">
            <v>12</v>
          </cell>
          <cell r="AH1008">
            <v>20</v>
          </cell>
        </row>
        <row r="1009">
          <cell r="T1009" t="str">
            <v>Paola Andrea Galindo</v>
          </cell>
          <cell r="U1009" t="str">
            <v>CLL 21 # 81B-30 PORTAL MODELIA 1 - HAYUELOS- TORRE 14 APTO 302</v>
          </cell>
          <cell r="V1009" t="str">
            <v xml:space="preserve">Hayuelos </v>
          </cell>
          <cell r="W1009"/>
          <cell r="X1009" t="e">
            <v>#N/A</v>
          </cell>
          <cell r="Y1009" t="str">
            <v>CENTRO</v>
          </cell>
          <cell r="Z1009"/>
          <cell r="AA1009" t="str">
            <v>BOGOTÁ</v>
          </cell>
          <cell r="AB1009" t="str">
            <v>Occidente</v>
          </cell>
          <cell r="AC1009" t="str">
            <v>Calle 5C No. 71C - 29 Torre B Piso 2 
Edificio Servicios Ambulatorios</v>
          </cell>
          <cell r="AE1009"/>
          <cell r="AF1009"/>
          <cell r="AG1009">
            <v>6</v>
          </cell>
          <cell r="AH1009">
            <v>11</v>
          </cell>
        </row>
        <row r="1010">
          <cell r="T1010" t="str">
            <v>ESNEIDER</v>
          </cell>
          <cell r="U1010" t="str">
            <v>Calle 54 f sur # 93 c - 42</v>
          </cell>
          <cell r="V1010" t="str">
            <v xml:space="preserve">Bosa </v>
          </cell>
          <cell r="W1010" t="str">
            <v xml:space="preserve">Bosa </v>
          </cell>
          <cell r="X1010" t="e">
            <v>#N/A</v>
          </cell>
          <cell r="Y1010" t="str">
            <v>CENTRO</v>
          </cell>
          <cell r="Z1010" t="str">
            <v xml:space="preserve">Bosa </v>
          </cell>
          <cell r="AA1010" t="str">
            <v>Bogota</v>
          </cell>
          <cell r="AB1010" t="str">
            <v>Fmexpress Bogotá</v>
          </cell>
          <cell r="AC1010" t="str">
            <v>BOGOTA CLL 161 # 7G-36</v>
          </cell>
          <cell r="AE1010"/>
          <cell r="AF1010"/>
          <cell r="AG1010">
            <v>11</v>
          </cell>
          <cell r="AH1010">
            <v>21</v>
          </cell>
        </row>
        <row r="1011">
          <cell r="T1011" t="str">
            <v>Kenny España</v>
          </cell>
          <cell r="U1011" t="str">
            <v>Manga 3ra ave. ed. barbacoa</v>
          </cell>
          <cell r="V1011">
            <v>0</v>
          </cell>
          <cell r="W1011"/>
          <cell r="X1011" t="e">
            <v>#N/A</v>
          </cell>
          <cell r="Y1011" t="str">
            <v>NORTE</v>
          </cell>
          <cell r="Z1011"/>
          <cell r="AA1011" t="str">
            <v>CARTAGENA</v>
          </cell>
          <cell r="AB1011" t="str">
            <v>Cartagena</v>
          </cell>
          <cell r="AC1011" t="str">
            <v>Barrio La Plazuela Carrera 71 # 29 - 236 CC shoping center La plazuela local 16</v>
          </cell>
          <cell r="AE1011"/>
          <cell r="AF1011"/>
          <cell r="AG1011">
            <v>9</v>
          </cell>
          <cell r="AH1011">
            <v>23</v>
          </cell>
        </row>
        <row r="1012">
          <cell r="T1012" t="str">
            <v xml:space="preserve">MARIA DE LOS ANGELES  LARA </v>
          </cell>
          <cell r="U1012" t="str">
            <v>TURBACO - PARQUE RESIDENCIAL PRADO VERDE</v>
          </cell>
          <cell r="V1012" t="str">
            <v xml:space="preserve">PRADO VERDE </v>
          </cell>
          <cell r="W1012"/>
          <cell r="X1012" t="str">
            <v>315 6354232</v>
          </cell>
          <cell r="Y1012" t="str">
            <v>NORTE</v>
          </cell>
          <cell r="Z1012"/>
          <cell r="AA1012" t="str">
            <v>CARTAGENA</v>
          </cell>
          <cell r="AB1012" t="str">
            <v>Cartagena</v>
          </cell>
          <cell r="AC1012" t="str">
            <v>Barrio La Plazuela Carrera 71 # 29 - 236 CC shoping center La plazuela local 16</v>
          </cell>
          <cell r="AE1012"/>
          <cell r="AF1012"/>
          <cell r="AG1012">
            <v>12</v>
          </cell>
          <cell r="AH1012">
            <v>23</v>
          </cell>
        </row>
        <row r="1013">
          <cell r="T1013" t="str">
            <v>YUDIS AHUMADA HERNANDEZ</v>
          </cell>
          <cell r="U1013" t="str">
            <v>Calle 6d # 24 - 68</v>
          </cell>
          <cell r="V1013">
            <v>0</v>
          </cell>
          <cell r="W1013"/>
          <cell r="X1013">
            <v>3135461422</v>
          </cell>
          <cell r="Y1013" t="str">
            <v>NORTE</v>
          </cell>
          <cell r="Z1013"/>
          <cell r="AA1013" t="str">
            <v>Valledupar</v>
          </cell>
          <cell r="AB1013" t="str">
            <v>Valledupar</v>
          </cell>
          <cell r="AC1013" t="str">
            <v>Carrera 7A # 28-62
Barrio 12 de Octubre</v>
          </cell>
          <cell r="AE1013"/>
          <cell r="AF1013"/>
          <cell r="AG1013">
            <v>10</v>
          </cell>
          <cell r="AH1013">
            <v>18</v>
          </cell>
        </row>
        <row r="1014">
          <cell r="T1014" t="str">
            <v>AUGUSTA BETANCOURT CARO</v>
          </cell>
          <cell r="U1014" t="str">
            <v>El socorro plan 554 manzana 117 lote 1</v>
          </cell>
          <cell r="V1014" t="str">
            <v>El socorro plan 554 manzana 117 lote 1</v>
          </cell>
          <cell r="W1014"/>
          <cell r="X1014" t="str">
            <v>6453835 - 301 3679536</v>
          </cell>
          <cell r="Y1014" t="str">
            <v>NORTE</v>
          </cell>
          <cell r="Z1014"/>
          <cell r="AA1014" t="str">
            <v>CARTAGENA</v>
          </cell>
          <cell r="AB1014" t="str">
            <v>Cartagena</v>
          </cell>
          <cell r="AC1014" t="str">
            <v>Barrio La Plazuela Carrera 71 # 29 - 236 CC shoping center La plazuela local 16</v>
          </cell>
          <cell r="AE1014"/>
          <cell r="AF1014"/>
          <cell r="AG1014">
            <v>3</v>
          </cell>
          <cell r="AH1014">
            <v>8</v>
          </cell>
        </row>
        <row r="1015">
          <cell r="T1015" t="str">
            <v xml:space="preserve">Gustavo  Nuñez  </v>
          </cell>
          <cell r="U1015" t="str">
            <v xml:space="preserve">Arjona Barios Santa Lucia </v>
          </cell>
          <cell r="V1015" t="str">
            <v>arjona intermunicipal</v>
          </cell>
          <cell r="W1015" t="str">
            <v>arjona</v>
          </cell>
          <cell r="X1015">
            <v>3014849839</v>
          </cell>
          <cell r="Y1015" t="str">
            <v>NORTE</v>
          </cell>
          <cell r="Z1015"/>
          <cell r="AA1015" t="str">
            <v>CARTAGENA</v>
          </cell>
          <cell r="AB1015" t="str">
            <v>Cartagena</v>
          </cell>
          <cell r="AC1015" t="str">
            <v>Barrio La Plazuela Carrera 71 # 29 - 236 CC shoping center La plazuela local 16</v>
          </cell>
          <cell r="AE1015"/>
          <cell r="AF1015"/>
          <cell r="AG1015">
            <v>24</v>
          </cell>
          <cell r="AH1015">
            <v>39</v>
          </cell>
        </row>
        <row r="1016">
          <cell r="T1016" t="str">
            <v xml:space="preserve">Jose  Luis  Arteaga </v>
          </cell>
          <cell r="U1016" t="str">
            <v>nuevo bosque mza 81 lote 10</v>
          </cell>
          <cell r="V1016" t="str">
            <v>CARTAGENA</v>
          </cell>
          <cell r="W1016" t="str">
            <v>CARTAGENA</v>
          </cell>
          <cell r="X1016">
            <v>3174374989</v>
          </cell>
          <cell r="Y1016" t="str">
            <v>NORTE</v>
          </cell>
          <cell r="Z1016"/>
          <cell r="AA1016" t="str">
            <v>CARTAGENA</v>
          </cell>
          <cell r="AB1016" t="str">
            <v>Cartagena</v>
          </cell>
          <cell r="AC1016" t="str">
            <v>Barrio La Plazuela Carrera 71 # 29 - 236 CC shoping center La plazuela local 16</v>
          </cell>
          <cell r="AE1016"/>
          <cell r="AF1016"/>
          <cell r="AG1016">
            <v>3</v>
          </cell>
          <cell r="AH1016">
            <v>8</v>
          </cell>
        </row>
        <row r="1017">
          <cell r="T1017" t="str">
            <v xml:space="preserve">Sarita Lopez                                    </v>
          </cell>
          <cell r="U1017"/>
          <cell r="V1017">
            <v>0</v>
          </cell>
          <cell r="W1017"/>
          <cell r="X1017" t="e">
            <v>#N/A</v>
          </cell>
          <cell r="Y1017" t="str">
            <v>NORTE</v>
          </cell>
          <cell r="Z1017"/>
          <cell r="AA1017" t="str">
            <v>CARTAGENA</v>
          </cell>
          <cell r="AB1017" t="str">
            <v>Cartagena</v>
          </cell>
          <cell r="AC1017" t="str">
            <v>Barrio La Plazuela Carrera 71 # 29 - 236 CC shoping center La plazuela local 16</v>
          </cell>
          <cell r="AE1017"/>
          <cell r="AF1017"/>
          <cell r="AG1017">
            <v>0</v>
          </cell>
          <cell r="AH1017">
            <v>0</v>
          </cell>
        </row>
        <row r="1018">
          <cell r="T1018" t="str">
            <v>SINDY  PAOLA DEVOZ  PEREZ</v>
          </cell>
          <cell r="U1018" t="str">
            <v>Turbaco Urb Plan parejo Mz J lt 15</v>
          </cell>
          <cell r="V1018" t="str">
            <v>turbaco</v>
          </cell>
          <cell r="W1018"/>
          <cell r="X1018" t="str">
            <v>6467935 - 300 4572440</v>
          </cell>
          <cell r="Y1018" t="str">
            <v>NORTE</v>
          </cell>
          <cell r="Z1018"/>
          <cell r="AA1018" t="str">
            <v>CARTAGENA</v>
          </cell>
          <cell r="AB1018" t="str">
            <v>Cartagena</v>
          </cell>
          <cell r="AC1018" t="str">
            <v>Barrio La Plazuela Carrera 71 # 29 - 236 CC shoping center La plazuela local 16</v>
          </cell>
          <cell r="AE1018"/>
          <cell r="AF1018"/>
          <cell r="AG1018">
            <v>11</v>
          </cell>
          <cell r="AH1018">
            <v>21</v>
          </cell>
        </row>
        <row r="1019">
          <cell r="T1019" t="str">
            <v>SUGEY MARIA SANCHEZ PADILLA</v>
          </cell>
          <cell r="U1019" t="str">
            <v>ZARAGOCILLA SEC EL PROGRESO CALLE 7 DE AGOSTO CRA 53 #30-19</v>
          </cell>
          <cell r="V1019" t="str">
            <v xml:space="preserve">7 DE AGOSTO </v>
          </cell>
          <cell r="W1019"/>
          <cell r="X1019" t="str">
            <v>3053387148-6918363</v>
          </cell>
          <cell r="Y1019" t="str">
            <v>NORTE</v>
          </cell>
          <cell r="Z1019"/>
          <cell r="AA1019" t="str">
            <v>CARTAGENA</v>
          </cell>
          <cell r="AB1019" t="str">
            <v>Cartagena</v>
          </cell>
          <cell r="AC1019" t="str">
            <v>Barrio La Plazuela Carrera 71 # 29 - 236 CC shoping center La plazuela local 16</v>
          </cell>
          <cell r="AE1019"/>
          <cell r="AF1019"/>
          <cell r="AG1019">
            <v>2</v>
          </cell>
          <cell r="AH1019">
            <v>9</v>
          </cell>
        </row>
        <row r="1020">
          <cell r="T1020" t="str">
            <v>TANIA MARGARITA GARCIA VALLE</v>
          </cell>
          <cell r="U1020" t="str">
            <v>NUEVO BOSQUE 4TA ETAPA MZ 6 LOTE 4</v>
          </cell>
          <cell r="V1020" t="str">
            <v>NUEVO BOSQUE</v>
          </cell>
          <cell r="W1020"/>
          <cell r="X1020" t="str">
            <v>3185016131 - 6674859</v>
          </cell>
          <cell r="Y1020" t="str">
            <v>NORTE</v>
          </cell>
          <cell r="Z1020"/>
          <cell r="AA1020" t="str">
            <v>CARTAGENA</v>
          </cell>
          <cell r="AB1020" t="str">
            <v>Cartagena</v>
          </cell>
          <cell r="AC1020" t="str">
            <v>Barrio La Plazuela Carrera 71 # 29 - 236 CC shoping center La plazuela local 16</v>
          </cell>
          <cell r="AE1020"/>
          <cell r="AF1020"/>
          <cell r="AG1020">
            <v>1</v>
          </cell>
          <cell r="AH1020">
            <v>5</v>
          </cell>
        </row>
        <row r="1021">
          <cell r="T1021" t="str">
            <v>ALEJANDRO  GALLEGO  ARTEAGA</v>
          </cell>
          <cell r="U1021" t="str">
            <v>Calle 47D No 12c-02 alto caribe</v>
          </cell>
          <cell r="V1021" t="str">
            <v xml:space="preserve">ALTO CARIBE </v>
          </cell>
          <cell r="W1021"/>
          <cell r="X1021">
            <v>3015083322</v>
          </cell>
          <cell r="Y1021" t="str">
            <v>SUROCCIDENTE</v>
          </cell>
          <cell r="Z1021"/>
          <cell r="AA1021" t="str">
            <v>Manizales</v>
          </cell>
          <cell r="AB1021" t="str">
            <v>Manizales</v>
          </cell>
          <cell r="AC1021" t="str">
            <v>Cra. 23 # 39 - 25 Piso 2
Antiguo Edificio Clínica Manizales
(IPS Caprecom Clínica Manizales)</v>
          </cell>
          <cell r="AE1021"/>
          <cell r="AF1021"/>
          <cell r="AG1021">
            <v>3</v>
          </cell>
          <cell r="AH1021">
            <v>8</v>
          </cell>
        </row>
        <row r="1022">
          <cell r="T1022" t="str">
            <v>YULI ORTIZ</v>
          </cell>
          <cell r="U1022" t="str">
            <v xml:space="preserve">Cra 15 e # 4-22 Primera de mayo </v>
          </cell>
          <cell r="V1022" t="str">
            <v xml:space="preserve">PRIMERA DE MAYO </v>
          </cell>
          <cell r="W1022"/>
          <cell r="X1022">
            <v>3144209027</v>
          </cell>
          <cell r="Y1022" t="str">
            <v>NORTE</v>
          </cell>
          <cell r="Z1022"/>
          <cell r="AA1022" t="str">
            <v>Santa Marta</v>
          </cell>
          <cell r="AB1022" t="str">
            <v>Santa Marta</v>
          </cell>
          <cell r="AC1022" t="str">
            <v>Cra.  19 # 11C - 66</v>
          </cell>
          <cell r="AE1022"/>
          <cell r="AF1022"/>
          <cell r="AG1022">
            <v>81</v>
          </cell>
          <cell r="AH1022">
            <v>91</v>
          </cell>
        </row>
        <row r="1023">
          <cell r="T1023" t="str">
            <v xml:space="preserve">DIANA  ESCOBAR </v>
          </cell>
          <cell r="U1023" t="str">
            <v>Cra 32a # 31 - 48 San Carlos</v>
          </cell>
          <cell r="V1023" t="str">
            <v xml:space="preserve">SAN CARLOS </v>
          </cell>
          <cell r="W1023"/>
          <cell r="X1023" t="e">
            <v>#REF!</v>
          </cell>
          <cell r="Y1023" t="str">
            <v>SUROCCIDENTE</v>
          </cell>
          <cell r="Z1023"/>
          <cell r="AA1023" t="str">
            <v>Cali</v>
          </cell>
          <cell r="AB1023" t="str">
            <v>Imbanaco</v>
          </cell>
          <cell r="AC1023" t="str">
            <v>Cll. 5B 4  # 38 -123</v>
          </cell>
          <cell r="AE1023"/>
          <cell r="AF1023"/>
          <cell r="AG1023">
            <v>7</v>
          </cell>
          <cell r="AH1023">
            <v>17</v>
          </cell>
        </row>
        <row r="1024">
          <cell r="T1024" t="str">
            <v>EMERSON OROZCO</v>
          </cell>
          <cell r="U1024" t="str">
            <v xml:space="preserve">Calle 1er No 14 E - 09 SAN MARTIN </v>
          </cell>
          <cell r="V1024" t="str">
            <v xml:space="preserve">SAN MARTIN </v>
          </cell>
          <cell r="W1024"/>
          <cell r="X1024">
            <v>3022669998</v>
          </cell>
          <cell r="Y1024" t="str">
            <v>NORTE</v>
          </cell>
          <cell r="Z1024"/>
          <cell r="AA1024" t="str">
            <v>Santa Marta</v>
          </cell>
          <cell r="AB1024" t="str">
            <v>Santa Marta</v>
          </cell>
          <cell r="AC1024" t="str">
            <v>Cra.  19 # 11C - 66</v>
          </cell>
          <cell r="AE1024"/>
          <cell r="AF1024"/>
          <cell r="AG1024">
            <v>87</v>
          </cell>
          <cell r="AH1024">
            <v>90</v>
          </cell>
        </row>
        <row r="1025">
          <cell r="T1025" t="str">
            <v xml:space="preserve">FERNANDA SERRANO </v>
          </cell>
          <cell r="U1025" t="str">
            <v>Calle 14 # 1-37 Barrio La Playa, Centro</v>
          </cell>
          <cell r="V1025" t="str">
            <v xml:space="preserve">SANTA INES </v>
          </cell>
          <cell r="W1025"/>
          <cell r="X1025">
            <v>3212962600</v>
          </cell>
          <cell r="Y1025" t="str">
            <v>NORTE</v>
          </cell>
          <cell r="Z1025"/>
          <cell r="AA1025" t="str">
            <v>Cucuta</v>
          </cell>
          <cell r="AB1025" t="str">
            <v>Cucuta</v>
          </cell>
          <cell r="AC1025" t="str">
            <v>Calle 14 # 1-37 Barrio La Playa, Centro.</v>
          </cell>
          <cell r="AE1025"/>
          <cell r="AF1025"/>
          <cell r="AG1025">
            <v>7</v>
          </cell>
          <cell r="AH1025">
            <v>16</v>
          </cell>
        </row>
        <row r="1026">
          <cell r="T1026" t="str">
            <v xml:space="preserve">Frank  Taylor    </v>
          </cell>
          <cell r="U1026" t="str">
            <v>Calle 15 No. 3632 Barrio Torices</v>
          </cell>
          <cell r="V1026" t="str">
            <v xml:space="preserve">TORICES </v>
          </cell>
          <cell r="W1026"/>
          <cell r="X1026">
            <v>3174375006</v>
          </cell>
          <cell r="Y1026" t="str">
            <v>NORTE</v>
          </cell>
          <cell r="Z1026"/>
          <cell r="AA1026" t="str">
            <v>CARTAGENA</v>
          </cell>
          <cell r="AB1026" t="str">
            <v>Cartagena</v>
          </cell>
          <cell r="AC1026" t="str">
            <v>Barrio La Plazuela Carrera 71 # 29 - 236 CC shoping center La plazuela local 16</v>
          </cell>
          <cell r="AE1026"/>
          <cell r="AF1026"/>
          <cell r="AG1026">
            <v>3</v>
          </cell>
          <cell r="AH1026">
            <v>9</v>
          </cell>
        </row>
        <row r="1027">
          <cell r="T1027" t="str">
            <v xml:space="preserve">JIMMY CASTRO </v>
          </cell>
          <cell r="U1027" t="str">
            <v xml:space="preserve">Calle 7 #10-74 Valencia </v>
          </cell>
          <cell r="V1027" t="str">
            <v xml:space="preserve">VALENCIA </v>
          </cell>
          <cell r="W1027"/>
          <cell r="X1027" t="str">
            <v>322 3120609</v>
          </cell>
          <cell r="Y1027" t="str">
            <v>SUROCCIDENTE</v>
          </cell>
          <cell r="Z1027"/>
          <cell r="AA1027" t="str">
            <v>Popayan</v>
          </cell>
          <cell r="AB1027" t="str">
            <v>Popayan</v>
          </cell>
          <cell r="AC1027" t="str">
            <v>Cll. 15 Norte # 2-350 Piso 4
Clínica La Estancia</v>
          </cell>
          <cell r="AE1027"/>
          <cell r="AF1027"/>
          <cell r="AG1027">
            <v>2</v>
          </cell>
          <cell r="AH1027">
            <v>8</v>
          </cell>
        </row>
        <row r="1028">
          <cell r="T1028" t="str">
            <v xml:space="preserve">JORGE BUELVAS </v>
          </cell>
          <cell r="U1028" t="str">
            <v xml:space="preserve">CALLE 62A No. 22e - 58 Barrio Las moras Barranquilla </v>
          </cell>
          <cell r="V1028" t="str">
            <v xml:space="preserve">LAS MORAS </v>
          </cell>
          <cell r="W1028"/>
          <cell r="X1028">
            <v>3174374858</v>
          </cell>
          <cell r="Y1028" t="str">
            <v>NORTE</v>
          </cell>
          <cell r="Z1028"/>
          <cell r="AA1028" t="str">
            <v>Valledupar</v>
          </cell>
          <cell r="AB1028" t="str">
            <v>Valledupar</v>
          </cell>
          <cell r="AC1028" t="str">
            <v>Carrera 7A # 28-62
Barrio 12 de Octubre</v>
          </cell>
          <cell r="AE1028"/>
          <cell r="AF1028"/>
          <cell r="AG1028">
            <v>4</v>
          </cell>
          <cell r="AH1028">
            <v>10</v>
          </cell>
        </row>
        <row r="1029">
          <cell r="T1029" t="str">
            <v xml:space="preserve">Jose  Luis  Arteaga </v>
          </cell>
          <cell r="U1029" t="str">
            <v>nuevo bosque mza 81 lote 10</v>
          </cell>
          <cell r="V1029">
            <v>0</v>
          </cell>
          <cell r="W1029"/>
          <cell r="X1029">
            <v>3174374989</v>
          </cell>
          <cell r="Y1029" t="str">
            <v>NORTE</v>
          </cell>
          <cell r="Z1029"/>
          <cell r="AA1029" t="str">
            <v>CARTAGENA</v>
          </cell>
          <cell r="AB1029" t="str">
            <v>Cartagena</v>
          </cell>
          <cell r="AC1029" t="str">
            <v>Barrio La Plazuela Carrera 71 # 29 - 236 CC shoping center La plazuela local 16</v>
          </cell>
          <cell r="AE1029"/>
          <cell r="AF1029"/>
          <cell r="AG1029">
            <v>2</v>
          </cell>
          <cell r="AH1029">
            <v>9</v>
          </cell>
        </row>
        <row r="1030">
          <cell r="T1030" t="str">
            <v xml:space="preserve">Jose  Monsalvo </v>
          </cell>
          <cell r="U1030" t="str">
            <v xml:space="preserve">Calle 6 cra 3 # 6-669 </v>
          </cell>
          <cell r="V1030">
            <v>0</v>
          </cell>
          <cell r="W1030"/>
          <cell r="X1030">
            <v>3004524798</v>
          </cell>
          <cell r="Y1030" t="str">
            <v>NORTE</v>
          </cell>
          <cell r="Z1030"/>
          <cell r="AA1030" t="str">
            <v>Santa Marta</v>
          </cell>
          <cell r="AB1030" t="str">
            <v>Santa Marta</v>
          </cell>
          <cell r="AC1030" t="str">
            <v>Cra.  19 # 11C - 66</v>
          </cell>
          <cell r="AE1030"/>
          <cell r="AF1030"/>
          <cell r="AG1030">
            <v>39</v>
          </cell>
          <cell r="AH1030">
            <v>55</v>
          </cell>
        </row>
        <row r="1031">
          <cell r="T1031" t="str">
            <v>JOSE TOSCANO</v>
          </cell>
          <cell r="U1031" t="str">
            <v xml:space="preserve">Calle 18 # 5-34 el carmen </v>
          </cell>
          <cell r="V1031" t="str">
            <v>EL CARMEN</v>
          </cell>
          <cell r="W1031"/>
          <cell r="X1031" t="str">
            <v>3162407217-3134742294</v>
          </cell>
          <cell r="Y1031" t="str">
            <v>NORTE</v>
          </cell>
          <cell r="Z1031"/>
          <cell r="AA1031" t="str">
            <v>Santa Marta</v>
          </cell>
          <cell r="AB1031" t="str">
            <v>Santa Marta</v>
          </cell>
          <cell r="AC1031" t="str">
            <v>Cra.  19 # 11C - 66</v>
          </cell>
          <cell r="AE1031"/>
          <cell r="AF1031"/>
          <cell r="AG1031">
            <v>34</v>
          </cell>
          <cell r="AH1031">
            <v>44</v>
          </cell>
        </row>
        <row r="1032">
          <cell r="T1032" t="str">
            <v xml:space="preserve">KATHERIN ZARATE </v>
          </cell>
          <cell r="U1032" t="str">
            <v>Mz B Casa 13 CUIDAD CAMPRESTRE EL NOGAL</v>
          </cell>
          <cell r="V1032" t="str">
            <v xml:space="preserve">el nogal </v>
          </cell>
          <cell r="W1032"/>
          <cell r="X1032" t="str">
            <v>Averiguar con el conductor</v>
          </cell>
          <cell r="Y1032" t="str">
            <v>NORTE</v>
          </cell>
          <cell r="Z1032"/>
          <cell r="AA1032" t="str">
            <v>Santa Marta</v>
          </cell>
          <cell r="AB1032" t="str">
            <v>Santa Marta</v>
          </cell>
          <cell r="AC1032" t="str">
            <v>Cra.  19 # 11C - 66</v>
          </cell>
          <cell r="AE1032"/>
          <cell r="AF1032"/>
          <cell r="AG1032">
            <v>7</v>
          </cell>
          <cell r="AH1032">
            <v>15</v>
          </cell>
        </row>
        <row r="1033">
          <cell r="T1033" t="str">
            <v>LINA MARIA ARANGO</v>
          </cell>
          <cell r="U1033" t="str">
            <v>Cra 73 # 2b - 35</v>
          </cell>
          <cell r="V1033">
            <v>0</v>
          </cell>
          <cell r="W1033"/>
          <cell r="X1033">
            <v>3162551762</v>
          </cell>
          <cell r="Y1033" t="str">
            <v>SUROCCIDENTE</v>
          </cell>
          <cell r="Z1033"/>
          <cell r="AA1033" t="str">
            <v xml:space="preserve">Cali </v>
          </cell>
          <cell r="AB1033" t="str">
            <v>Nuestra Señora del Rosario</v>
          </cell>
          <cell r="AC1033" t="str">
            <v>Cll. 10  # 33 - 51 piso  4 Barrio Colseguros</v>
          </cell>
          <cell r="AE1033"/>
          <cell r="AF1033"/>
          <cell r="AG1033">
            <v>7</v>
          </cell>
          <cell r="AH1033">
            <v>22</v>
          </cell>
        </row>
        <row r="1034">
          <cell r="T1034" t="str">
            <v>MONICA RIOS (Mutiz)</v>
          </cell>
          <cell r="U1034" t="str">
            <v xml:space="preserve">Cra 118 con av cañas gordas </v>
          </cell>
          <cell r="V1034">
            <v>0</v>
          </cell>
          <cell r="W1034"/>
          <cell r="X1034">
            <v>3162551762</v>
          </cell>
          <cell r="Y1034" t="str">
            <v>SUROCCIDENTE</v>
          </cell>
          <cell r="Z1034"/>
          <cell r="AA1034" t="str">
            <v xml:space="preserve">Cali </v>
          </cell>
          <cell r="AB1034" t="str">
            <v>Nuestra Señora del Rosario</v>
          </cell>
          <cell r="AC1034" t="str">
            <v>Cll. 10  # 33 - 51 piso  4 Barrio Colseguros</v>
          </cell>
          <cell r="AE1034"/>
          <cell r="AF1034"/>
          <cell r="AG1034">
            <v>10</v>
          </cell>
          <cell r="AH1034">
            <v>18</v>
          </cell>
        </row>
        <row r="1035">
          <cell r="T1035" t="str">
            <v>OLGA LUCIA TOVAR</v>
          </cell>
          <cell r="U1035" t="str">
            <v>Calle 47D No 12c-02 alto caribe</v>
          </cell>
          <cell r="V1035" t="str">
            <v xml:space="preserve">ALTO CARIBE </v>
          </cell>
          <cell r="W1035"/>
          <cell r="X1035">
            <v>3147768291</v>
          </cell>
          <cell r="Y1035" t="str">
            <v>CENTRO</v>
          </cell>
          <cell r="Z1035"/>
          <cell r="AA1035" t="str">
            <v xml:space="preserve">Neiva </v>
          </cell>
          <cell r="AB1035" t="str">
            <v>Neiva</v>
          </cell>
          <cell r="AC1035" t="str">
            <v>Calle 10 No. 5-45 locales 301 y 401 Edificio Salto de Bordones barrio centro</v>
          </cell>
          <cell r="AE1035"/>
          <cell r="AF1035"/>
          <cell r="AG1035">
            <v>6</v>
          </cell>
          <cell r="AH1035">
            <v>17</v>
          </cell>
        </row>
        <row r="1036">
          <cell r="T1036" t="str">
            <v>Rafael Cortes</v>
          </cell>
          <cell r="U1036" t="str">
            <v>Cll 24 # 18 - 35 Barrio Gaitan</v>
          </cell>
          <cell r="V1036" t="str">
            <v xml:space="preserve">GAITAN </v>
          </cell>
          <cell r="W1036"/>
          <cell r="X1036">
            <v>3138731947</v>
          </cell>
          <cell r="Y1036" t="str">
            <v>CENTRO</v>
          </cell>
          <cell r="Z1036"/>
          <cell r="AA1036" t="str">
            <v>Girardot</v>
          </cell>
          <cell r="AB1036" t="str">
            <v>Girardot</v>
          </cell>
          <cell r="AC1036" t="str">
            <v>Cra. 7 A # 31 - 54 Barrio La Magdalena</v>
          </cell>
          <cell r="AE1036"/>
          <cell r="AF1036"/>
          <cell r="AG1036">
            <v>1</v>
          </cell>
          <cell r="AH1036">
            <v>3</v>
          </cell>
        </row>
        <row r="1037">
          <cell r="T1037" t="str">
            <v xml:space="preserve">Salvador  Ballestas  </v>
          </cell>
          <cell r="U1037" t="str">
            <v>Camilo Torres calle 4c  # 80B 229</v>
          </cell>
          <cell r="V1037">
            <v>0</v>
          </cell>
          <cell r="W1037"/>
          <cell r="X1037">
            <v>3174375016</v>
          </cell>
          <cell r="Y1037" t="str">
            <v>NORTE</v>
          </cell>
          <cell r="Z1037"/>
          <cell r="AA1037" t="str">
            <v>CARTAGENA</v>
          </cell>
          <cell r="AB1037" t="str">
            <v>Cartagena</v>
          </cell>
          <cell r="AC1037" t="str">
            <v>Barrio La Plazuela Carrera 71 # 29 - 236 CC shoping center La plazuela local 16</v>
          </cell>
          <cell r="AE1037"/>
          <cell r="AF1037"/>
          <cell r="AG1037">
            <v>3</v>
          </cell>
          <cell r="AH1037">
            <v>9</v>
          </cell>
        </row>
        <row r="1038">
          <cell r="T1038" t="str">
            <v>SANDRA VARGAS</v>
          </cell>
          <cell r="U1038" t="str">
            <v>Calle 15 No. 24 - 36 Liberta Policarpa</v>
          </cell>
          <cell r="V1038" t="str">
            <v xml:space="preserve">LIBERTAD POLICARPA </v>
          </cell>
          <cell r="W1038"/>
          <cell r="X1038">
            <v>3114294476</v>
          </cell>
          <cell r="Y1038" t="str">
            <v>NORTE</v>
          </cell>
          <cell r="Z1038"/>
          <cell r="AA1038" t="str">
            <v>Cucuta</v>
          </cell>
          <cell r="AB1038" t="str">
            <v>Cucuta</v>
          </cell>
          <cell r="AC1038" t="str">
            <v>Calle 14 # 1-37 Barrio La Playa, Centro.</v>
          </cell>
          <cell r="AE1038"/>
          <cell r="AF1038"/>
          <cell r="AG1038">
            <v>8</v>
          </cell>
          <cell r="AH1038">
            <v>15</v>
          </cell>
        </row>
        <row r="1039">
          <cell r="T1039" t="str">
            <v xml:space="preserve">YAKELIN  ALABA </v>
          </cell>
          <cell r="U1039" t="str">
            <v>Casa 173 calle 36n Aida Lucia</v>
          </cell>
          <cell r="V1039" t="str">
            <v xml:space="preserve">AIDA LUCIA </v>
          </cell>
          <cell r="W1039"/>
          <cell r="X1039">
            <v>3103560596</v>
          </cell>
          <cell r="Y1039" t="str">
            <v>SUROCCIDENTE</v>
          </cell>
          <cell r="Z1039"/>
          <cell r="AA1039" t="str">
            <v>Popayan</v>
          </cell>
          <cell r="AB1039" t="str">
            <v>Popayan</v>
          </cell>
          <cell r="AC1039" t="str">
            <v>Cll. 15 Norte # 2-350 Piso 4
Clínica La Estancia</v>
          </cell>
          <cell r="AE1039"/>
          <cell r="AF1039"/>
          <cell r="AG1039">
            <v>3</v>
          </cell>
          <cell r="AH1039">
            <v>11</v>
          </cell>
        </row>
        <row r="1040">
          <cell r="T1040" t="str">
            <v xml:space="preserve">ANGELICA JUAN </v>
          </cell>
          <cell r="U1040" t="str">
            <v xml:space="preserve">CENTRO HISTORICO </v>
          </cell>
          <cell r="V1040" t="str">
            <v xml:space="preserve">CENTRO HISTORICO </v>
          </cell>
          <cell r="W1040"/>
          <cell r="X1040">
            <v>3157363059</v>
          </cell>
          <cell r="Y1040" t="str">
            <v>NORTE</v>
          </cell>
          <cell r="Z1040"/>
          <cell r="AA1040" t="str">
            <v>CARTAGENA</v>
          </cell>
          <cell r="AB1040" t="str">
            <v>Cartagena</v>
          </cell>
          <cell r="AC1040" t="str">
            <v>Barrio La Plazuela Carrera 71 # 29 - 236 CC shoping center La plazuela local 16</v>
          </cell>
          <cell r="AE1040"/>
          <cell r="AF1040"/>
          <cell r="AG1040">
            <v>9</v>
          </cell>
          <cell r="AH1040">
            <v>14</v>
          </cell>
        </row>
        <row r="1041">
          <cell r="T1041" t="str">
            <v xml:space="preserve">CAMILO  ESTUPIÑAN  </v>
          </cell>
          <cell r="U1041" t="str">
            <v>Calle 49B SUR # 29-64</v>
          </cell>
          <cell r="V1041" t="str">
            <v xml:space="preserve">El carmen </v>
          </cell>
          <cell r="W1041"/>
          <cell r="X1041">
            <v>3202117715</v>
          </cell>
          <cell r="Y1041" t="str">
            <v>CENTRO</v>
          </cell>
          <cell r="Z1041"/>
          <cell r="AA1041" t="str">
            <v>BOGOTÁ</v>
          </cell>
          <cell r="AB1041" t="str">
            <v>Occidente</v>
          </cell>
          <cell r="AC1041" t="str">
            <v>Calle 5C No. 71C - 29 Torre B Piso 2 
Edificio Servicios Ambulatorios</v>
          </cell>
          <cell r="AE1041"/>
          <cell r="AF1041"/>
          <cell r="AG1041">
            <v>7</v>
          </cell>
          <cell r="AH1041">
            <v>21</v>
          </cell>
        </row>
        <row r="1042">
          <cell r="T1042" t="str">
            <v xml:space="preserve">JAIME  ANDRES  ESPINEL </v>
          </cell>
          <cell r="U1042" t="str">
            <v>CRA 72 Num 57-11 barrio Olarte</v>
          </cell>
          <cell r="V1042" t="str">
            <v xml:space="preserve">OLARTE </v>
          </cell>
          <cell r="W1042"/>
          <cell r="X1042">
            <v>3174374825</v>
          </cell>
          <cell r="Y1042" t="str">
            <v>CENTRO</v>
          </cell>
          <cell r="Z1042"/>
          <cell r="AA1042" t="str">
            <v>BOGOTÁ</v>
          </cell>
          <cell r="AB1042" t="str">
            <v>Occidente</v>
          </cell>
          <cell r="AC1042" t="str">
            <v>Calle 5C No. 71C - 29 Torre B Piso 2 
Edificio Servicios Ambulatorios</v>
          </cell>
          <cell r="AE1042"/>
          <cell r="AF1042"/>
          <cell r="AG1042">
            <v>8</v>
          </cell>
          <cell r="AH1042">
            <v>24</v>
          </cell>
        </row>
        <row r="1043">
          <cell r="T1043" t="str">
            <v xml:space="preserve">LEIDY ENDE </v>
          </cell>
          <cell r="U1043" t="str">
            <v>Calle 10 b sur # 20A -35</v>
          </cell>
          <cell r="V1043">
            <v>0</v>
          </cell>
          <cell r="W1043"/>
          <cell r="X1043">
            <v>3105504043</v>
          </cell>
          <cell r="Y1043" t="str">
            <v>CENTRO</v>
          </cell>
          <cell r="Z1043"/>
          <cell r="AA1043" t="str">
            <v>Bogota</v>
          </cell>
          <cell r="AB1043" t="str">
            <v>Horizonte</v>
          </cell>
          <cell r="AC1043" t="str">
            <v>Av. Cll 134 # 7b- 83 Edificio el Bosque piso 2 Consultorio 2018</v>
          </cell>
          <cell r="AE1043"/>
          <cell r="AF1043"/>
          <cell r="AG1043">
            <v>22</v>
          </cell>
          <cell r="AH1043">
            <v>32</v>
          </cell>
        </row>
        <row r="1044">
          <cell r="T1044" t="str">
            <v>MARYAM GONZALES</v>
          </cell>
          <cell r="U1044" t="str">
            <v>CRA 100 N 148-78</v>
          </cell>
          <cell r="V1044">
            <v>0</v>
          </cell>
          <cell r="W1044"/>
          <cell r="X1044">
            <v>3104914003</v>
          </cell>
          <cell r="Y1044" t="str">
            <v>CENTRO</v>
          </cell>
          <cell r="Z1044"/>
          <cell r="AA1044" t="str">
            <v>BOGOTÁ</v>
          </cell>
          <cell r="AB1044" t="str">
            <v>Occidente</v>
          </cell>
          <cell r="AC1044" t="str">
            <v>Calle 5C No. 71C - 29 Torre B Piso 2 
Edificio Servicios Ambulatorios</v>
          </cell>
          <cell r="AE1044"/>
          <cell r="AF1044"/>
          <cell r="AG1044">
            <v>17</v>
          </cell>
          <cell r="AH1044">
            <v>32</v>
          </cell>
        </row>
        <row r="1045">
          <cell r="T1045" t="str">
            <v xml:space="preserve">ROSA VERBEL </v>
          </cell>
          <cell r="U1045" t="str">
            <v xml:space="preserve">ARROZ BARATO </v>
          </cell>
          <cell r="V1045" t="str">
            <v xml:space="preserve">ARROZ BARATO </v>
          </cell>
          <cell r="W1045"/>
          <cell r="X1045" t="str">
            <v xml:space="preserve"> 3014650169-317739631</v>
          </cell>
          <cell r="Y1045" t="str">
            <v>NORTE</v>
          </cell>
          <cell r="Z1045"/>
          <cell r="AA1045" t="str">
            <v>CARTAGENA</v>
          </cell>
          <cell r="AB1045" t="str">
            <v>Cartagena</v>
          </cell>
          <cell r="AC1045" t="str">
            <v>Barrio La Plazuela Carrera 71 # 29 - 236 CC shoping center La plazuela local 16</v>
          </cell>
          <cell r="AE1045"/>
          <cell r="AF1045"/>
          <cell r="AG1045">
            <v>6</v>
          </cell>
          <cell r="AH1045">
            <v>20</v>
          </cell>
        </row>
        <row r="1046">
          <cell r="T1046" t="str">
            <v xml:space="preserve">SANDRA SUAREZ </v>
          </cell>
          <cell r="U1046" t="str">
            <v>CRA 117B #18A-17</v>
          </cell>
          <cell r="V1046">
            <v>0</v>
          </cell>
          <cell r="W1046"/>
          <cell r="X1046">
            <v>3203372299</v>
          </cell>
          <cell r="Y1046" t="str">
            <v>CENTRO</v>
          </cell>
          <cell r="Z1046"/>
          <cell r="AA1046" t="str">
            <v>BOGOTÁ</v>
          </cell>
          <cell r="AB1046" t="str">
            <v>Occidente</v>
          </cell>
          <cell r="AC1046" t="str">
            <v>Calle 5C No. 71C - 29 Torre B Piso 2 
Edificio Servicios Ambulatorios</v>
          </cell>
          <cell r="AE1046"/>
          <cell r="AF1046"/>
          <cell r="AG1046">
            <v>10</v>
          </cell>
          <cell r="AH1046">
            <v>35</v>
          </cell>
        </row>
        <row r="1047">
          <cell r="T1047" t="str">
            <v xml:space="preserve">SEBASTIAN  DEL  PORTILLO </v>
          </cell>
          <cell r="U1047" t="str">
            <v>CRA 87 B N 19 A -21</v>
          </cell>
          <cell r="V1047">
            <v>0</v>
          </cell>
          <cell r="W1047"/>
          <cell r="X1047">
            <v>3106499423</v>
          </cell>
          <cell r="Y1047" t="str">
            <v>CENTRO</v>
          </cell>
          <cell r="Z1047"/>
          <cell r="AA1047" t="str">
            <v>Bogota</v>
          </cell>
          <cell r="AB1047" t="str">
            <v>Horizonte</v>
          </cell>
          <cell r="AC1047" t="str">
            <v>Av. Cll 134 # 7b- 83 Edificio el Bosque piso 2 Consultorio 2018</v>
          </cell>
          <cell r="AE1047"/>
          <cell r="AF1047"/>
          <cell r="AG1047">
            <v>20</v>
          </cell>
          <cell r="AH1047">
            <v>39</v>
          </cell>
        </row>
        <row r="1048">
          <cell r="T1048" t="str">
            <v xml:space="preserve">WILLIAN OSORIO </v>
          </cell>
          <cell r="U1048" t="str">
            <v xml:space="preserve">CANAPOTE </v>
          </cell>
          <cell r="V1048" t="str">
            <v xml:space="preserve">CANAPOTE </v>
          </cell>
          <cell r="W1048"/>
          <cell r="X1048" t="str">
            <v>3146477455-3106859569</v>
          </cell>
          <cell r="Y1048" t="str">
            <v>NORTE</v>
          </cell>
          <cell r="Z1048"/>
          <cell r="AA1048" t="str">
            <v>CARTAGENA</v>
          </cell>
          <cell r="AB1048" t="str">
            <v>Cartagena</v>
          </cell>
          <cell r="AC1048" t="str">
            <v>Barrio La Plazuela Carrera 71 # 29 - 236 CC shoping center La plazuela local 16</v>
          </cell>
          <cell r="AE1048"/>
          <cell r="AF1048"/>
          <cell r="AG1048">
            <v>10</v>
          </cell>
          <cell r="AH1048">
            <v>25</v>
          </cell>
        </row>
        <row r="1049">
          <cell r="T1049" t="str">
            <v xml:space="preserve">Dra. YENNY VILLAREAL </v>
          </cell>
          <cell r="U1049" t="str">
            <v xml:space="preserve">Calle 45A # 57A- 63 </v>
          </cell>
          <cell r="V1049" t="str">
            <v xml:space="preserve">Galerias </v>
          </cell>
          <cell r="W1049"/>
          <cell r="X1049">
            <v>3202024278</v>
          </cell>
          <cell r="Y1049" t="str">
            <v>CENTRO</v>
          </cell>
          <cell r="Z1049"/>
          <cell r="AA1049" t="str">
            <v>BOGOTÁ</v>
          </cell>
          <cell r="AB1049" t="str">
            <v>Occidente</v>
          </cell>
          <cell r="AC1049" t="str">
            <v>Calle 5C No. 71C - 29 Torre B Piso 2 
Edificio Servicios Ambulatorios</v>
          </cell>
          <cell r="AE1049"/>
          <cell r="AF1049"/>
          <cell r="AG1049">
            <v>11</v>
          </cell>
          <cell r="AH1049">
            <v>28</v>
          </cell>
        </row>
        <row r="1050">
          <cell r="T1050" t="str">
            <v xml:space="preserve">CLAUDIA QUINTERO </v>
          </cell>
          <cell r="U1050" t="str">
            <v>Clle 12 b Sur No 53 b11 Piso 2 . Barrio Guayabal. Sector la Colina</v>
          </cell>
          <cell r="V1050" t="str">
            <v xml:space="preserve">GUAYABAL </v>
          </cell>
          <cell r="W1050"/>
          <cell r="X1050">
            <v>3207828354</v>
          </cell>
          <cell r="Y1050" t="str">
            <v>SUROCCIDENTE</v>
          </cell>
          <cell r="Z1050"/>
          <cell r="AA1050" t="str">
            <v xml:space="preserve">RIONEGRO </v>
          </cell>
          <cell r="AB1050" t="str">
            <v>Clinica somer</v>
          </cell>
          <cell r="AC1050" t="str">
            <v>Cll. 38 # 54 A - 35 piso 4 Rionegro</v>
          </cell>
          <cell r="AE1050"/>
          <cell r="AF1050"/>
          <cell r="AG1050">
            <v>37</v>
          </cell>
          <cell r="AH1050">
            <v>50</v>
          </cell>
        </row>
        <row r="1051">
          <cell r="T1051" t="str">
            <v xml:space="preserve">CLAUDIA RODRIGUEZ </v>
          </cell>
          <cell r="U1051" t="str">
            <v>Mz 111 Lote 10 Barrio La Pradera</v>
          </cell>
          <cell r="V1051" t="str">
            <v>La Pradera</v>
          </cell>
          <cell r="W1051"/>
          <cell r="X1051">
            <v>3103523305</v>
          </cell>
          <cell r="Y1051" t="str">
            <v>NORTE</v>
          </cell>
          <cell r="Z1051"/>
          <cell r="AA1051" t="str">
            <v>Monteria</v>
          </cell>
          <cell r="AB1051" t="str">
            <v>Monteria</v>
          </cell>
          <cell r="AC1051" t="str">
            <v>Cra. 9 # 27-27 Edificio Cenecor</v>
          </cell>
          <cell r="AE1051"/>
          <cell r="AF1051"/>
          <cell r="AG1051">
            <v>2</v>
          </cell>
          <cell r="AH1051">
            <v>7</v>
          </cell>
        </row>
        <row r="1052">
          <cell r="T1052" t="str">
            <v xml:space="preserve">JOHANA ECHEVERRY </v>
          </cell>
          <cell r="U1052" t="str">
            <v>Vereda Ojo de Agua</v>
          </cell>
          <cell r="V1052" t="str">
            <v>Vereda Ojo de Agua</v>
          </cell>
          <cell r="W1052"/>
          <cell r="X1052">
            <v>0</v>
          </cell>
          <cell r="Y1052" t="str">
            <v>SUROCCIDENTE</v>
          </cell>
          <cell r="Z1052"/>
          <cell r="AA1052" t="str">
            <v xml:space="preserve">RIONEGRO </v>
          </cell>
          <cell r="AB1052" t="str">
            <v>Clinica somer</v>
          </cell>
          <cell r="AC1052" t="str">
            <v>Cll. 38 # 54 A - 35 piso 4 Rionegro</v>
          </cell>
          <cell r="AE1052"/>
          <cell r="AF1052"/>
          <cell r="AG1052">
            <v>5</v>
          </cell>
          <cell r="AH1052">
            <v>10</v>
          </cell>
        </row>
        <row r="1053">
          <cell r="T1053" t="str">
            <v>Johana Peña</v>
          </cell>
          <cell r="U1053" t="str">
            <v>Calle 72 sur N° 43a - 22 Interior 303 Br. Betania Edificio Girasoles Sabaneta</v>
          </cell>
          <cell r="V1053" t="str">
            <v xml:space="preserve">BETANIA </v>
          </cell>
          <cell r="W1053"/>
          <cell r="X1053">
            <v>3224970185</v>
          </cell>
          <cell r="Y1053" t="str">
            <v>SUROCCIDENTE</v>
          </cell>
          <cell r="Z1053"/>
          <cell r="AA1053" t="str">
            <v>Medellin</v>
          </cell>
          <cell r="AB1053" t="str">
            <v>Las Américas</v>
          </cell>
          <cell r="AC1053" t="str">
            <v xml:space="preserve">Dg.75B # 2 A - 80 piso 3 </v>
          </cell>
          <cell r="AE1053"/>
          <cell r="AF1053"/>
          <cell r="AG1053">
            <v>11</v>
          </cell>
          <cell r="AH1053">
            <v>15</v>
          </cell>
        </row>
        <row r="1054">
          <cell r="T1054" t="str">
            <v>Juan Jose Echeverri Valencia</v>
          </cell>
          <cell r="U1054" t="str">
            <v>carrera 64 nro. 55-117   -  Cumbre – Bello</v>
          </cell>
          <cell r="V1054">
            <v>0</v>
          </cell>
          <cell r="W1054"/>
          <cell r="X1054">
            <v>3044842941</v>
          </cell>
          <cell r="Y1054" t="str">
            <v>SUROCCIDENTE</v>
          </cell>
          <cell r="Z1054"/>
          <cell r="AA1054" t="str">
            <v>Medellin</v>
          </cell>
          <cell r="AB1054" t="str">
            <v>Envigado</v>
          </cell>
          <cell r="AC1054" t="str">
            <v>Dg. 31 # 36 A Sur - 80</v>
          </cell>
          <cell r="AE1054"/>
          <cell r="AF1054"/>
          <cell r="AG1054">
            <v>23</v>
          </cell>
          <cell r="AH1054">
            <v>50</v>
          </cell>
        </row>
        <row r="1055">
          <cell r="T1055" t="str">
            <v xml:space="preserve">Katerine Santa Maria </v>
          </cell>
          <cell r="U1055" t="str">
            <v xml:space="preserve">Calle 79 Sur # 55-95 Edificio Romazino - Barrios las brisas La Estrella </v>
          </cell>
          <cell r="V1055" t="str">
            <v xml:space="preserve">LAS BRISAS </v>
          </cell>
          <cell r="W1055"/>
          <cell r="X1055">
            <v>3107751129</v>
          </cell>
          <cell r="Y1055" t="str">
            <v>SUROCCIDENTE</v>
          </cell>
          <cell r="Z1055"/>
          <cell r="AA1055" t="str">
            <v>Medellin</v>
          </cell>
          <cell r="AB1055" t="str">
            <v>Hosp. San Vicente de Paúl</v>
          </cell>
          <cell r="AC1055" t="str">
            <v>Cll. 64 # 51 D - 70 HSVP</v>
          </cell>
          <cell r="AE1055"/>
          <cell r="AF1055"/>
          <cell r="AG1055">
            <v>20</v>
          </cell>
          <cell r="AH1055">
            <v>30</v>
          </cell>
        </row>
        <row r="1056">
          <cell r="T1056" t="str">
            <v>Leandro Palacio</v>
          </cell>
          <cell r="U1056" t="str">
            <v>calle 60 #45D-26 Unidad San Miguel de Vallarta, barrio Prado Centro</v>
          </cell>
          <cell r="V1056">
            <v>0</v>
          </cell>
          <cell r="W1056" t="str">
            <v>Prado Centro</v>
          </cell>
          <cell r="X1056">
            <v>3116301529</v>
          </cell>
          <cell r="Y1056" t="str">
            <v>SUROCCIDENTE</v>
          </cell>
          <cell r="Z1056"/>
          <cell r="AA1056" t="str">
            <v xml:space="preserve">Medellin </v>
          </cell>
          <cell r="AB1056" t="str">
            <v>Belen</v>
          </cell>
          <cell r="AC1056" t="str">
            <v>Cra 65B No. 30  - 95 Torre médica, piso 5</v>
          </cell>
          <cell r="AE1056"/>
          <cell r="AF1056"/>
          <cell r="AG1056" t="str">
            <v>5 km</v>
          </cell>
          <cell r="AH1056" t="str">
            <v>8 min</v>
          </cell>
          <cell r="AL1056">
            <v>25000</v>
          </cell>
        </row>
        <row r="1057">
          <cell r="T1057" t="str">
            <v>Sandra Santofinio</v>
          </cell>
          <cell r="U1057" t="str">
            <v>Cra. 9 # 27-27 Edificio Cenecor</v>
          </cell>
          <cell r="V1057">
            <v>0</v>
          </cell>
          <cell r="W1057"/>
          <cell r="X1057" t="e">
            <v>#REF!</v>
          </cell>
          <cell r="Y1057" t="str">
            <v>NORTE</v>
          </cell>
          <cell r="Z1057"/>
          <cell r="AA1057" t="str">
            <v>Monteria</v>
          </cell>
          <cell r="AB1057" t="str">
            <v>Monteria</v>
          </cell>
          <cell r="AC1057" t="str">
            <v>Cra. 9 # 27-27 Edificio Cenecor</v>
          </cell>
          <cell r="AG1057">
            <v>0</v>
          </cell>
          <cell r="AH1057">
            <v>0</v>
          </cell>
        </row>
        <row r="1058">
          <cell r="T1058" t="str">
            <v xml:space="preserve">Yesica Mejia </v>
          </cell>
          <cell r="U1058" t="str">
            <v xml:space="preserve">CR 15#5A-25 BARRIO AURELIO MEJIA, MUNICIPIO DE GIRARDOTA </v>
          </cell>
          <cell r="V1058">
            <v>0</v>
          </cell>
          <cell r="W1058" t="str">
            <v>INTERMUNICIPAL</v>
          </cell>
          <cell r="X1058">
            <v>3205346322</v>
          </cell>
          <cell r="Y1058" t="str">
            <v>SUROCCIDENTE</v>
          </cell>
          <cell r="Z1058"/>
          <cell r="AA1058" t="str">
            <v xml:space="preserve">Medellin </v>
          </cell>
          <cell r="AB1058" t="str">
            <v>Bello</v>
          </cell>
          <cell r="AC1058" t="str">
            <v>Dg.  50A # 41 - 74</v>
          </cell>
          <cell r="AG1058" t="str">
            <v>15 km</v>
          </cell>
          <cell r="AH1058" t="str">
            <v>19 min</v>
          </cell>
        </row>
        <row r="1059">
          <cell r="T1059" t="str">
            <v>LUIS CARLOS MEJIA</v>
          </cell>
          <cell r="U1059" t="str">
            <v xml:space="preserve">Cra. 24 # 154-106 </v>
          </cell>
          <cell r="V1059">
            <v>0</v>
          </cell>
          <cell r="W1059"/>
          <cell r="X1059" t="str">
            <v>PENDIENTE POR CONFIRMAR</v>
          </cell>
          <cell r="Y1059" t="str">
            <v>NORTE</v>
          </cell>
          <cell r="Z1059"/>
          <cell r="AA1059" t="str">
            <v>Bucaramanga</v>
          </cell>
          <cell r="AB1059" t="str">
            <v xml:space="preserve">Foscal </v>
          </cell>
          <cell r="AC1059" t="str">
            <v>Cra. 24 # 154-106 Centro Médico Ardila Lule Torre B. Piso 12</v>
          </cell>
          <cell r="AG1059">
            <v>4</v>
          </cell>
          <cell r="AH1059">
            <v>7</v>
          </cell>
        </row>
        <row r="1060">
          <cell r="T1060" t="str">
            <v>PAULA PALACIO</v>
          </cell>
          <cell r="U1060"/>
          <cell r="V1060">
            <v>0</v>
          </cell>
          <cell r="W1060"/>
          <cell r="X1060" t="e">
            <v>#REF!</v>
          </cell>
          <cell r="Y1060" t="str">
            <v>SUROCCIDENTE</v>
          </cell>
          <cell r="Z1060"/>
          <cell r="AA1060" t="str">
            <v>PEREIRA</v>
          </cell>
          <cell r="AB1060" t="str">
            <v xml:space="preserve">Pereira </v>
          </cell>
          <cell r="AC1060" t="str">
            <v>Avenida Juan B. Gutierrez # 17-55.  Piso 1 Edificio Icono</v>
          </cell>
          <cell r="AG1060">
            <v>0</v>
          </cell>
          <cell r="AH1060">
            <v>0</v>
          </cell>
        </row>
        <row r="1061">
          <cell r="T1061" t="str">
            <v>TATIANA BERMUDEZ</v>
          </cell>
          <cell r="U1061" t="str">
            <v>Calle 29Sur No. 29 - 05 San Jorge Segunta Etapa</v>
          </cell>
          <cell r="V1061">
            <v>0</v>
          </cell>
          <cell r="W1061"/>
          <cell r="X1061">
            <v>3209669810</v>
          </cell>
          <cell r="Y1061" t="str">
            <v>CENTRO</v>
          </cell>
          <cell r="Z1061"/>
          <cell r="AA1061" t="str">
            <v xml:space="preserve">Neiva </v>
          </cell>
          <cell r="AB1061" t="str">
            <v>NEIVA</v>
          </cell>
          <cell r="AC1061" t="str">
            <v>Calle 10 No. 5-45 locales 301 y 401 Edificio Salto de Bordones barrio centro</v>
          </cell>
          <cell r="AG1061">
            <v>12</v>
          </cell>
          <cell r="AH1061">
            <v>20</v>
          </cell>
        </row>
        <row r="1062">
          <cell r="T1062" t="str">
            <v>Jenifer Ripe</v>
          </cell>
          <cell r="U1062" t="str">
            <v>Cra 43a # 75B sur - 137 zaratoga - Sabaneta</v>
          </cell>
          <cell r="V1062" t="str">
            <v xml:space="preserve">SABANETA </v>
          </cell>
          <cell r="W1062"/>
          <cell r="X1062">
            <v>3112774771</v>
          </cell>
          <cell r="Y1062" t="str">
            <v>SUROCCIDENTE</v>
          </cell>
          <cell r="Z1062"/>
          <cell r="AA1062" t="str">
            <v>Medellin</v>
          </cell>
          <cell r="AB1062" t="str">
            <v>Envigado</v>
          </cell>
          <cell r="AC1062" t="str">
            <v>Dg. 31 # 36 A Sur - 80</v>
          </cell>
          <cell r="AG1062" t="str">
            <v>5 km</v>
          </cell>
          <cell r="AH1062" t="str">
            <v>8 min</v>
          </cell>
        </row>
        <row r="1063">
          <cell r="T1063" t="str">
            <v>Arleys Ascendra</v>
          </cell>
          <cell r="U1063" t="str">
            <v>Cra. 9 # 27-27 Edificio Cenecor</v>
          </cell>
          <cell r="V1063">
            <v>0</v>
          </cell>
          <cell r="W1063"/>
          <cell r="X1063" t="e">
            <v>#REF!</v>
          </cell>
          <cell r="Y1063" t="str">
            <v>NORTE</v>
          </cell>
          <cell r="Z1063"/>
          <cell r="AA1063" t="str">
            <v>Monteria</v>
          </cell>
          <cell r="AB1063" t="str">
            <v>Monteria</v>
          </cell>
          <cell r="AC1063" t="str">
            <v>Cra. 9 # 27-27 Edificio Cenecor</v>
          </cell>
          <cell r="AG1063">
            <v>0</v>
          </cell>
          <cell r="AH1063">
            <v>0</v>
          </cell>
        </row>
        <row r="1064">
          <cell r="T1064" t="str">
            <v xml:space="preserve">HERNANDO ESCOBAR </v>
          </cell>
          <cell r="U1064" t="str">
            <v>Cll. 38 # 54 A - 35 piso 4 Rionegro</v>
          </cell>
          <cell r="V1064" t="str">
            <v>RIONEGRO</v>
          </cell>
          <cell r="W1064"/>
          <cell r="X1064">
            <v>0</v>
          </cell>
          <cell r="Y1064" t="str">
            <v>SUROCCIDENTE</v>
          </cell>
          <cell r="Z1064"/>
          <cell r="AA1064" t="str">
            <v xml:space="preserve">RIONEGRO </v>
          </cell>
          <cell r="AB1064" t="str">
            <v>Clinica somer</v>
          </cell>
          <cell r="AC1064" t="str">
            <v>Cll. 38 # 54 A - 35 piso 4 Rionegro</v>
          </cell>
          <cell r="AG1064">
            <v>0</v>
          </cell>
          <cell r="AH1064">
            <v>0</v>
          </cell>
        </row>
        <row r="1065">
          <cell r="T1065" t="str">
            <v>Jaime Anibal Ramirez</v>
          </cell>
          <cell r="U1065" t="str">
            <v xml:space="preserve">Cra.52 a #39-09 Barrio Ensenillas Rionegro </v>
          </cell>
          <cell r="V1065">
            <v>0</v>
          </cell>
          <cell r="W1065"/>
          <cell r="X1065" t="e">
            <v>#REF!</v>
          </cell>
          <cell r="Y1065" t="str">
            <v>SUROCCIDENTE</v>
          </cell>
          <cell r="Z1065"/>
          <cell r="AA1065" t="str">
            <v xml:space="preserve">RIONEGRO </v>
          </cell>
          <cell r="AB1065" t="str">
            <v>Clinica Somer</v>
          </cell>
          <cell r="AC1065" t="str">
            <v>Cll. 38 # 54 A - 35 piso 4 Rionegro</v>
          </cell>
          <cell r="AG1065">
            <v>0</v>
          </cell>
          <cell r="AH1065">
            <v>0</v>
          </cell>
        </row>
        <row r="1066">
          <cell r="T1066" t="str">
            <v>Margarita Cabrales</v>
          </cell>
          <cell r="U1066" t="str">
            <v>Cra. 9 # 27-27 Edificio Cenecor</v>
          </cell>
          <cell r="V1066">
            <v>0</v>
          </cell>
          <cell r="W1066"/>
          <cell r="X1066">
            <v>3116839557</v>
          </cell>
          <cell r="Y1066" t="str">
            <v>NORTE</v>
          </cell>
          <cell r="Z1066"/>
          <cell r="AA1066" t="str">
            <v>Monteria</v>
          </cell>
          <cell r="AB1066" t="str">
            <v>Monteria</v>
          </cell>
          <cell r="AC1066" t="str">
            <v>Cra. 9 # 27-27 Edificio Cenecor</v>
          </cell>
          <cell r="AG1066">
            <v>0</v>
          </cell>
          <cell r="AH1066">
            <v>0</v>
          </cell>
        </row>
        <row r="1067">
          <cell r="T1067" t="str">
            <v>MARIA ELENA HINCAPIE ARIAS</v>
          </cell>
          <cell r="U1067" t="str">
            <v>Cll. 38 # 54 A - 35 piso 4 Rionegro</v>
          </cell>
          <cell r="V1067" t="str">
            <v>RIONEGRO</v>
          </cell>
          <cell r="W1067"/>
          <cell r="X1067" t="e">
            <v>#REF!</v>
          </cell>
          <cell r="Y1067" t="str">
            <v>SUROCCIDENTE</v>
          </cell>
          <cell r="Z1067"/>
          <cell r="AA1067" t="str">
            <v xml:space="preserve">RIONEGRO </v>
          </cell>
          <cell r="AB1067" t="str">
            <v>Clinica somer</v>
          </cell>
          <cell r="AC1067" t="str">
            <v>Cll. 38 # 54 A - 35 piso 4 Rionegro</v>
          </cell>
          <cell r="AG1067">
            <v>0</v>
          </cell>
          <cell r="AH1067">
            <v>0</v>
          </cell>
        </row>
        <row r="1068">
          <cell r="T1068" t="str">
            <v>Adriana Giraldo</v>
          </cell>
          <cell r="U1068" t="str">
            <v xml:space="preserve">Cra.52 a #39-09 Barrio Ensenillas Rionegro </v>
          </cell>
          <cell r="V1068" t="str">
            <v>Ensenillas</v>
          </cell>
          <cell r="W1068"/>
          <cell r="X1068" t="e">
            <v>#REF!</v>
          </cell>
          <cell r="Y1068" t="str">
            <v>SUROCCIDENTE</v>
          </cell>
          <cell r="Z1068"/>
          <cell r="AA1068" t="str">
            <v xml:space="preserve">RIONEGRO </v>
          </cell>
          <cell r="AB1068" t="str">
            <v>Clinica somer</v>
          </cell>
          <cell r="AC1068" t="str">
            <v>Cll. 38 # 54 A - 35 piso 4 Rionegro</v>
          </cell>
          <cell r="AG1068">
            <v>0</v>
          </cell>
          <cell r="AH1068">
            <v>0</v>
          </cell>
        </row>
        <row r="1069">
          <cell r="T1069" t="str">
            <v xml:space="preserve">AMPARO BUELVAS </v>
          </cell>
          <cell r="U1069" t="str">
            <v>Cra. 9 # 27-27 Edificio Cenecor</v>
          </cell>
          <cell r="V1069">
            <v>0</v>
          </cell>
          <cell r="W1069"/>
          <cell r="X1069" t="e">
            <v>#REF!</v>
          </cell>
          <cell r="Y1069" t="str">
            <v>NORTE</v>
          </cell>
          <cell r="Z1069"/>
          <cell r="AA1069" t="str">
            <v>Monteria</v>
          </cell>
          <cell r="AB1069" t="str">
            <v>Monteria</v>
          </cell>
          <cell r="AC1069" t="str">
            <v>Cra. 9 # 27-27 Edificio Cenecor</v>
          </cell>
          <cell r="AG1069">
            <v>0</v>
          </cell>
          <cell r="AH1069">
            <v>0</v>
          </cell>
        </row>
        <row r="1070">
          <cell r="T1070" t="str">
            <v xml:space="preserve">MARIA MEDRANO </v>
          </cell>
          <cell r="U1070" t="str">
            <v>Cra. 9 # 27-27 Edificio Cenecor</v>
          </cell>
          <cell r="V1070">
            <v>0</v>
          </cell>
          <cell r="W1070"/>
          <cell r="X1070">
            <v>0</v>
          </cell>
          <cell r="Y1070" t="str">
            <v>NORTE</v>
          </cell>
          <cell r="Z1070"/>
          <cell r="AA1070" t="str">
            <v>Monteria</v>
          </cell>
          <cell r="AB1070" t="str">
            <v>Monteria</v>
          </cell>
          <cell r="AC1070" t="str">
            <v>Cra. 9 # 27-27 Edificio Cenecor</v>
          </cell>
          <cell r="AG1070">
            <v>0</v>
          </cell>
          <cell r="AH1070">
            <v>0</v>
          </cell>
        </row>
        <row r="1071">
          <cell r="T1071" t="str">
            <v>Mario Bocanegra</v>
          </cell>
          <cell r="U1071" t="str">
            <v>Calle 9 No. 16-38 Av Centenario Hospital San Juan de Dios Honda</v>
          </cell>
          <cell r="V1071">
            <v>0</v>
          </cell>
          <cell r="W1071"/>
          <cell r="X1071">
            <v>3175099366</v>
          </cell>
          <cell r="Y1071" t="str">
            <v>CENTRO</v>
          </cell>
          <cell r="Z1071"/>
          <cell r="AA1071" t="str">
            <v>Honda</v>
          </cell>
          <cell r="AB1071" t="str">
            <v>Honda</v>
          </cell>
          <cell r="AC1071" t="str">
            <v>Calle 9 No. 16-38 Av Centenario Hospital San Juan de Dios Honda</v>
          </cell>
          <cell r="AG1071">
            <v>0</v>
          </cell>
          <cell r="AH1071">
            <v>0</v>
          </cell>
        </row>
        <row r="1072">
          <cell r="T1072" t="str">
            <v xml:space="preserve">MARLON PEREZ </v>
          </cell>
          <cell r="U1072" t="str">
            <v>Cra. 9 # 27-27 Edificio Cenecor</v>
          </cell>
          <cell r="V1072">
            <v>0</v>
          </cell>
          <cell r="W1072"/>
          <cell r="X1072">
            <v>3017922474</v>
          </cell>
          <cell r="Y1072" t="str">
            <v>NORTE</v>
          </cell>
          <cell r="Z1072"/>
          <cell r="AA1072" t="str">
            <v>Monteria</v>
          </cell>
          <cell r="AB1072" t="str">
            <v>Monteria</v>
          </cell>
          <cell r="AC1072" t="str">
            <v>Cra. 9 # 27-27 Edificio Cenecor</v>
          </cell>
          <cell r="AG1072">
            <v>0</v>
          </cell>
          <cell r="AH1072">
            <v>0</v>
          </cell>
        </row>
        <row r="1073">
          <cell r="T1073" t="str">
            <v xml:space="preserve">NEVIS CANTERO </v>
          </cell>
          <cell r="U1073" t="str">
            <v>Cra. 9 # 27-27 Edificio Cenecor</v>
          </cell>
          <cell r="V1073">
            <v>0</v>
          </cell>
          <cell r="W1073"/>
          <cell r="X1073">
            <v>3145317991</v>
          </cell>
          <cell r="Y1073" t="str">
            <v>NORTE</v>
          </cell>
          <cell r="Z1073"/>
          <cell r="AA1073" t="str">
            <v>Monteria</v>
          </cell>
          <cell r="AB1073" t="str">
            <v>Monteria</v>
          </cell>
          <cell r="AC1073" t="str">
            <v>Cra. 9 # 27-27 Edificio Cenecor</v>
          </cell>
          <cell r="AG1073">
            <v>0</v>
          </cell>
          <cell r="AH1073">
            <v>0</v>
          </cell>
        </row>
        <row r="1074">
          <cell r="T1074" t="str">
            <v xml:space="preserve">TERESA  PATIÑO </v>
          </cell>
          <cell r="U1074" t="str">
            <v>Carrera 68 # 20 - 30 B/ la Hacienda</v>
          </cell>
          <cell r="V1074">
            <v>0</v>
          </cell>
          <cell r="W1074"/>
          <cell r="X1074">
            <v>3174215928</v>
          </cell>
          <cell r="Y1074" t="str">
            <v>SUROCCIDENTE</v>
          </cell>
          <cell r="Z1074"/>
          <cell r="AA1074" t="str">
            <v>Cali</v>
          </cell>
          <cell r="AB1074" t="str">
            <v>IMBANACO</v>
          </cell>
          <cell r="AC1074" t="str">
            <v>Cll. 5B 4  # 38 -123</v>
          </cell>
          <cell r="AG1074">
            <v>0</v>
          </cell>
          <cell r="AH1074">
            <v>0</v>
          </cell>
        </row>
        <row r="1075">
          <cell r="T1075" t="str">
            <v>Susana Ayano</v>
          </cell>
          <cell r="U1075" t="str">
            <v>Cra. 9 # 27-27 Edificio Cenecor</v>
          </cell>
          <cell r="V1075">
            <v>0</v>
          </cell>
          <cell r="W1075"/>
          <cell r="X1075">
            <v>0</v>
          </cell>
          <cell r="Y1075" t="str">
            <v>NORTE</v>
          </cell>
          <cell r="Z1075"/>
          <cell r="AA1075" t="str">
            <v>Monteria</v>
          </cell>
          <cell r="AB1075" t="str">
            <v>Monteria</v>
          </cell>
          <cell r="AC1075" t="str">
            <v>Cra. 9 # 27-27 Edificio Cenecor</v>
          </cell>
          <cell r="AG1075">
            <v>0</v>
          </cell>
          <cell r="AH1075">
            <v>0</v>
          </cell>
        </row>
        <row r="1076">
          <cell r="T1076" t="str">
            <v>MARIA ZENAIDA CAÑAS</v>
          </cell>
          <cell r="U1076"/>
          <cell r="V1076">
            <v>0</v>
          </cell>
          <cell r="W1076"/>
          <cell r="X1076"/>
          <cell r="Y1076"/>
          <cell r="Z1076"/>
          <cell r="AA1076"/>
          <cell r="AB1076" t="str">
            <v>pereira</v>
          </cell>
          <cell r="AC1076"/>
          <cell r="AG1076"/>
          <cell r="AH1076"/>
        </row>
        <row r="1077">
          <cell r="T1077" t="str">
            <v>FERNANDA SERRANO</v>
          </cell>
          <cell r="U1077" t="str">
            <v>Calle 14 # 1-37 Barrio La Playa, Centro. Unidad Renal</v>
          </cell>
          <cell r="V1077">
            <v>0</v>
          </cell>
          <cell r="W1077"/>
          <cell r="X1077"/>
          <cell r="Y1077"/>
          <cell r="Z1077"/>
          <cell r="AA1077"/>
          <cell r="AB1077" t="str">
            <v>CUCUTA</v>
          </cell>
          <cell r="AC1077"/>
          <cell r="AG1077">
            <v>260</v>
          </cell>
          <cell r="AH1077">
            <v>1</v>
          </cell>
        </row>
        <row r="1078">
          <cell r="T1078" t="str">
            <v>SANDRA VARGAS</v>
          </cell>
          <cell r="U1078" t="str">
            <v xml:space="preserve">Calle 15 No. 24 - 36 </v>
          </cell>
          <cell r="V1078">
            <v>0</v>
          </cell>
          <cell r="W1078"/>
          <cell r="X1078"/>
          <cell r="Y1078"/>
          <cell r="Z1078"/>
          <cell r="AA1078"/>
          <cell r="AB1078" t="str">
            <v>CUCUTA</v>
          </cell>
          <cell r="AC1078"/>
          <cell r="AG1078" t="str">
            <v>7.7</v>
          </cell>
          <cell r="AH1078">
            <v>15</v>
          </cell>
        </row>
        <row r="1079">
          <cell r="T1079" t="str">
            <v xml:space="preserve">ANDRES SANCHEZ </v>
          </cell>
          <cell r="U1079" t="str">
            <v>CALE 47 No. 96 - 55 Atriun</v>
          </cell>
          <cell r="V1079" t="str">
            <v>VALLE DE LILI</v>
          </cell>
          <cell r="W1079"/>
          <cell r="X1079"/>
          <cell r="Y1079"/>
          <cell r="Z1079"/>
          <cell r="AA1079" t="str">
            <v>CALI</v>
          </cell>
          <cell r="AB1079" t="str">
            <v>Imbanaco</v>
          </cell>
          <cell r="AC1079"/>
          <cell r="AG1079" t="str">
            <v>6.0</v>
          </cell>
          <cell r="AH1079">
            <v>20</v>
          </cell>
        </row>
        <row r="1080">
          <cell r="T1080" t="str">
            <v>ANGELA CUELLAR</v>
          </cell>
          <cell r="U1080"/>
          <cell r="V1080">
            <v>0</v>
          </cell>
          <cell r="W1080"/>
          <cell r="X1080"/>
          <cell r="Y1080"/>
          <cell r="Z1080"/>
          <cell r="AA1080"/>
          <cell r="AB1080" t="str">
            <v>Girardot</v>
          </cell>
          <cell r="AC1080"/>
        </row>
        <row r="1081">
          <cell r="T1081" t="str">
            <v xml:space="preserve">ANGELA MARIA MARTINEZ </v>
          </cell>
          <cell r="U1081"/>
          <cell r="V1081">
            <v>0</v>
          </cell>
          <cell r="W1081"/>
          <cell r="X1081"/>
          <cell r="Y1081"/>
          <cell r="Z1081"/>
          <cell r="AA1081"/>
          <cell r="AB1081" t="str">
            <v>Imbanaco</v>
          </cell>
          <cell r="AC1081"/>
        </row>
        <row r="1082">
          <cell r="T1082" t="str">
            <v xml:space="preserve">Claudia Ovalle </v>
          </cell>
          <cell r="U1082"/>
          <cell r="V1082">
            <v>0</v>
          </cell>
          <cell r="W1082"/>
          <cell r="X1082"/>
          <cell r="Y1082"/>
          <cell r="Z1082"/>
          <cell r="AA1082"/>
          <cell r="AB1082" t="str">
            <v>Horizonte</v>
          </cell>
          <cell r="AC1082"/>
          <cell r="AG1082">
            <v>20</v>
          </cell>
          <cell r="AH1082">
            <v>34</v>
          </cell>
        </row>
        <row r="1083">
          <cell r="T1083" t="str">
            <v>CRISTIAN CAMILO ESTUPIÑAN VILLACRES</v>
          </cell>
          <cell r="U1083"/>
          <cell r="V1083" t="str">
            <v>el carmen</v>
          </cell>
          <cell r="W1083"/>
          <cell r="X1083"/>
          <cell r="Y1083"/>
          <cell r="Z1083" t="str">
            <v>el carmen</v>
          </cell>
          <cell r="AA1083"/>
          <cell r="AB1083" t="str">
            <v>Occidente</v>
          </cell>
          <cell r="AC1083"/>
          <cell r="AG1083">
            <v>7</v>
          </cell>
          <cell r="AH1083">
            <v>21</v>
          </cell>
        </row>
        <row r="1084">
          <cell r="T1084" t="str">
            <v>DAMARIS DURAN RUIZ</v>
          </cell>
          <cell r="U1084"/>
          <cell r="V1084">
            <v>0</v>
          </cell>
          <cell r="W1084"/>
          <cell r="X1084"/>
          <cell r="Y1084"/>
          <cell r="Z1084"/>
          <cell r="AA1084"/>
          <cell r="AB1084" t="str">
            <v>Cucuta</v>
          </cell>
          <cell r="AC1084"/>
          <cell r="AG1084" t="str">
            <v>2.2</v>
          </cell>
          <cell r="AH1084">
            <v>8</v>
          </cell>
        </row>
        <row r="1085">
          <cell r="T1085" t="str">
            <v>EDDY FABIAN CESPEDES</v>
          </cell>
          <cell r="U1085"/>
          <cell r="V1085" t="str">
            <v>Tierra Buena</v>
          </cell>
          <cell r="W1085"/>
          <cell r="X1085"/>
          <cell r="Y1085"/>
          <cell r="Z1085"/>
          <cell r="AA1085"/>
          <cell r="AB1085" t="str">
            <v>Occidente</v>
          </cell>
          <cell r="AC1085"/>
          <cell r="AG1085" t="str">
            <v>6.8</v>
          </cell>
          <cell r="AH1085">
            <v>22</v>
          </cell>
        </row>
        <row r="1086">
          <cell r="T1086" t="str">
            <v>FLOR MARINA BARRERA</v>
          </cell>
          <cell r="U1086"/>
          <cell r="V1086" t="str">
            <v xml:space="preserve">Suba </v>
          </cell>
          <cell r="W1086"/>
          <cell r="X1086"/>
          <cell r="Y1086"/>
          <cell r="Z1086"/>
          <cell r="AA1086"/>
          <cell r="AB1086" t="str">
            <v>Horizonte</v>
          </cell>
          <cell r="AC1086"/>
          <cell r="AG1086" t="str">
            <v>16.0</v>
          </cell>
          <cell r="AH1086">
            <v>28</v>
          </cell>
        </row>
        <row r="1087">
          <cell r="T1087" t="str">
            <v>Indira Arteaga</v>
          </cell>
          <cell r="U1087"/>
          <cell r="V1087" t="str">
            <v>La palma</v>
          </cell>
          <cell r="W1087"/>
          <cell r="X1087"/>
          <cell r="Y1087"/>
          <cell r="Z1087"/>
          <cell r="AA1087"/>
          <cell r="AB1087" t="str">
            <v>Envigado</v>
          </cell>
          <cell r="AC1087"/>
        </row>
        <row r="1088">
          <cell r="T1088" t="str">
            <v xml:space="preserve">INGRID CAROLINA SANCHEZ </v>
          </cell>
          <cell r="U1088"/>
          <cell r="V1088" t="str">
            <v xml:space="preserve">Chuniza </v>
          </cell>
          <cell r="W1088"/>
          <cell r="X1088"/>
          <cell r="Y1088"/>
          <cell r="Z1088"/>
          <cell r="AA1088"/>
          <cell r="AB1088" t="str">
            <v>Horizonte</v>
          </cell>
          <cell r="AC1088"/>
          <cell r="AG1088">
            <v>16</v>
          </cell>
          <cell r="AH1088">
            <v>30</v>
          </cell>
        </row>
        <row r="1089">
          <cell r="T1089" t="str">
            <v>JAKELINE NARVAES</v>
          </cell>
          <cell r="U1089"/>
          <cell r="V1089" t="str">
            <v>Bochalema</v>
          </cell>
          <cell r="W1089"/>
          <cell r="X1089"/>
          <cell r="Y1089"/>
          <cell r="Z1089"/>
          <cell r="AA1089"/>
          <cell r="AB1089" t="str">
            <v>Imbanaco</v>
          </cell>
          <cell r="AC1089"/>
          <cell r="AG1089" t="str">
            <v>6.8</v>
          </cell>
          <cell r="AH1089">
            <v>16</v>
          </cell>
        </row>
        <row r="1090">
          <cell r="T1090" t="str">
            <v xml:space="preserve">JONATHAN REINA </v>
          </cell>
          <cell r="U1090"/>
          <cell r="V1090" t="str">
            <v xml:space="preserve">Bosa San Bernadino </v>
          </cell>
          <cell r="W1090"/>
          <cell r="X1090"/>
          <cell r="Y1090"/>
          <cell r="Z1090"/>
          <cell r="AA1090"/>
          <cell r="AB1090" t="str">
            <v>Occidente</v>
          </cell>
          <cell r="AC1090"/>
          <cell r="AG1090" t="str">
            <v>9.1</v>
          </cell>
          <cell r="AH1090">
            <v>29</v>
          </cell>
        </row>
        <row r="1091">
          <cell r="T1091" t="str">
            <v>MONICA GILES</v>
          </cell>
          <cell r="U1091"/>
          <cell r="V1091">
            <v>0</v>
          </cell>
          <cell r="W1091"/>
          <cell r="X1091"/>
          <cell r="Y1091"/>
          <cell r="Z1091"/>
          <cell r="AA1091"/>
          <cell r="AB1091" t="str">
            <v xml:space="preserve">Occidente </v>
          </cell>
          <cell r="AC1091"/>
          <cell r="AG1091">
            <v>11</v>
          </cell>
          <cell r="AH1091">
            <v>29</v>
          </cell>
        </row>
        <row r="1092">
          <cell r="T1092" t="str">
            <v xml:space="preserve">NEFI CALDERON DIAZ </v>
          </cell>
          <cell r="U1092"/>
          <cell r="V1092">
            <v>0</v>
          </cell>
          <cell r="W1092"/>
          <cell r="X1092"/>
          <cell r="Y1092"/>
          <cell r="Z1092"/>
          <cell r="AA1092"/>
          <cell r="AB1092" t="str">
            <v>valledupar</v>
          </cell>
          <cell r="AC1092"/>
          <cell r="AG1092" t="str">
            <v>4.2</v>
          </cell>
          <cell r="AH1092">
            <v>10</v>
          </cell>
        </row>
        <row r="1093">
          <cell r="T1093" t="str">
            <v>SANDRA VIRGINIA CAMPO DE HOZ</v>
          </cell>
          <cell r="U1093"/>
          <cell r="V1093">
            <v>0</v>
          </cell>
          <cell r="W1093"/>
          <cell r="X1093"/>
          <cell r="Y1093"/>
          <cell r="Z1093"/>
          <cell r="AA1093"/>
          <cell r="AB1093" t="str">
            <v>Occidente</v>
          </cell>
          <cell r="AC1093"/>
          <cell r="AG1093" t="str">
            <v>14.8</v>
          </cell>
          <cell r="AH1093">
            <v>31</v>
          </cell>
        </row>
        <row r="1094">
          <cell r="T1094" t="str">
            <v xml:space="preserve">SAYI TATIANA SALAS DE LA ROSA </v>
          </cell>
          <cell r="U1094" t="str">
            <v xml:space="preserve">Mz 88 No. 16 Gurupal 4 etapa </v>
          </cell>
          <cell r="V1094">
            <v>0</v>
          </cell>
          <cell r="W1094"/>
          <cell r="X1094"/>
          <cell r="Y1094"/>
          <cell r="Z1094"/>
          <cell r="AA1094"/>
          <cell r="AB1094" t="str">
            <v>valledupar</v>
          </cell>
          <cell r="AC1094"/>
        </row>
        <row r="1095">
          <cell r="T1095" t="str">
            <v>SULEEIMA VILLEGAS</v>
          </cell>
          <cell r="U1095"/>
          <cell r="V1095">
            <v>0</v>
          </cell>
          <cell r="W1095"/>
          <cell r="X1095"/>
          <cell r="Y1095"/>
          <cell r="Z1095"/>
          <cell r="AA1095"/>
          <cell r="AB1095" t="str">
            <v>Imbanaco</v>
          </cell>
          <cell r="AC1095"/>
          <cell r="AG1095" t="str">
            <v>6.9</v>
          </cell>
          <cell r="AH1095">
            <v>17</v>
          </cell>
        </row>
        <row r="1096">
          <cell r="T1096" t="str">
            <v xml:space="preserve">LINA CUERO </v>
          </cell>
          <cell r="U1096" t="str">
            <v>Cra 39a No. 38 - 45b</v>
          </cell>
          <cell r="V1096">
            <v>0</v>
          </cell>
          <cell r="W1096"/>
          <cell r="X1096"/>
          <cell r="Y1096"/>
          <cell r="Z1096"/>
          <cell r="AA1096"/>
          <cell r="AB1096" t="str">
            <v>Nuestra Señora del Rosario</v>
          </cell>
          <cell r="AC1096"/>
          <cell r="AG1096" t="str">
            <v>4.2</v>
          </cell>
          <cell r="AH1096">
            <v>16</v>
          </cell>
        </row>
        <row r="1097">
          <cell r="T1097" t="str">
            <v>LUZ MONICA GILES</v>
          </cell>
          <cell r="U1097"/>
          <cell r="V1097">
            <v>0</v>
          </cell>
          <cell r="W1097"/>
          <cell r="X1097"/>
          <cell r="Y1097"/>
          <cell r="Z1097"/>
          <cell r="AA1097"/>
          <cell r="AB1097" t="str">
            <v xml:space="preserve">Occidente </v>
          </cell>
          <cell r="AC1097"/>
          <cell r="AG1097" t="str">
            <v>10.9</v>
          </cell>
          <cell r="AH1097">
            <v>28</v>
          </cell>
        </row>
        <row r="1098">
          <cell r="T1098" t="str">
            <v xml:space="preserve">PAULA GARRIDO MONTOYA </v>
          </cell>
          <cell r="U1098"/>
          <cell r="V1098">
            <v>0</v>
          </cell>
          <cell r="W1098"/>
          <cell r="X1098"/>
          <cell r="Y1098"/>
          <cell r="Z1098"/>
          <cell r="AA1098"/>
          <cell r="AB1098" t="str">
            <v>Imbanaco</v>
          </cell>
          <cell r="AC1098"/>
          <cell r="AG1098" t="str">
            <v>8.5</v>
          </cell>
          <cell r="AH1098">
            <v>20</v>
          </cell>
        </row>
        <row r="1099">
          <cell r="T1099" t="str">
            <v>VANESA ARANGO</v>
          </cell>
          <cell r="U1099"/>
          <cell r="V1099">
            <v>0</v>
          </cell>
          <cell r="W1099"/>
          <cell r="X1099"/>
          <cell r="Y1099"/>
          <cell r="Z1099"/>
          <cell r="AA1099"/>
          <cell r="AB1099" t="str">
            <v>Imbanaco</v>
          </cell>
          <cell r="AC1099"/>
          <cell r="AG1099">
            <v>17</v>
          </cell>
          <cell r="AH1099">
            <v>28</v>
          </cell>
        </row>
        <row r="1100">
          <cell r="T1100" t="str">
            <v>DAYANA CABALLERO</v>
          </cell>
          <cell r="AB1100" t="str">
            <v>foscal</v>
          </cell>
        </row>
        <row r="1101">
          <cell r="T1101" t="str">
            <v>Katherine Barajas</v>
          </cell>
          <cell r="AB1101" t="str">
            <v>foscal</v>
          </cell>
          <cell r="AG1101" t="str">
            <v>5.2</v>
          </cell>
          <cell r="AH1101">
            <v>10</v>
          </cell>
        </row>
        <row r="1102">
          <cell r="T1102" t="str">
            <v xml:space="preserve">Monica Cañizales </v>
          </cell>
          <cell r="AB1102" t="str">
            <v>foscal</v>
          </cell>
          <cell r="AG1102" t="str">
            <v>2.0</v>
          </cell>
          <cell r="AH1102">
            <v>3</v>
          </cell>
        </row>
        <row r="1103">
          <cell r="T1103" t="str">
            <v xml:space="preserve">MARIA FERNANDA ROMERO </v>
          </cell>
          <cell r="U1103" t="str">
            <v xml:space="preserve">Av. Carrera 9 No 185 a 18 </v>
          </cell>
          <cell r="AB1103" t="str">
            <v>Horizonte</v>
          </cell>
          <cell r="AG1103" t="str">
            <v>7.4</v>
          </cell>
          <cell r="AH1103">
            <v>18</v>
          </cell>
        </row>
        <row r="1104">
          <cell r="T1104" t="str">
            <v xml:space="preserve">María filia Alvarez </v>
          </cell>
          <cell r="U1104" t="str">
            <v xml:space="preserve">Carrera 1-36-50 </v>
          </cell>
          <cell r="V1104" t="str">
            <v>San Ignacio (Soacha)</v>
          </cell>
          <cell r="AB1104" t="str">
            <v>Occidente</v>
          </cell>
          <cell r="AG1104" t="str">
            <v>13.7</v>
          </cell>
          <cell r="AH1104">
            <v>40</v>
          </cell>
        </row>
        <row r="1105">
          <cell r="T1105" t="str">
            <v>LEONARDO FABIO FRAGOSO CASTILLA</v>
          </cell>
          <cell r="U1105" t="str">
            <v>Cra 4G #21bis-220</v>
          </cell>
          <cell r="V1105" t="str">
            <v>San Francisco de Asis</v>
          </cell>
          <cell r="AB1105" t="str">
            <v>Valledupar</v>
          </cell>
          <cell r="AG1105" t="str">
            <v>2.4</v>
          </cell>
          <cell r="AH1105">
            <v>6</v>
          </cell>
        </row>
        <row r="1106">
          <cell r="T1106" t="str">
            <v>MARCOS MAJARRES</v>
          </cell>
          <cell r="U1106" t="str">
            <v xml:space="preserve">Calle 33 # 3 - 13 </v>
          </cell>
          <cell r="V1106" t="str">
            <v>los marañanez</v>
          </cell>
          <cell r="AB1106" t="str">
            <v>Valledupar</v>
          </cell>
          <cell r="AG1106">
            <v>7</v>
          </cell>
          <cell r="AH1106">
            <v>16</v>
          </cell>
        </row>
        <row r="1107">
          <cell r="T1107" t="str">
            <v>Vanessa Villamil Pineda</v>
          </cell>
          <cell r="U1107" t="str">
            <v>Carrera 2 # 190a - 12</v>
          </cell>
          <cell r="V1107" t="str">
            <v>La estrella norte</v>
          </cell>
          <cell r="AB1107" t="str">
            <v>Horizonte</v>
          </cell>
          <cell r="AG1107" t="str">
            <v>8.6</v>
          </cell>
          <cell r="AH1107">
            <v>23</v>
          </cell>
        </row>
        <row r="1108">
          <cell r="T1108" t="str">
            <v>Katerin ortiz</v>
          </cell>
          <cell r="U1108" t="str">
            <v>Carrera 20#13b22</v>
          </cell>
          <cell r="AB1108" t="str">
            <v>Imbanaco</v>
          </cell>
          <cell r="AG1108" t="str">
            <v>3.6</v>
          </cell>
          <cell r="AH1108">
            <v>11</v>
          </cell>
        </row>
        <row r="1109">
          <cell r="T1109" t="str">
            <v>Gabriel guayil</v>
          </cell>
          <cell r="U1109" t="str">
            <v>Carrera 1#70265</v>
          </cell>
          <cell r="AB1109" t="str">
            <v>Imbanaco</v>
          </cell>
          <cell r="AG1109" t="str">
            <v>15.5</v>
          </cell>
          <cell r="AH1109">
            <v>36</v>
          </cell>
        </row>
        <row r="1110">
          <cell r="T1110" t="str">
            <v>JOHN PAEZ</v>
          </cell>
          <cell r="U1110" t="str">
            <v xml:space="preserve">Cra 15b No. 6 - 32 CJ La Ilucion </v>
          </cell>
          <cell r="V1110" t="str">
            <v>soacha</v>
          </cell>
          <cell r="AB1110" t="str">
            <v xml:space="preserve">Occidente </v>
          </cell>
          <cell r="AG1110" t="str">
            <v>15.0</v>
          </cell>
          <cell r="AH1110">
            <v>57</v>
          </cell>
        </row>
        <row r="1111">
          <cell r="T1111" t="str">
            <v>Diana Saavedra</v>
          </cell>
          <cell r="U1111" t="str">
            <v>Ensenillas</v>
          </cell>
          <cell r="AB1111" t="str">
            <v>Girardot</v>
          </cell>
          <cell r="AG1111" t="str">
            <v>1.6</v>
          </cell>
          <cell r="AH1111">
            <v>5</v>
          </cell>
        </row>
        <row r="1112">
          <cell r="T1112" t="str">
            <v>maria alejandra moreno</v>
          </cell>
          <cell r="AB1112" t="str">
            <v>Imbanaco</v>
          </cell>
          <cell r="AG1112">
            <v>8.3000000000000007</v>
          </cell>
          <cell r="AH1112">
            <v>25</v>
          </cell>
        </row>
        <row r="1113">
          <cell r="T1113" t="str">
            <v>jorge daza</v>
          </cell>
          <cell r="AB1113" t="str">
            <v>Clinica Somer</v>
          </cell>
          <cell r="AG1113">
            <v>9</v>
          </cell>
          <cell r="AH1113">
            <v>12</v>
          </cell>
        </row>
        <row r="1114">
          <cell r="T1114" t="str">
            <v>JHONATAN MIRANDA</v>
          </cell>
          <cell r="AB1114" t="str">
            <v>Imbanaco</v>
          </cell>
          <cell r="AG1114" t="str">
            <v>8.4</v>
          </cell>
          <cell r="AH1114">
            <v>21</v>
          </cell>
        </row>
        <row r="1115">
          <cell r="T1115" t="str">
            <v xml:space="preserve">YAMID TORRES </v>
          </cell>
          <cell r="AB1115" t="str">
            <v>neiva</v>
          </cell>
        </row>
        <row r="1116">
          <cell r="T1116" t="str">
            <v>JOSE RIVERA</v>
          </cell>
          <cell r="U1116" t="str">
            <v>Calle 10 No. 5-45 Local 301 - Calle 8 No. 50-19 - Policlinico Calle 8 No. 50-19</v>
          </cell>
          <cell r="V1116"/>
          <cell r="W1116"/>
          <cell r="X1116"/>
          <cell r="Y1116"/>
          <cell r="Z1116"/>
          <cell r="AA1116"/>
          <cell r="AB1116" t="str">
            <v>Neiva</v>
          </cell>
          <cell r="AC1116"/>
          <cell r="AD1116"/>
          <cell r="AE1116"/>
          <cell r="AF1116"/>
          <cell r="AG1116"/>
          <cell r="AH1116"/>
          <cell r="AI1116"/>
          <cell r="AJ1116"/>
          <cell r="AK1116"/>
          <cell r="AL1116"/>
        </row>
        <row r="1117">
          <cell r="T1117" t="str">
            <v>ALEXIS TIQUE</v>
          </cell>
          <cell r="U1117" t="str">
            <v>Calle 24 No. 6-07</v>
          </cell>
          <cell r="V1117"/>
          <cell r="W1117"/>
          <cell r="X1117"/>
          <cell r="Y1117"/>
          <cell r="Z1117"/>
          <cell r="AA1117"/>
          <cell r="AB1117" t="str">
            <v>Neiva</v>
          </cell>
          <cell r="AC1117"/>
          <cell r="AD1117"/>
          <cell r="AE1117"/>
          <cell r="AF1117"/>
          <cell r="AG1117"/>
          <cell r="AH1117"/>
          <cell r="AI1117"/>
          <cell r="AJ1117"/>
          <cell r="AK1117"/>
          <cell r="AL1117"/>
        </row>
        <row r="1118">
          <cell r="T1118" t="str">
            <v>FELIPE ESPAÑA</v>
          </cell>
          <cell r="U1118" t="str">
            <v>CRA 12 # 169-50 CONJUNTO VILLA DE ARANJUEZ</v>
          </cell>
          <cell r="V1118"/>
          <cell r="W1118"/>
          <cell r="X1118"/>
          <cell r="Y1118"/>
          <cell r="Z1118"/>
          <cell r="AA1118"/>
          <cell r="AB1118" t="str">
            <v>Occidente</v>
          </cell>
          <cell r="AC1118"/>
          <cell r="AD1118"/>
          <cell r="AE1118"/>
          <cell r="AF1118"/>
          <cell r="AG1118"/>
          <cell r="AH1118"/>
          <cell r="AI1118"/>
          <cell r="AJ1118"/>
          <cell r="AK1118"/>
          <cell r="AL1118"/>
        </row>
        <row r="1119">
          <cell r="T1119" t="str">
            <v>ALEXANDER LOSADA</v>
          </cell>
          <cell r="U1119" t="str">
            <v>Calle 10 No. 5-45 Local 301 - Calle 8 No. 50-19 - Policlinico Calle 8 No. 50-19</v>
          </cell>
          <cell r="V1119"/>
          <cell r="W1119"/>
          <cell r="X1119"/>
          <cell r="Y1119"/>
          <cell r="Z1119"/>
          <cell r="AA1119"/>
          <cell r="AB1119" t="str">
            <v>Neiva</v>
          </cell>
          <cell r="AC1119"/>
          <cell r="AD1119"/>
          <cell r="AE1119"/>
          <cell r="AF1119"/>
          <cell r="AG1119"/>
          <cell r="AH1119"/>
          <cell r="AI1119"/>
          <cell r="AJ1119"/>
          <cell r="AK1119"/>
          <cell r="AL1119"/>
        </row>
        <row r="1120">
          <cell r="T1120" t="str">
            <v>JENNY HERNANDEZ VILLAMIL</v>
          </cell>
          <cell r="U1120" t="str">
            <v>CRA 147 A # 142F -39 Suba Bilbao</v>
          </cell>
          <cell r="V1120"/>
          <cell r="W1120"/>
          <cell r="X1120"/>
          <cell r="Y1120"/>
          <cell r="Z1120"/>
          <cell r="AA1120"/>
          <cell r="AB1120" t="str">
            <v>Occidente</v>
          </cell>
          <cell r="AC1120"/>
          <cell r="AD1120"/>
          <cell r="AE1120"/>
          <cell r="AF1120"/>
          <cell r="AG1120"/>
          <cell r="AH1120"/>
          <cell r="AI1120"/>
          <cell r="AJ1120"/>
          <cell r="AK1120"/>
          <cell r="AL1120"/>
        </row>
        <row r="1121">
          <cell r="T1121" t="str">
            <v>Natali Zambrano</v>
          </cell>
          <cell r="U1121" t="str">
            <v>Carrera 22 # 8 - 104 barrio Guali</v>
          </cell>
          <cell r="V1121"/>
          <cell r="W1121"/>
          <cell r="X1121"/>
          <cell r="Y1121"/>
          <cell r="Z1121"/>
          <cell r="AA1121"/>
          <cell r="AB1121" t="str">
            <v>Honda</v>
          </cell>
          <cell r="AC1121"/>
          <cell r="AD1121"/>
          <cell r="AE1121"/>
          <cell r="AF1121"/>
          <cell r="AG1121"/>
          <cell r="AH1121"/>
          <cell r="AI1121"/>
          <cell r="AJ1121"/>
          <cell r="AK1121"/>
          <cell r="AL1121"/>
        </row>
        <row r="1122">
          <cell r="T1122" t="str">
            <v>Marina Tellez</v>
          </cell>
          <cell r="U1122" t="str">
            <v xml:space="preserve">Calle 10 No. 5-45 </v>
          </cell>
          <cell r="V1122"/>
          <cell r="W1122"/>
          <cell r="X1122"/>
          <cell r="Y1122"/>
          <cell r="Z1122"/>
          <cell r="AA1122"/>
          <cell r="AB1122" t="str">
            <v>Neiva</v>
          </cell>
          <cell r="AC1122"/>
          <cell r="AD1122"/>
          <cell r="AE1122"/>
          <cell r="AF1122"/>
          <cell r="AG1122"/>
          <cell r="AH1122"/>
          <cell r="AI1122"/>
          <cell r="AJ1122"/>
          <cell r="AK1122"/>
          <cell r="AL1122"/>
        </row>
        <row r="1123">
          <cell r="T1123" t="str">
            <v>LILIANA SANCHEZ</v>
          </cell>
          <cell r="U1123" t="str">
            <v xml:space="preserve">Calle 10 No. 5-45 </v>
          </cell>
          <cell r="V1123"/>
          <cell r="W1123"/>
          <cell r="X1123"/>
          <cell r="Y1123"/>
          <cell r="Z1123"/>
          <cell r="AA1123"/>
          <cell r="AB1123" t="str">
            <v>Neiva</v>
          </cell>
          <cell r="AC1123"/>
          <cell r="AD1123"/>
          <cell r="AE1123"/>
          <cell r="AF1123"/>
          <cell r="AG1123"/>
          <cell r="AH1123"/>
          <cell r="AI1123"/>
          <cell r="AJ1123"/>
          <cell r="AK1123"/>
          <cell r="AL1123"/>
        </row>
        <row r="1124">
          <cell r="T1124" t="str">
            <v>David Buitrago</v>
          </cell>
          <cell r="U1124" t="str">
            <v xml:space="preserve">Calle 10 No. 5-45 </v>
          </cell>
          <cell r="V1124"/>
          <cell r="W1124"/>
          <cell r="X1124"/>
          <cell r="Y1124"/>
          <cell r="Z1124"/>
          <cell r="AA1124"/>
          <cell r="AB1124" t="str">
            <v>Neiva</v>
          </cell>
          <cell r="AC1124"/>
          <cell r="AD1124"/>
          <cell r="AE1124"/>
          <cell r="AF1124"/>
          <cell r="AG1124"/>
          <cell r="AH1124"/>
          <cell r="AI1124"/>
          <cell r="AJ1124"/>
          <cell r="AK1124"/>
          <cell r="AL1124"/>
        </row>
        <row r="1125">
          <cell r="T1125" t="str">
            <v>Santiago Rivera Rojas</v>
          </cell>
          <cell r="U1125" t="str">
            <v>Diag 85 N  39 e 36 los llanitos Rionegro</v>
          </cell>
          <cell r="V1125"/>
          <cell r="W1125"/>
          <cell r="X1125"/>
          <cell r="Y1125"/>
          <cell r="Z1125"/>
          <cell r="AA1125"/>
          <cell r="AB1125" t="str">
            <v>Clinica somer</v>
          </cell>
          <cell r="AC1125"/>
          <cell r="AD1125"/>
          <cell r="AE1125"/>
          <cell r="AF1125"/>
          <cell r="AG1125"/>
          <cell r="AH1125"/>
          <cell r="AI1125"/>
          <cell r="AJ1125"/>
          <cell r="AK1125"/>
          <cell r="AL1125"/>
        </row>
        <row r="1126">
          <cell r="T1126" t="str">
            <v>LUCELY VAQUIRO ALDANA</v>
          </cell>
          <cell r="U1126" t="str">
            <v xml:space="preserve">calle 75 a sur 18 N°  36  Barrio naciones unidas </v>
          </cell>
          <cell r="AB1126" t="str">
            <v>Horizonte</v>
          </cell>
        </row>
        <row r="1127">
          <cell r="T1127" t="str">
            <v>PAULA VEGA</v>
          </cell>
          <cell r="U1127" t="str">
            <v>Cll 2 A No. 72B-43</v>
          </cell>
          <cell r="AB1127" t="str">
            <v>Cruz Roja</v>
          </cell>
        </row>
        <row r="1128">
          <cell r="T1128" t="str">
            <v>CARMEN SUSANA VARGAS</v>
          </cell>
          <cell r="U1128" t="str">
            <v>TV 4 #52 B-64 CHAPINERO</v>
          </cell>
          <cell r="V1128" t="str">
            <v>chapinero</v>
          </cell>
          <cell r="W1128" t="str">
            <v>LEJANO</v>
          </cell>
          <cell r="X1128" t="e">
            <v>#REF!</v>
          </cell>
          <cell r="Y1128" t="str">
            <v>CENTRO</v>
          </cell>
          <cell r="Z1128" t="str">
            <v>chapinero</v>
          </cell>
          <cell r="AA1128" t="str">
            <v>Bogota</v>
          </cell>
          <cell r="AB1128" t="str">
            <v>Dorado</v>
          </cell>
          <cell r="AC1128" t="str">
            <v>Diagonal 82 Bis # 85 - 90</v>
          </cell>
          <cell r="AD1128"/>
          <cell r="AE1128">
            <v>17460</v>
          </cell>
          <cell r="AF1128">
            <v>15000</v>
          </cell>
          <cell r="AG1128">
            <v>12</v>
          </cell>
          <cell r="AH1128">
            <v>23</v>
          </cell>
          <cell r="AI1128" t="e">
            <v>#N/A</v>
          </cell>
          <cell r="AJ1128">
            <v>18000</v>
          </cell>
          <cell r="AK1128">
            <v>-3000</v>
          </cell>
          <cell r="AL1128">
            <v>17460</v>
          </cell>
        </row>
        <row r="1129">
          <cell r="T1129" t="str">
            <v>DIANA CAROLINA SERNA</v>
          </cell>
          <cell r="U1129" t="str">
            <v>CLL 7 No. 15-15</v>
          </cell>
          <cell r="V1129" t="str">
            <v>Barrio La Estanzuela</v>
          </cell>
          <cell r="X1129" t="str">
            <v xml:space="preserve">3162554079/3002902166 </v>
          </cell>
          <cell r="AB1129" t="str">
            <v>Cruz Roja</v>
          </cell>
          <cell r="AC1129" t="str">
            <v>Av. Kra  68 # 68 B-31 Bloque 1 Piso 1</v>
          </cell>
        </row>
        <row r="1130">
          <cell r="T1130" t="str">
            <v>ELIANA BURGOS</v>
          </cell>
          <cell r="U1130" t="str">
            <v xml:space="preserve">calle 75b#78-66 </v>
          </cell>
          <cell r="V1130" t="str">
            <v>La Granja Tabora</v>
          </cell>
          <cell r="X1130">
            <v>3168215512</v>
          </cell>
          <cell r="AB1130" t="str">
            <v>Cruz Roja</v>
          </cell>
          <cell r="AC1130" t="str">
            <v>Av. Kra  68 # 68 B-31 Bloque 1 Piso 1</v>
          </cell>
        </row>
        <row r="1131">
          <cell r="T1131" t="str">
            <v>LAURA MARIA ALMONACID ESTEPA</v>
          </cell>
          <cell r="U1131" t="str">
            <v>Cr 14 B bis # 163 A -67</v>
          </cell>
          <cell r="V1131" t="str">
            <v>Barrio Pradera Norte</v>
          </cell>
          <cell r="X1131" t="str">
            <v>3224683935/8133817</v>
          </cell>
          <cell r="AB1131" t="str">
            <v>Cruz Roja</v>
          </cell>
          <cell r="AC1131" t="str">
            <v>Av. Kra  68 # 68 B-31 Bloque 1 Piso 1</v>
          </cell>
        </row>
        <row r="1132">
          <cell r="T1132" t="str">
            <v>YURI NATALIA ORTIZ SANTAMARIA</v>
          </cell>
          <cell r="U1132" t="str">
            <v>Calle 70 # 94A -03</v>
          </cell>
          <cell r="V1132" t="str">
            <v>Barrio La Florida</v>
          </cell>
          <cell r="X1132">
            <v>3204681633</v>
          </cell>
          <cell r="AB1132" t="str">
            <v>Cruz Roja</v>
          </cell>
          <cell r="AC1132" t="str">
            <v>Av. Kra  68 # 68 B-31 Bloque 1 Piso 1</v>
          </cell>
        </row>
        <row r="1133">
          <cell r="T1133" t="str">
            <v>DANIELA HERNANDEZ  2</v>
          </cell>
          <cell r="U1133" t="str">
            <v>CALLE 7 #90-76</v>
          </cell>
          <cell r="V1133" t="str">
            <v>CAMPO ALEGRE- TINTAL</v>
          </cell>
          <cell r="X1133">
            <v>3208613631</v>
          </cell>
          <cell r="AB1133" t="str">
            <v>Dorado</v>
          </cell>
          <cell r="AC1133" t="str">
            <v>Diagonal 82 Bis # 85 - 90</v>
          </cell>
        </row>
        <row r="1134">
          <cell r="T1134" t="str">
            <v>FERNANDA ORTIZ</v>
          </cell>
          <cell r="U1134" t="str">
            <v>CARRERA 110A BIS # 64 - 79</v>
          </cell>
          <cell r="V1134" t="str">
            <v>VILLAS DEL DORADO</v>
          </cell>
          <cell r="Y1134">
            <v>3003572533</v>
          </cell>
          <cell r="Z1134" t="str">
            <v>BOGOTA</v>
          </cell>
          <cell r="AA1134"/>
          <cell r="AB1134" t="str">
            <v>Dorado</v>
          </cell>
          <cell r="AC1134" t="str">
            <v>Diagonal 82 Bis # 85 - 90</v>
          </cell>
        </row>
        <row r="1135">
          <cell r="T1135" t="str">
            <v>KAREN ALVAREZ</v>
          </cell>
          <cell r="U1135" t="str">
            <v>CRA 73 #163-64</v>
          </cell>
          <cell r="V1135" t="str">
            <v>ARBOLEDA REAL</v>
          </cell>
          <cell r="Y1135">
            <v>3223565720</v>
          </cell>
          <cell r="AA1135"/>
          <cell r="AB1135" t="str">
            <v>Dorado</v>
          </cell>
          <cell r="AC1135" t="str">
            <v>Diagonal 82 Bis # 85 - 90</v>
          </cell>
        </row>
        <row r="1136">
          <cell r="T1136" t="str">
            <v>KATHERINE VILLAMIL</v>
          </cell>
          <cell r="U1136" t="str">
            <v>CRA 81 A # 9 - 85</v>
          </cell>
          <cell r="V1136" t="str">
            <v>VALLADOLID</v>
          </cell>
          <cell r="Y1136">
            <v>3202267643</v>
          </cell>
          <cell r="AA1136"/>
          <cell r="AB1136" t="str">
            <v>Dorado</v>
          </cell>
          <cell r="AC1136" t="str">
            <v>Diagonal 82 Bis # 85 - 90</v>
          </cell>
          <cell r="AD1136"/>
        </row>
        <row r="1137">
          <cell r="T1137" t="str">
            <v>NATALIA MATEUS</v>
          </cell>
          <cell r="U1137" t="str">
            <v xml:space="preserve">CARRERA 8 D N° 191 15 APTO 808 </v>
          </cell>
          <cell r="V1137" t="str">
            <v>LIJACÁ BOGOTÁ</v>
          </cell>
          <cell r="X1137">
            <v>3114468623</v>
          </cell>
          <cell r="AA1137"/>
          <cell r="AB1137" t="str">
            <v>Dorado</v>
          </cell>
          <cell r="AC1137" t="str">
            <v>Diagonal 82 Bis # 85 - 90</v>
          </cell>
        </row>
        <row r="1138">
          <cell r="T1138" t="str">
            <v>OLIVA MORENO</v>
          </cell>
          <cell r="U1138" t="str">
            <v>CALLE 18 #109-20</v>
          </cell>
          <cell r="V1138" t="str">
            <v>FONTIBON</v>
          </cell>
          <cell r="X1138">
            <v>3125083180</v>
          </cell>
          <cell r="AA1138"/>
          <cell r="AB1138" t="str">
            <v>Dorado</v>
          </cell>
          <cell r="AC1138" t="str">
            <v>Diagonal 82 Bis # 85 - 90</v>
          </cell>
        </row>
        <row r="1139">
          <cell r="T1139" t="str">
            <v>Sarahay Galarraga</v>
          </cell>
          <cell r="U1139" t="str">
            <v>Carrera 24 # 11 – 36 Barrio Ricaurte</v>
          </cell>
          <cell r="V1139" t="str">
            <v>ricaurte</v>
          </cell>
          <cell r="W1139"/>
          <cell r="X1139">
            <v>3005419378</v>
          </cell>
          <cell r="Y1139"/>
          <cell r="Z1139"/>
          <cell r="AA1139"/>
          <cell r="AB1139" t="str">
            <v>San Jose</v>
          </cell>
          <cell r="AC1139"/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92.361904745369" createdVersion="6" refreshedVersion="6" minRefreshableVersion="3" recordCount="145" xr:uid="{AFDCA4B6-9D79-492C-AB90-F097A52825B5}">
  <cacheSource type="worksheet">
    <worksheetSource ref="AA1:AH1" sheet="JUNIO"/>
  </cacheSource>
  <cacheFields count="8">
    <cacheField name="CONDUCTOR PRINCIPAL (A QUIEN SE LE PAGA) " numFmtId="0">
      <sharedItems count="17">
        <s v="PEDRAZA DIANA PAOLA"/>
        <s v="CABANZO VANEGAS ANDRES EDUARDO"/>
        <s v="REYES URRIOLA YECIR FERNANDO"/>
        <s v="SEVILLA BUSTOS JHON BAYRON "/>
        <s v="TOVAR AMEZQUITA ARNULFO "/>
        <s v="SANCHEZ PEÑALOZA CARLOS ALVEIRO"/>
        <s v="PIRACON SUAREZ DAGOBERTO"/>
        <s v="PEÑA BARACALDO PEDRO PABLO"/>
        <s v="Uber APP "/>
        <s v="GOMEZ FLOREZ JHONNY ESTEBAN"/>
        <s v="TELLEZ RUIZ JAIRO ALEJANDRO"/>
        <s v="CABARCA SANCHEZ ORLANDO"/>
        <s v="GAZABON SANCHEZ RAFAEL DE JESUS"/>
        <s v="PALACIO MOVILLA CRISTIAN "/>
        <s v="TABARES UBER ALEXANDER"/>
        <s v="DIAZ BEDOYA FILIBERTO ANTONIO"/>
        <s v="GALLEGO MURILLO OSCAR MAURICIO"/>
      </sharedItems>
    </cacheField>
    <cacheField name="CEDULA CONDUCTOR PRINCIPAL " numFmtId="0">
      <sharedItems containsSemiMixedTypes="0" containsString="0" containsNumber="1" containsInteger="1" minValue="0" maxValue="1067923948"/>
    </cacheField>
    <cacheField name="CONDUCTOR QUE HACE EL SERVICIO " numFmtId="0">
      <sharedItems/>
    </cacheField>
    <cacheField name="TELEFONO CONDUCTOR " numFmtId="0">
      <sharedItems containsSemiMixedTypes="0" containsString="0" containsNumber="1" containsInteger="1" minValue="0" maxValue="3226139343"/>
    </cacheField>
    <cacheField name="EDUCADORA / COORDINADORA" numFmtId="0">
      <sharedItems containsNonDate="0" containsString="0" containsBlank="1"/>
    </cacheField>
    <cacheField name="COSTO" numFmtId="173">
      <sharedItems containsSemiMixedTypes="0" containsString="0" containsNumber="1" containsInteger="1" minValue="0" maxValue="60000"/>
    </cacheField>
    <cacheField name="DESCUENTO PRESTAMO" numFmtId="173">
      <sharedItems containsString="0" containsBlank="1" containsNumber="1" containsInteger="1" minValue="0" maxValue="60000"/>
    </cacheField>
    <cacheField name="TOTAL CON DESCUENTO INCLUIDO " numFmtId="173">
      <sharedItems containsSemiMixedTypes="0" containsString="0" containsNumber="1" containsInteger="1" minValue="0" maxValue="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n v="52517839"/>
    <s v="JAIRO IVAN CASTRO MORENO"/>
    <n v="3157931401"/>
    <m/>
    <n v="50000"/>
    <m/>
    <n v="50000"/>
  </r>
  <r>
    <x v="0"/>
    <n v="52517839"/>
    <s v="JAIRO IVAN CASTRO MORENO"/>
    <n v="3157931401"/>
    <m/>
    <n v="25000"/>
    <m/>
    <n v="25000"/>
  </r>
  <r>
    <x v="1"/>
    <n v="80169101"/>
    <s v="ANDRES EDUARDO CABANZO VANEGAS"/>
    <n v="3135633698"/>
    <m/>
    <n v="0"/>
    <n v="0"/>
    <n v="0"/>
  </r>
  <r>
    <x v="2"/>
    <n v="1067923948"/>
    <s v="YECIR  FERNANDO  REYES "/>
    <n v="3122857802"/>
    <m/>
    <n v="60000"/>
    <n v="6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3"/>
    <n v="1003407206"/>
    <s v="JHON BAYRON  SEVILLA BUSTOS "/>
    <n v="3122857802"/>
    <m/>
    <n v="10000"/>
    <m/>
    <n v="100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7"/>
    <n v="79490718"/>
    <s v="PEDRO PEÑA  BARACALDO"/>
    <n v="0"/>
    <m/>
    <n v="14800"/>
    <m/>
    <n v="14800"/>
  </r>
  <r>
    <x v="7"/>
    <n v="79490718"/>
    <s v="PEDRO PEÑA  BARACALDO"/>
    <n v="0"/>
    <m/>
    <n v="8000"/>
    <m/>
    <n v="8000"/>
  </r>
  <r>
    <x v="1"/>
    <n v="80169101"/>
    <s v="ANDRES EDUARDO CABANZO VANEGAS"/>
    <n v="3135633698"/>
    <m/>
    <n v="0"/>
    <n v="0"/>
    <n v="0"/>
  </r>
  <r>
    <x v="8"/>
    <n v="0"/>
    <s v="Uber APP"/>
    <n v="0"/>
    <m/>
    <n v="13800"/>
    <n v="138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25000"/>
    <m/>
    <n v="25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7"/>
    <n v="79490718"/>
    <s v="PEDRO PEÑA  BARACALDO"/>
    <n v="0"/>
    <m/>
    <n v="14800"/>
    <m/>
    <n v="14800"/>
  </r>
  <r>
    <x v="7"/>
    <n v="79490718"/>
    <s v="PEDRO PEÑA  BARACALDO"/>
    <n v="0"/>
    <m/>
    <n v="10000"/>
    <m/>
    <n v="10000"/>
  </r>
  <r>
    <x v="10"/>
    <n v="80058222"/>
    <s v="JAIRO TELLEZ "/>
    <n v="3174561313"/>
    <m/>
    <n v="25000"/>
    <m/>
    <n v="25000"/>
  </r>
  <r>
    <x v="1"/>
    <n v="80169101"/>
    <s v="ANDRES EDUARDO CABANZO VANEGAS"/>
    <n v="3135633698"/>
    <m/>
    <n v="0"/>
    <n v="0"/>
    <n v="0"/>
  </r>
  <r>
    <x v="11"/>
    <n v="5056115"/>
    <s v="ORLANDO CABARCA SANCHEZ"/>
    <n v="3008300296"/>
    <m/>
    <n v="0"/>
    <n v="0"/>
    <n v="0"/>
  </r>
  <r>
    <x v="12"/>
    <n v="79046874"/>
    <s v="RAFAEL GAZABON SÁNCHEZ"/>
    <n v="3226139343"/>
    <m/>
    <n v="10000"/>
    <m/>
    <n v="10000"/>
  </r>
  <r>
    <x v="13"/>
    <n v="1037582416"/>
    <s v="CRISTIAN PALACIOS "/>
    <n v="3015303399"/>
    <m/>
    <n v="30000"/>
    <m/>
    <n v="30000"/>
  </r>
  <r>
    <x v="14"/>
    <n v="0"/>
    <s v="UBER ALEXNDER TABARES "/>
    <n v="3004232463"/>
    <m/>
    <n v="0"/>
    <n v="0"/>
    <n v="0"/>
  </r>
  <r>
    <x v="13"/>
    <n v="1037582416"/>
    <s v="CRISTIAN PALACIOS "/>
    <n v="3015303399"/>
    <m/>
    <n v="30000"/>
    <m/>
    <n v="3000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3"/>
    <n v="1003407206"/>
    <s v="JHON BAYRON  SEVILLA BUSTOS "/>
    <n v="3122857802"/>
    <m/>
    <n v="60000"/>
    <m/>
    <n v="6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15"/>
    <n v="78697297"/>
    <s v="FILIBERTO DIAZ ACOSTA"/>
    <n v="3205091628"/>
    <m/>
    <n v="10000"/>
    <m/>
    <n v="10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25000"/>
    <m/>
    <n v="25000"/>
  </r>
  <r>
    <x v="6"/>
    <n v="1049616520"/>
    <s v="DAGOBERTO PIRACON SUAREZ"/>
    <n v="3138821723"/>
    <m/>
    <n v="8500"/>
    <m/>
    <n v="8500"/>
  </r>
  <r>
    <x v="16"/>
    <n v="15440624"/>
    <s v="OSCAR MAURICIO GALLEGO "/>
    <n v="3145938691"/>
    <m/>
    <n v="20000"/>
    <m/>
    <n v="20000"/>
  </r>
  <r>
    <x v="7"/>
    <n v="79490718"/>
    <s v="PEDRO PEÑA  BARACALDO"/>
    <n v="0"/>
    <m/>
    <n v="14900"/>
    <m/>
    <n v="149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3"/>
    <n v="1003407206"/>
    <s v="JHON BAYRON  SEVILLA BUSTOS "/>
    <n v="3122857802"/>
    <m/>
    <n v="60000"/>
    <m/>
    <n v="60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16"/>
    <n v="15440624"/>
    <s v="OSCAR MAURICIO GALLEGO "/>
    <n v="3145938691"/>
    <m/>
    <n v="25000"/>
    <m/>
    <n v="25000"/>
  </r>
  <r>
    <x v="7"/>
    <n v="79490718"/>
    <s v="PEDRO PEÑA  BARACALDO"/>
    <n v="0"/>
    <m/>
    <n v="14900"/>
    <m/>
    <n v="14900"/>
  </r>
  <r>
    <x v="7"/>
    <n v="79490718"/>
    <s v="PEDRO PEÑA  BARACALDO"/>
    <n v="0"/>
    <m/>
    <n v="10000"/>
    <m/>
    <n v="1000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16"/>
    <n v="15440624"/>
    <s v="OSCAR MAURICIO GALLEGO "/>
    <n v="3145938691"/>
    <m/>
    <n v="25000"/>
    <m/>
    <n v="25000"/>
  </r>
  <r>
    <x v="6"/>
    <n v="1049616520"/>
    <s v="DAGOBERTO PIRACON SUAREZ"/>
    <n v="3138821723"/>
    <m/>
    <n v="8500"/>
    <m/>
    <n v="8500"/>
  </r>
  <r>
    <x v="6"/>
    <n v="1049616520"/>
    <s v="DAGOBERTO PIRACON SUAREZ"/>
    <n v="3138821723"/>
    <m/>
    <n v="8500"/>
    <m/>
    <n v="850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9"/>
    <n v="1036937431"/>
    <s v="JHONNY ESTEBAN GOMEZ FLOREZ"/>
    <n v="3002747427"/>
    <m/>
    <n v="0"/>
    <m/>
    <n v="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4"/>
    <n v="12112542"/>
    <s v="ARNULFO TOVAR AMEZQUITA"/>
    <n v="3184967136"/>
    <m/>
    <n v="10500"/>
    <m/>
    <n v="105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5"/>
    <n v="14322718"/>
    <s v="CARLOS  SANCHEZ  "/>
    <n v="3204960635"/>
    <m/>
    <n v="8000"/>
    <m/>
    <n v="8000"/>
  </r>
  <r>
    <x v="2"/>
    <n v="1067923948"/>
    <s v="YECIR  FERNANDO  REYES "/>
    <n v="3122857802"/>
    <m/>
    <n v="10000"/>
    <n v="10000"/>
    <n v="0"/>
  </r>
  <r>
    <x v="2"/>
    <n v="1067923948"/>
    <s v="YECIR  FERNANDO  REYES "/>
    <n v="3122857802"/>
    <m/>
    <n v="10000"/>
    <n v="10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7CA2B-B290-434F-85FF-C20513904197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D20" firstHeaderRow="0" firstDataRow="1" firstDataCol="1"/>
  <pivotFields count="8">
    <pivotField axis="axisRow" showAll="0">
      <items count="18">
        <item x="1"/>
        <item x="11"/>
        <item x="15"/>
        <item x="16"/>
        <item x="12"/>
        <item x="9"/>
        <item x="13"/>
        <item x="0"/>
        <item x="7"/>
        <item x="6"/>
        <item x="2"/>
        <item x="5"/>
        <item x="3"/>
        <item x="14"/>
        <item x="10"/>
        <item x="4"/>
        <item x="8"/>
        <item t="default"/>
      </items>
    </pivotField>
    <pivotField showAll="0"/>
    <pivotField showAll="0"/>
    <pivotField showAll="0"/>
    <pivotField showAll="0"/>
    <pivotField dataField="1" numFmtId="173" showAll="0"/>
    <pivotField dataField="1" showAll="0"/>
    <pivotField dataField="1" numFmtId="173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" fld="5" baseField="0" baseItem="0"/>
    <dataField name="Suma de DESCUENTO PRESTAMO" fld="6" baseField="0" baseItem="0"/>
    <dataField name="Suma de TOTAL CON DESCUENTO INCLUIDO " fld="7" baseField="0" baseItem="0"/>
  </dataFields>
  <formats count="2">
    <format dxfId="688">
      <pivotArea outline="0" collapsedLevelsAreSubtotals="1" fieldPosition="0"/>
    </format>
    <format dxfId="6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24CF-AEE5-4A39-AC1F-3B6A57598EB2}">
  <dimension ref="A1:L21"/>
  <sheetViews>
    <sheetView workbookViewId="0">
      <selection activeCell="F2" sqref="F2"/>
    </sheetView>
  </sheetViews>
  <sheetFormatPr baseColWidth="10" defaultRowHeight="15" x14ac:dyDescent="0.25"/>
  <cols>
    <col min="9" max="9" width="18" customWidth="1"/>
  </cols>
  <sheetData>
    <row r="1" spans="1:12" ht="75" x14ac:dyDescent="0.25">
      <c r="A1" s="5" t="s">
        <v>46</v>
      </c>
      <c r="B1" s="5"/>
      <c r="D1" s="4" t="s">
        <v>45</v>
      </c>
      <c r="F1" s="9" t="s">
        <v>44</v>
      </c>
      <c r="I1" s="8" t="s">
        <v>43</v>
      </c>
      <c r="J1" s="6" t="s">
        <v>42</v>
      </c>
      <c r="L1" s="1" t="s">
        <v>41</v>
      </c>
    </row>
    <row r="2" spans="1:12" x14ac:dyDescent="0.25">
      <c r="A2" s="5" t="s">
        <v>40</v>
      </c>
      <c r="B2" s="5" t="s">
        <v>39</v>
      </c>
      <c r="D2" s="4">
        <v>1</v>
      </c>
      <c r="F2" s="3" t="s">
        <v>38</v>
      </c>
      <c r="I2" s="8" t="s">
        <v>37</v>
      </c>
      <c r="J2" s="6" t="s">
        <v>36</v>
      </c>
      <c r="L2" s="1" t="s">
        <v>35</v>
      </c>
    </row>
    <row r="3" spans="1:12" x14ac:dyDescent="0.25">
      <c r="A3" s="5" t="s">
        <v>34</v>
      </c>
      <c r="B3" s="5" t="s">
        <v>33</v>
      </c>
      <c r="D3" s="4">
        <v>2</v>
      </c>
      <c r="F3" s="3" t="s">
        <v>32</v>
      </c>
      <c r="I3" s="8" t="s">
        <v>31</v>
      </c>
      <c r="J3" s="6" t="s">
        <v>30</v>
      </c>
      <c r="L3" s="1" t="s">
        <v>29</v>
      </c>
    </row>
    <row r="4" spans="1:12" x14ac:dyDescent="0.25">
      <c r="A4" s="5" t="s">
        <v>218</v>
      </c>
      <c r="B4" s="5" t="s">
        <v>219</v>
      </c>
      <c r="D4" s="4">
        <v>3</v>
      </c>
      <c r="F4" s="3" t="s">
        <v>27</v>
      </c>
      <c r="I4" s="8" t="s">
        <v>26</v>
      </c>
      <c r="J4" s="6" t="s">
        <v>25</v>
      </c>
      <c r="L4" s="1" t="s">
        <v>24</v>
      </c>
    </row>
    <row r="5" spans="1:12" x14ac:dyDescent="0.25">
      <c r="A5" s="5" t="s">
        <v>23</v>
      </c>
      <c r="B5" s="5" t="s">
        <v>22</v>
      </c>
      <c r="D5" s="4">
        <v>4</v>
      </c>
      <c r="F5" s="3" t="s">
        <v>21</v>
      </c>
      <c r="I5" s="7" t="s">
        <v>0</v>
      </c>
      <c r="J5" s="6"/>
      <c r="L5" s="1" t="s">
        <v>20</v>
      </c>
    </row>
    <row r="6" spans="1:12" x14ac:dyDescent="0.25">
      <c r="A6" s="5" t="s">
        <v>19</v>
      </c>
      <c r="B6" s="5" t="s">
        <v>18</v>
      </c>
      <c r="D6" s="4">
        <v>5</v>
      </c>
      <c r="F6" s="3" t="s">
        <v>17</v>
      </c>
      <c r="L6" s="1" t="s">
        <v>16</v>
      </c>
    </row>
    <row r="7" spans="1:12" x14ac:dyDescent="0.25">
      <c r="A7" s="5" t="s">
        <v>202</v>
      </c>
      <c r="B7" s="5" t="s">
        <v>203</v>
      </c>
      <c r="F7" s="3" t="s">
        <v>15</v>
      </c>
      <c r="L7" s="1" t="s">
        <v>14</v>
      </c>
    </row>
    <row r="8" spans="1:12" x14ac:dyDescent="0.25">
      <c r="F8" s="3" t="s">
        <v>13</v>
      </c>
      <c r="L8" s="1" t="s">
        <v>12</v>
      </c>
    </row>
    <row r="9" spans="1:12" x14ac:dyDescent="0.25">
      <c r="F9" s="3" t="s">
        <v>11</v>
      </c>
      <c r="L9" s="1" t="s">
        <v>10</v>
      </c>
    </row>
    <row r="10" spans="1:12" x14ac:dyDescent="0.25">
      <c r="L10" s="1" t="s">
        <v>9</v>
      </c>
    </row>
    <row r="11" spans="1:12" x14ac:dyDescent="0.25">
      <c r="L11" s="1" t="s">
        <v>8</v>
      </c>
    </row>
    <row r="12" spans="1:12" x14ac:dyDescent="0.25">
      <c r="A12" s="2" t="s">
        <v>7</v>
      </c>
      <c r="L12" s="1" t="s">
        <v>6</v>
      </c>
    </row>
    <row r="13" spans="1:12" x14ac:dyDescent="0.25">
      <c r="A13" s="2" t="s">
        <v>5</v>
      </c>
      <c r="L13" s="1" t="s">
        <v>4</v>
      </c>
    </row>
    <row r="14" spans="1:12" x14ac:dyDescent="0.25">
      <c r="A14" s="2" t="s">
        <v>3</v>
      </c>
      <c r="L14" s="1" t="s">
        <v>2</v>
      </c>
    </row>
    <row r="15" spans="1:12" x14ac:dyDescent="0.25">
      <c r="A15" s="2" t="s">
        <v>206</v>
      </c>
      <c r="L15" s="1" t="s">
        <v>1</v>
      </c>
    </row>
    <row r="16" spans="1:12" x14ac:dyDescent="0.25">
      <c r="L16" s="1" t="s">
        <v>0</v>
      </c>
    </row>
    <row r="17" spans="12:12" x14ac:dyDescent="0.25">
      <c r="L17" s="1" t="s">
        <v>207</v>
      </c>
    </row>
    <row r="18" spans="12:12" x14ac:dyDescent="0.25">
      <c r="L18" s="1" t="s">
        <v>208</v>
      </c>
    </row>
    <row r="19" spans="12:12" x14ac:dyDescent="0.25">
      <c r="L19" s="1" t="s">
        <v>269</v>
      </c>
    </row>
    <row r="20" spans="12:12" x14ac:dyDescent="0.25">
      <c r="L20" s="1" t="s">
        <v>270</v>
      </c>
    </row>
    <row r="21" spans="12:12" x14ac:dyDescent="0.25">
      <c r="L21" s="1" t="s">
        <v>454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CDD9-50CA-4F98-B9C1-F59C496057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28C-DECC-49FA-ACE7-1A3FC4984E9C}">
  <sheetPr>
    <tabColor rgb="FF00B050"/>
  </sheetPr>
  <dimension ref="A1:BB342"/>
  <sheetViews>
    <sheetView zoomScale="70" zoomScaleNormal="70" workbookViewId="0">
      <pane xSplit="7" ySplit="1" topLeftCell="H307" activePane="bottomRight" state="frozen"/>
      <selection pane="topRight"/>
      <selection pane="bottomLeft"/>
      <selection pane="bottomRight" activeCell="A2" sqref="A2:XFD342"/>
    </sheetView>
  </sheetViews>
  <sheetFormatPr baseColWidth="10" defaultColWidth="11.42578125" defaultRowHeight="15" x14ac:dyDescent="0.25"/>
  <cols>
    <col min="1" max="1" width="4.28515625" style="79" customWidth="1"/>
    <col min="2" max="2" width="3.85546875" style="79" customWidth="1"/>
    <col min="3" max="3" width="12" style="79" customWidth="1"/>
    <col min="4" max="4" width="31.85546875" style="79" customWidth="1"/>
    <col min="5" max="5" width="10.140625" style="79" customWidth="1"/>
    <col min="6" max="6" width="4.85546875" style="79" customWidth="1"/>
    <col min="7" max="7" width="29.140625" style="79" customWidth="1"/>
    <col min="8" max="8" width="3.7109375" style="79" customWidth="1"/>
    <col min="9" max="9" width="5" style="79" customWidth="1"/>
    <col min="10" max="10" width="13.7109375" style="71" hidden="1" customWidth="1"/>
    <col min="11" max="11" width="11.140625" style="79" customWidth="1"/>
    <col min="12" max="12" width="10.140625" style="79" customWidth="1"/>
    <col min="13" max="13" width="10.5703125" style="79" customWidth="1"/>
    <col min="14" max="14" width="3.5703125" style="79" hidden="1" customWidth="1"/>
    <col min="15" max="15" width="8.140625" style="79" hidden="1" customWidth="1"/>
    <col min="16" max="16" width="5.140625" style="79" customWidth="1"/>
    <col min="17" max="17" width="15.42578125" style="79" customWidth="1"/>
    <col min="18" max="18" width="9" style="79" customWidth="1"/>
    <col min="19" max="20" width="16.5703125" style="79" customWidth="1"/>
    <col min="21" max="21" width="8.140625" style="24" customWidth="1"/>
    <col min="22" max="22" width="7.42578125" style="24" customWidth="1"/>
    <col min="23" max="23" width="4.85546875" style="79" customWidth="1"/>
    <col min="24" max="24" width="15.7109375" style="24" customWidth="1"/>
    <col min="25" max="25" width="18.28515625" style="79" customWidth="1"/>
    <col min="26" max="26" width="10.42578125" style="79" customWidth="1"/>
    <col min="27" max="27" width="19.140625" style="79" customWidth="1"/>
    <col min="28" max="28" width="12.42578125" style="79" customWidth="1"/>
    <col min="29" max="29" width="21.5703125" style="79" customWidth="1"/>
    <col min="30" max="30" width="16.7109375" style="71" customWidth="1"/>
    <col min="31" max="31" width="8.42578125" style="24" customWidth="1"/>
    <col min="32" max="32" width="12.140625" style="75" customWidth="1"/>
    <col min="33" max="33" width="12.5703125" style="75" hidden="1" customWidth="1"/>
    <col min="34" max="34" width="12.7109375" style="75" customWidth="1"/>
    <col min="35" max="35" width="12.42578125" style="75" hidden="1" customWidth="1"/>
    <col min="36" max="36" width="11.140625" style="79" hidden="1" customWidth="1"/>
    <col min="37" max="37" width="17.42578125" style="79" customWidth="1"/>
    <col min="38" max="38" width="9" style="79" hidden="1" customWidth="1"/>
    <col min="39" max="40" width="13.140625" style="79" hidden="1" customWidth="1"/>
    <col min="41" max="42" width="17.42578125" style="75" hidden="1" customWidth="1"/>
    <col min="43" max="44" width="17.42578125" style="79" hidden="1" customWidth="1"/>
    <col min="45" max="45" width="18.42578125" style="79" hidden="1" customWidth="1"/>
    <col min="46" max="46" width="19.5703125" style="79" hidden="1" customWidth="1"/>
    <col min="47" max="47" width="14.42578125" style="104" hidden="1" customWidth="1"/>
    <col min="48" max="48" width="13.140625" style="105" hidden="1" customWidth="1"/>
    <col min="49" max="49" width="13.7109375" style="79" hidden="1" customWidth="1"/>
    <col min="50" max="50" width="13.5703125" style="79" hidden="1" customWidth="1"/>
    <col min="51" max="51" width="17" style="79" hidden="1" customWidth="1"/>
    <col min="52" max="52" width="17.7109375" style="79" hidden="1" customWidth="1"/>
    <col min="53" max="16384" width="11.42578125" style="78"/>
  </cols>
  <sheetData>
    <row r="1" spans="1:54" ht="49.5" customHeight="1" x14ac:dyDescent="0.25">
      <c r="A1" s="56" t="s">
        <v>47</v>
      </c>
      <c r="B1" s="57" t="s">
        <v>48</v>
      </c>
      <c r="C1" s="57" t="s">
        <v>49</v>
      </c>
      <c r="D1" s="57" t="s">
        <v>41</v>
      </c>
      <c r="E1" s="58" t="s">
        <v>46</v>
      </c>
      <c r="F1" s="58" t="s">
        <v>45</v>
      </c>
      <c r="G1" s="58" t="s">
        <v>205</v>
      </c>
      <c r="H1" s="58" t="s">
        <v>50</v>
      </c>
      <c r="I1" s="58" t="s">
        <v>51</v>
      </c>
      <c r="J1" s="94" t="s">
        <v>52</v>
      </c>
      <c r="K1" s="57" t="s">
        <v>53</v>
      </c>
      <c r="L1" s="59" t="s">
        <v>54</v>
      </c>
      <c r="M1" s="58" t="s">
        <v>55</v>
      </c>
      <c r="N1" s="58" t="s">
        <v>56</v>
      </c>
      <c r="O1" s="58" t="s">
        <v>57</v>
      </c>
      <c r="P1" s="58" t="s">
        <v>58</v>
      </c>
      <c r="Q1" s="58" t="s">
        <v>59</v>
      </c>
      <c r="R1" s="58" t="s">
        <v>60</v>
      </c>
      <c r="S1" s="58" t="s">
        <v>61</v>
      </c>
      <c r="T1" s="60" t="s">
        <v>62</v>
      </c>
      <c r="U1" s="61" t="s">
        <v>63</v>
      </c>
      <c r="V1" s="61" t="s">
        <v>64</v>
      </c>
      <c r="W1" s="62" t="s">
        <v>65</v>
      </c>
      <c r="X1" s="154" t="s">
        <v>66</v>
      </c>
      <c r="Y1" s="63" t="s">
        <v>44</v>
      </c>
      <c r="Z1" s="58" t="s">
        <v>67</v>
      </c>
      <c r="AA1" s="64" t="s">
        <v>68</v>
      </c>
      <c r="AB1" s="64" t="s">
        <v>204</v>
      </c>
      <c r="AC1" s="65" t="s">
        <v>69</v>
      </c>
      <c r="AD1" s="72" t="s">
        <v>70</v>
      </c>
      <c r="AE1" s="66" t="s">
        <v>71</v>
      </c>
      <c r="AF1" s="91" t="s">
        <v>72</v>
      </c>
      <c r="AG1" s="91" t="s">
        <v>73</v>
      </c>
      <c r="AH1" s="91" t="s">
        <v>74</v>
      </c>
      <c r="AI1" s="81" t="s">
        <v>75</v>
      </c>
      <c r="AJ1" s="66" t="s">
        <v>76</v>
      </c>
      <c r="AK1" s="58" t="s">
        <v>77</v>
      </c>
      <c r="AL1" s="58" t="s">
        <v>78</v>
      </c>
      <c r="AM1" s="67" t="s">
        <v>79</v>
      </c>
      <c r="AN1" s="81" t="s">
        <v>80</v>
      </c>
      <c r="AO1" s="73" t="s">
        <v>81</v>
      </c>
      <c r="AP1" s="74" t="s">
        <v>82</v>
      </c>
      <c r="AQ1" s="58" t="s">
        <v>83</v>
      </c>
      <c r="AR1" s="58" t="s">
        <v>84</v>
      </c>
      <c r="AS1" s="64" t="s">
        <v>85</v>
      </c>
      <c r="AT1" s="64" t="s">
        <v>86</v>
      </c>
      <c r="AU1" s="68" t="s">
        <v>87</v>
      </c>
      <c r="AV1" s="69" t="s">
        <v>88</v>
      </c>
      <c r="AW1" s="70" t="s">
        <v>89</v>
      </c>
      <c r="AX1" s="70" t="s">
        <v>90</v>
      </c>
      <c r="AY1" s="70" t="s">
        <v>91</v>
      </c>
      <c r="AZ1" s="68" t="s">
        <v>92</v>
      </c>
      <c r="BA1" s="171" t="s">
        <v>372</v>
      </c>
      <c r="BB1" s="171" t="s">
        <v>373</v>
      </c>
    </row>
    <row r="2" spans="1:54" s="124" customFormat="1" x14ac:dyDescent="0.25">
      <c r="A2" s="126" t="s">
        <v>267</v>
      </c>
      <c r="B2" s="127">
        <v>44317</v>
      </c>
      <c r="C2" s="127">
        <v>44317</v>
      </c>
      <c r="D2" s="128" t="s">
        <v>269</v>
      </c>
      <c r="E2" s="126" t="s">
        <v>33</v>
      </c>
      <c r="F2" s="121">
        <v>1</v>
      </c>
      <c r="G2" s="125" t="s">
        <v>275</v>
      </c>
      <c r="J2" s="129" t="e">
        <f>VLOOKUP(G2,'BASE PASAJEROS'!A:E,5,FALSE)</f>
        <v>#N/A</v>
      </c>
      <c r="K2" s="128" t="e">
        <f>VLOOKUP(G2,'BASE PASAJEROS'!A:B,2,FALSE)</f>
        <v>#N/A</v>
      </c>
      <c r="L2" s="128" t="s">
        <v>316</v>
      </c>
      <c r="M2" s="128" t="e">
        <f>VLOOKUP(G2,'BASE PASAJEROS'!A:H,8,FALSE)</f>
        <v>#N/A</v>
      </c>
      <c r="N2" s="128"/>
      <c r="O2" s="128"/>
      <c r="P2" s="128" t="e">
        <f>VLOOKUP(G2,'BASE PASAJEROS'!A:F,6,FALSE)</f>
        <v>#N/A</v>
      </c>
      <c r="Q2" s="128" t="e">
        <f>VLOOKUP(G2,'BASE PASAJEROS'!A:C,3,FALSE)</f>
        <v>#N/A</v>
      </c>
      <c r="R2" s="128" t="e">
        <f>VLOOKUP(G2,'BASE PASAJEROS'!A:G,7,FALSE)</f>
        <v>#N/A</v>
      </c>
      <c r="S2" s="128" t="s">
        <v>292</v>
      </c>
      <c r="T2" s="128" t="s">
        <v>320</v>
      </c>
      <c r="U2" s="130" t="e">
        <f>VLOOKUP(G2,'BASE PASAJEROS'!A:AG,33,FALSE)</f>
        <v>#N/A</v>
      </c>
      <c r="V2" s="130" t="e">
        <f>VLOOKUP(G2,'BASE PASAJEROS'!A:AH,34,FALSE)</f>
        <v>#N/A</v>
      </c>
      <c r="W2" s="128"/>
      <c r="X2" s="142" t="s">
        <v>308</v>
      </c>
      <c r="Y2" s="128" t="s">
        <v>32</v>
      </c>
      <c r="Z2" s="128" t="s">
        <v>31</v>
      </c>
      <c r="AA2" s="128" t="s">
        <v>317</v>
      </c>
      <c r="AB2" s="128" t="e">
        <f>VLOOKUP(AA2,'BASE BANCOS'!$A$2:$D$202,3,FALSE)</f>
        <v>#N/A</v>
      </c>
      <c r="AC2" s="128" t="s">
        <v>318</v>
      </c>
      <c r="AD2" s="129" t="e">
        <f>VLOOKUP(AC2,'BASE CONDUCTORES'!E:G,3,FALSE)</f>
        <v>#N/A</v>
      </c>
      <c r="AE2" s="130"/>
      <c r="AF2" s="131"/>
      <c r="AG2" s="131"/>
      <c r="AH2" s="131">
        <f t="shared" ref="AH2:AH46" si="0">+AF2-AG2</f>
        <v>0</v>
      </c>
      <c r="AI2" s="131" t="e">
        <f>VLOOKUP(G2,[4]Hoja1!$T:$AL,19,FALSE)</f>
        <v>#N/A</v>
      </c>
      <c r="AJ2" s="128"/>
      <c r="AK2" s="128"/>
      <c r="AL2" s="128"/>
      <c r="AM2" s="128"/>
      <c r="AN2" s="131">
        <f t="shared" ref="AN2:AN46" si="1">+AM2*1.5</f>
        <v>0</v>
      </c>
      <c r="AO2" s="131">
        <f t="shared" ref="AO2:AP32" si="2">+AH2+AM2</f>
        <v>0</v>
      </c>
      <c r="AP2" s="131" t="e">
        <f t="shared" si="2"/>
        <v>#N/A</v>
      </c>
      <c r="AU2" s="132"/>
      <c r="AV2" s="133"/>
      <c r="AW2" s="134"/>
      <c r="AX2" s="134">
        <f t="shared" ref="AX2:AX46" si="3">AO2-AW2</f>
        <v>0</v>
      </c>
      <c r="AY2" s="121"/>
      <c r="AZ2" s="121"/>
    </row>
    <row r="3" spans="1:54" s="124" customFormat="1" x14ac:dyDescent="0.25">
      <c r="A3" s="126" t="s">
        <v>267</v>
      </c>
      <c r="B3" s="127">
        <v>44317</v>
      </c>
      <c r="C3" s="127">
        <v>44317</v>
      </c>
      <c r="D3" s="128" t="s">
        <v>269</v>
      </c>
      <c r="E3" s="126" t="s">
        <v>33</v>
      </c>
      <c r="F3" s="121">
        <v>1</v>
      </c>
      <c r="G3" s="125" t="s">
        <v>276</v>
      </c>
      <c r="J3" s="129" t="e">
        <f>VLOOKUP(G3,'BASE PASAJEROS'!A:E,5,FALSE)</f>
        <v>#N/A</v>
      </c>
      <c r="K3" s="128" t="e">
        <f>VLOOKUP(G3,'BASE PASAJEROS'!A:B,2,FALSE)</f>
        <v>#N/A</v>
      </c>
      <c r="L3" s="128" t="s">
        <v>316</v>
      </c>
      <c r="M3" s="128" t="e">
        <f>VLOOKUP(G3,'BASE PASAJEROS'!A:H,8,FALSE)</f>
        <v>#N/A</v>
      </c>
      <c r="N3" s="128"/>
      <c r="O3" s="128"/>
      <c r="P3" s="128" t="e">
        <f>VLOOKUP(G3,'BASE PASAJEROS'!A:F,6,FALSE)</f>
        <v>#N/A</v>
      </c>
      <c r="Q3" s="128" t="e">
        <f>VLOOKUP(G3,'BASE PASAJEROS'!A:C,3,FALSE)</f>
        <v>#N/A</v>
      </c>
      <c r="R3" s="128" t="e">
        <f>VLOOKUP(G3,'BASE PASAJEROS'!A:G,7,FALSE)</f>
        <v>#N/A</v>
      </c>
      <c r="S3" s="128"/>
      <c r="T3" s="128"/>
      <c r="U3" s="130" t="e">
        <f>VLOOKUP(G3,'BASE PASAJEROS'!A:AG,33,FALSE)</f>
        <v>#N/A</v>
      </c>
      <c r="V3" s="130" t="e">
        <f>VLOOKUP(G3,'BASE PASAJEROS'!A:AH,34,FALSE)</f>
        <v>#N/A</v>
      </c>
      <c r="W3" s="128"/>
      <c r="X3" s="135" t="s">
        <v>311</v>
      </c>
      <c r="Y3" s="128" t="s">
        <v>21</v>
      </c>
      <c r="Z3" s="128" t="s">
        <v>0</v>
      </c>
      <c r="AA3" s="128" t="s">
        <v>319</v>
      </c>
      <c r="AB3" s="128" t="e">
        <f>VLOOKUP(AA3,'BASE BANCOS'!$A$2:$D$202,3,FALSE)</f>
        <v>#N/A</v>
      </c>
      <c r="AC3" s="128"/>
      <c r="AD3" s="129" t="e">
        <f>VLOOKUP(AC3,'BASE CONDUCTORES'!E:G,3,FALSE)</f>
        <v>#N/A</v>
      </c>
      <c r="AE3" s="130"/>
      <c r="AF3" s="131"/>
      <c r="AG3" s="131"/>
      <c r="AH3" s="131">
        <f t="shared" si="0"/>
        <v>0</v>
      </c>
      <c r="AI3" s="131" t="e">
        <f>VLOOKUP(G3,[4]Hoja1!$T:$AL,19,FALSE)</f>
        <v>#N/A</v>
      </c>
      <c r="AJ3" s="128"/>
      <c r="AK3" s="128"/>
      <c r="AL3" s="128"/>
      <c r="AM3" s="128"/>
      <c r="AN3" s="131">
        <f t="shared" si="1"/>
        <v>0</v>
      </c>
      <c r="AO3" s="131">
        <f t="shared" si="2"/>
        <v>0</v>
      </c>
      <c r="AP3" s="131" t="e">
        <f t="shared" si="2"/>
        <v>#N/A</v>
      </c>
      <c r="AU3" s="132"/>
      <c r="AV3" s="133"/>
      <c r="AW3" s="134"/>
      <c r="AX3" s="134">
        <f t="shared" si="3"/>
        <v>0</v>
      </c>
      <c r="AY3" s="121"/>
      <c r="AZ3" s="121"/>
    </row>
    <row r="4" spans="1:54" s="124" customFormat="1" x14ac:dyDescent="0.25">
      <c r="A4" s="126" t="s">
        <v>267</v>
      </c>
      <c r="B4" s="127">
        <v>44317</v>
      </c>
      <c r="C4" s="127">
        <v>44317</v>
      </c>
      <c r="D4" s="128" t="s">
        <v>269</v>
      </c>
      <c r="E4" s="126" t="s">
        <v>33</v>
      </c>
      <c r="F4" s="121">
        <v>1</v>
      </c>
      <c r="G4" s="125" t="s">
        <v>277</v>
      </c>
      <c r="J4" s="129" t="e">
        <f>VLOOKUP(G4,'BASE PASAJEROS'!A:E,5,FALSE)</f>
        <v>#N/A</v>
      </c>
      <c r="K4" s="128" t="e">
        <f>VLOOKUP(G4,'BASE PASAJEROS'!A:B,2,FALSE)</f>
        <v>#N/A</v>
      </c>
      <c r="L4" s="128" t="s">
        <v>316</v>
      </c>
      <c r="M4" s="128" t="e">
        <f>VLOOKUP(G4,'BASE PASAJEROS'!A:H,8,FALSE)</f>
        <v>#N/A</v>
      </c>
      <c r="N4" s="128"/>
      <c r="O4" s="128"/>
      <c r="P4" s="128" t="e">
        <f>VLOOKUP(G4,'BASE PASAJEROS'!A:F,6,FALSE)</f>
        <v>#N/A</v>
      </c>
      <c r="Q4" s="128" t="e">
        <f>VLOOKUP(G4,'BASE PASAJEROS'!A:C,3,FALSE)</f>
        <v>#N/A</v>
      </c>
      <c r="R4" s="128" t="e">
        <f>VLOOKUP(G4,'BASE PASAJEROS'!A:G,7,FALSE)</f>
        <v>#N/A</v>
      </c>
      <c r="S4" s="128" t="s">
        <v>294</v>
      </c>
      <c r="T4" s="128" t="s">
        <v>320</v>
      </c>
      <c r="U4" s="130" t="e">
        <f>VLOOKUP(G4,'BASE PASAJEROS'!A:AG,33,FALSE)</f>
        <v>#N/A</v>
      </c>
      <c r="V4" s="130" t="e">
        <f>VLOOKUP(G4,'BASE PASAJEROS'!A:AH,34,FALSE)</f>
        <v>#N/A</v>
      </c>
      <c r="W4" s="128"/>
      <c r="X4" s="142" t="s">
        <v>308</v>
      </c>
      <c r="Y4" s="128" t="s">
        <v>32</v>
      </c>
      <c r="Z4" s="128" t="s">
        <v>31</v>
      </c>
      <c r="AA4" s="128" t="s">
        <v>317</v>
      </c>
      <c r="AB4" s="128" t="e">
        <f>VLOOKUP(AA4,'BASE BANCOS'!$A$2:$D$202,3,FALSE)</f>
        <v>#N/A</v>
      </c>
      <c r="AC4" s="128" t="s">
        <v>318</v>
      </c>
      <c r="AD4" s="129" t="e">
        <f>VLOOKUP(AC4,'BASE CONDUCTORES'!E:G,3,FALSE)</f>
        <v>#N/A</v>
      </c>
      <c r="AE4" s="130"/>
      <c r="AF4" s="131"/>
      <c r="AG4" s="131"/>
      <c r="AH4" s="131">
        <f t="shared" si="0"/>
        <v>0</v>
      </c>
      <c r="AI4" s="131" t="e">
        <f>VLOOKUP(G4,[4]Hoja1!$T:$AL,19,FALSE)</f>
        <v>#N/A</v>
      </c>
      <c r="AJ4" s="128"/>
      <c r="AK4" s="128"/>
      <c r="AL4" s="128"/>
      <c r="AM4" s="128"/>
      <c r="AN4" s="131">
        <f t="shared" si="1"/>
        <v>0</v>
      </c>
      <c r="AO4" s="131">
        <f t="shared" si="2"/>
        <v>0</v>
      </c>
      <c r="AP4" s="131" t="e">
        <f t="shared" si="2"/>
        <v>#N/A</v>
      </c>
      <c r="AU4" s="132"/>
      <c r="AV4" s="133"/>
      <c r="AW4" s="134"/>
      <c r="AX4" s="134">
        <f t="shared" si="3"/>
        <v>0</v>
      </c>
      <c r="AY4" s="121"/>
      <c r="AZ4" s="121"/>
    </row>
    <row r="5" spans="1:54" s="124" customFormat="1" x14ac:dyDescent="0.25">
      <c r="A5" s="126" t="s">
        <v>267</v>
      </c>
      <c r="B5" s="127">
        <v>44317</v>
      </c>
      <c r="C5" s="127">
        <v>44317</v>
      </c>
      <c r="D5" s="128" t="s">
        <v>269</v>
      </c>
      <c r="E5" s="126" t="s">
        <v>33</v>
      </c>
      <c r="F5" s="121">
        <v>1</v>
      </c>
      <c r="G5" s="125" t="s">
        <v>278</v>
      </c>
      <c r="J5" s="129" t="e">
        <f>VLOOKUP(G5,'BASE PASAJEROS'!A:E,5,FALSE)</f>
        <v>#N/A</v>
      </c>
      <c r="K5" s="128" t="e">
        <f>VLOOKUP(G5,'BASE PASAJEROS'!A:B,2,FALSE)</f>
        <v>#N/A</v>
      </c>
      <c r="L5" s="128" t="s">
        <v>316</v>
      </c>
      <c r="M5" s="128" t="e">
        <f>VLOOKUP(G5,'BASE PASAJEROS'!A:H,8,FALSE)</f>
        <v>#N/A</v>
      </c>
      <c r="N5" s="128"/>
      <c r="O5" s="128"/>
      <c r="P5" s="128" t="e">
        <f>VLOOKUP(G5,'BASE PASAJEROS'!A:F,6,FALSE)</f>
        <v>#N/A</v>
      </c>
      <c r="Q5" s="128" t="e">
        <f>VLOOKUP(G5,'BASE PASAJEROS'!A:C,3,FALSE)</f>
        <v>#N/A</v>
      </c>
      <c r="R5" s="128" t="e">
        <f>VLOOKUP(G5,'BASE PASAJEROS'!A:G,7,FALSE)</f>
        <v>#N/A</v>
      </c>
      <c r="S5" s="128" t="s">
        <v>295</v>
      </c>
      <c r="T5" s="128" t="s">
        <v>320</v>
      </c>
      <c r="U5" s="130" t="e">
        <f>VLOOKUP(G5,'BASE PASAJEROS'!A:AG,33,FALSE)</f>
        <v>#N/A</v>
      </c>
      <c r="V5" s="130" t="e">
        <f>VLOOKUP(G5,'BASE PASAJEROS'!A:AH,34,FALSE)</f>
        <v>#N/A</v>
      </c>
      <c r="W5" s="128"/>
      <c r="X5" s="142" t="s">
        <v>308</v>
      </c>
      <c r="Y5" s="128" t="s">
        <v>32</v>
      </c>
      <c r="Z5" s="128" t="s">
        <v>31</v>
      </c>
      <c r="AA5" s="128" t="s">
        <v>317</v>
      </c>
      <c r="AB5" s="128" t="e">
        <f>VLOOKUP(AA5,'BASE BANCOS'!$A$2:$D$202,3,FALSE)</f>
        <v>#N/A</v>
      </c>
      <c r="AC5" s="128" t="s">
        <v>318</v>
      </c>
      <c r="AD5" s="129" t="e">
        <f>VLOOKUP(AC5,'BASE CONDUCTORES'!E:G,3,FALSE)</f>
        <v>#N/A</v>
      </c>
      <c r="AE5" s="130"/>
      <c r="AF5" s="131"/>
      <c r="AG5" s="131"/>
      <c r="AH5" s="131">
        <f t="shared" si="0"/>
        <v>0</v>
      </c>
      <c r="AI5" s="131" t="e">
        <f>VLOOKUP(G5,[4]Hoja1!$T:$AL,19,FALSE)</f>
        <v>#N/A</v>
      </c>
      <c r="AJ5" s="128"/>
      <c r="AK5" s="128"/>
      <c r="AL5" s="128"/>
      <c r="AM5" s="128"/>
      <c r="AN5" s="131">
        <f t="shared" si="1"/>
        <v>0</v>
      </c>
      <c r="AO5" s="131">
        <f t="shared" si="2"/>
        <v>0</v>
      </c>
      <c r="AP5" s="131" t="e">
        <f t="shared" si="2"/>
        <v>#N/A</v>
      </c>
      <c r="AU5" s="132"/>
      <c r="AV5" s="133"/>
      <c r="AW5" s="134"/>
      <c r="AX5" s="134">
        <f t="shared" si="3"/>
        <v>0</v>
      </c>
      <c r="AY5" s="121"/>
      <c r="AZ5" s="121"/>
    </row>
    <row r="6" spans="1:54" s="124" customFormat="1" x14ac:dyDescent="0.25">
      <c r="A6" s="126" t="s">
        <v>267</v>
      </c>
      <c r="B6" s="127">
        <v>44317</v>
      </c>
      <c r="C6" s="127">
        <v>44317</v>
      </c>
      <c r="D6" s="128" t="s">
        <v>269</v>
      </c>
      <c r="E6" s="126" t="s">
        <v>33</v>
      </c>
      <c r="F6" s="121">
        <v>1</v>
      </c>
      <c r="G6" s="125" t="s">
        <v>279</v>
      </c>
      <c r="J6" s="129" t="e">
        <f>VLOOKUP(G6,'BASE PASAJEROS'!A:E,5,FALSE)</f>
        <v>#N/A</v>
      </c>
      <c r="K6" s="128" t="e">
        <f>VLOOKUP(G6,'BASE PASAJEROS'!A:B,2,FALSE)</f>
        <v>#N/A</v>
      </c>
      <c r="L6" s="128" t="s">
        <v>316</v>
      </c>
      <c r="M6" s="128" t="e">
        <f>VLOOKUP(G6,'BASE PASAJEROS'!A:H,8,FALSE)</f>
        <v>#N/A</v>
      </c>
      <c r="N6" s="128"/>
      <c r="O6" s="128"/>
      <c r="P6" s="128" t="e">
        <f>VLOOKUP(G6,'BASE PASAJEROS'!A:F,6,FALSE)</f>
        <v>#N/A</v>
      </c>
      <c r="Q6" s="128" t="e">
        <f>VLOOKUP(G6,'BASE PASAJEROS'!A:C,3,FALSE)</f>
        <v>#N/A</v>
      </c>
      <c r="R6" s="128" t="e">
        <f>VLOOKUP(G6,'BASE PASAJEROS'!A:G,7,FALSE)</f>
        <v>#N/A</v>
      </c>
      <c r="S6" s="128" t="s">
        <v>296</v>
      </c>
      <c r="T6" s="128" t="s">
        <v>320</v>
      </c>
      <c r="U6" s="130" t="e">
        <f>VLOOKUP(G6,'BASE PASAJEROS'!A:AG,33,FALSE)</f>
        <v>#N/A</v>
      </c>
      <c r="V6" s="130" t="e">
        <f>VLOOKUP(G6,'BASE PASAJEROS'!A:AH,34,FALSE)</f>
        <v>#N/A</v>
      </c>
      <c r="W6" s="128"/>
      <c r="X6" s="142" t="s">
        <v>308</v>
      </c>
      <c r="Y6" s="128" t="s">
        <v>32</v>
      </c>
      <c r="Z6" s="128" t="s">
        <v>31</v>
      </c>
      <c r="AA6" s="128" t="s">
        <v>317</v>
      </c>
      <c r="AB6" s="128" t="e">
        <f>VLOOKUP(AA6,'BASE BANCOS'!$A$2:$D$202,3,FALSE)</f>
        <v>#N/A</v>
      </c>
      <c r="AC6" s="128" t="s">
        <v>318</v>
      </c>
      <c r="AD6" s="129" t="e">
        <f>VLOOKUP(AC6,'BASE CONDUCTORES'!E:G,3,FALSE)</f>
        <v>#N/A</v>
      </c>
      <c r="AE6" s="130"/>
      <c r="AF6" s="131"/>
      <c r="AG6" s="131"/>
      <c r="AH6" s="131">
        <f t="shared" si="0"/>
        <v>0</v>
      </c>
      <c r="AI6" s="131" t="e">
        <f>VLOOKUP(G6,[4]Hoja1!$T:$AL,19,FALSE)</f>
        <v>#N/A</v>
      </c>
      <c r="AJ6" s="128"/>
      <c r="AK6" s="128"/>
      <c r="AL6" s="128"/>
      <c r="AM6" s="128"/>
      <c r="AN6" s="131">
        <f t="shared" si="1"/>
        <v>0</v>
      </c>
      <c r="AO6" s="131">
        <f t="shared" si="2"/>
        <v>0</v>
      </c>
      <c r="AP6" s="131" t="e">
        <f t="shared" si="2"/>
        <v>#N/A</v>
      </c>
      <c r="AU6" s="132"/>
      <c r="AV6" s="133"/>
      <c r="AW6" s="134"/>
      <c r="AX6" s="134">
        <f t="shared" si="3"/>
        <v>0</v>
      </c>
      <c r="AY6" s="121"/>
      <c r="AZ6" s="121"/>
    </row>
    <row r="7" spans="1:54" s="124" customFormat="1" x14ac:dyDescent="0.25">
      <c r="A7" s="126" t="s">
        <v>267</v>
      </c>
      <c r="B7" s="127">
        <v>44317</v>
      </c>
      <c r="C7" s="127">
        <v>44317</v>
      </c>
      <c r="D7" s="128" t="s">
        <v>269</v>
      </c>
      <c r="E7" s="126" t="s">
        <v>33</v>
      </c>
      <c r="F7" s="121">
        <v>1</v>
      </c>
      <c r="G7" s="125" t="s">
        <v>280</v>
      </c>
      <c r="J7" s="129" t="e">
        <f>VLOOKUP(G7,'BASE PASAJEROS'!A:E,5,FALSE)</f>
        <v>#N/A</v>
      </c>
      <c r="K7" s="128" t="e">
        <f>VLOOKUP(G7,'BASE PASAJEROS'!A:B,2,FALSE)</f>
        <v>#N/A</v>
      </c>
      <c r="L7" s="128" t="s">
        <v>316</v>
      </c>
      <c r="M7" s="128" t="e">
        <f>VLOOKUP(G7,'BASE PASAJEROS'!A:H,8,FALSE)</f>
        <v>#N/A</v>
      </c>
      <c r="N7" s="128"/>
      <c r="O7" s="128"/>
      <c r="P7" s="128" t="e">
        <f>VLOOKUP(G7,'BASE PASAJEROS'!A:F,6,FALSE)</f>
        <v>#N/A</v>
      </c>
      <c r="Q7" s="128" t="e">
        <f>VLOOKUP(G7,'BASE PASAJEROS'!A:C,3,FALSE)</f>
        <v>#N/A</v>
      </c>
      <c r="R7" s="128" t="e">
        <f>VLOOKUP(G7,'BASE PASAJEROS'!A:G,7,FALSE)</f>
        <v>#N/A</v>
      </c>
      <c r="S7" s="128" t="s">
        <v>297</v>
      </c>
      <c r="T7" s="128" t="s">
        <v>320</v>
      </c>
      <c r="U7" s="130" t="e">
        <f>VLOOKUP(G7,'BASE PASAJEROS'!A:AG,33,FALSE)</f>
        <v>#N/A</v>
      </c>
      <c r="V7" s="130" t="e">
        <f>VLOOKUP(G7,'BASE PASAJEROS'!A:AH,34,FALSE)</f>
        <v>#N/A</v>
      </c>
      <c r="W7" s="128"/>
      <c r="X7" s="142" t="s">
        <v>306</v>
      </c>
      <c r="Y7" s="128" t="s">
        <v>27</v>
      </c>
      <c r="Z7" s="128" t="s">
        <v>26</v>
      </c>
      <c r="AA7" s="128" t="s">
        <v>317</v>
      </c>
      <c r="AB7" s="128" t="e">
        <f>VLOOKUP(AA7,'BASE BANCOS'!$A$2:$D$202,3,FALSE)</f>
        <v>#N/A</v>
      </c>
      <c r="AC7" s="128" t="s">
        <v>318</v>
      </c>
      <c r="AD7" s="129" t="e">
        <f>VLOOKUP(AC7,'BASE CONDUCTORES'!E:G,3,FALSE)</f>
        <v>#N/A</v>
      </c>
      <c r="AE7" s="130"/>
      <c r="AF7" s="131"/>
      <c r="AG7" s="131"/>
      <c r="AH7" s="131">
        <f t="shared" si="0"/>
        <v>0</v>
      </c>
      <c r="AI7" s="131" t="e">
        <f>VLOOKUP(G7,[4]Hoja1!$T:$AL,19,FALSE)</f>
        <v>#N/A</v>
      </c>
      <c r="AJ7" s="128"/>
      <c r="AK7" s="128"/>
      <c r="AL7" s="128"/>
      <c r="AM7" s="128"/>
      <c r="AN7" s="131">
        <f t="shared" si="1"/>
        <v>0</v>
      </c>
      <c r="AO7" s="131">
        <f t="shared" si="2"/>
        <v>0</v>
      </c>
      <c r="AP7" s="131" t="e">
        <f t="shared" si="2"/>
        <v>#N/A</v>
      </c>
      <c r="AU7" s="132"/>
      <c r="AV7" s="133"/>
      <c r="AW7" s="134"/>
      <c r="AX7" s="134">
        <f t="shared" si="3"/>
        <v>0</v>
      </c>
      <c r="AY7" s="121"/>
      <c r="AZ7" s="121"/>
    </row>
    <row r="8" spans="1:54" s="124" customFormat="1" x14ac:dyDescent="0.25">
      <c r="A8" s="126" t="s">
        <v>267</v>
      </c>
      <c r="B8" s="127">
        <v>44317</v>
      </c>
      <c r="C8" s="127">
        <v>44317</v>
      </c>
      <c r="D8" s="128" t="s">
        <v>269</v>
      </c>
      <c r="E8" s="126" t="s">
        <v>33</v>
      </c>
      <c r="F8" s="121">
        <v>1</v>
      </c>
      <c r="G8" s="125" t="s">
        <v>281</v>
      </c>
      <c r="J8" s="129" t="e">
        <f>VLOOKUP(G8,'BASE PASAJEROS'!A:E,5,FALSE)</f>
        <v>#N/A</v>
      </c>
      <c r="K8" s="128" t="e">
        <f>VLOOKUP(G8,'BASE PASAJEROS'!A:B,2,FALSE)</f>
        <v>#N/A</v>
      </c>
      <c r="L8" s="128" t="s">
        <v>316</v>
      </c>
      <c r="M8" s="128" t="e">
        <f>VLOOKUP(G8,'BASE PASAJEROS'!A:H,8,FALSE)</f>
        <v>#N/A</v>
      </c>
      <c r="N8" s="128"/>
      <c r="O8" s="128"/>
      <c r="P8" s="128" t="e">
        <f>VLOOKUP(G8,'BASE PASAJEROS'!A:F,6,FALSE)</f>
        <v>#N/A</v>
      </c>
      <c r="Q8" s="128" t="e">
        <f>VLOOKUP(G8,'BASE PASAJEROS'!A:C,3,FALSE)</f>
        <v>#N/A</v>
      </c>
      <c r="R8" s="128" t="e">
        <f>VLOOKUP(G8,'BASE PASAJEROS'!A:G,7,FALSE)</f>
        <v>#N/A</v>
      </c>
      <c r="S8" s="128" t="s">
        <v>298</v>
      </c>
      <c r="T8" s="128" t="s">
        <v>320</v>
      </c>
      <c r="U8" s="130" t="e">
        <f>VLOOKUP(G8,'BASE PASAJEROS'!A:AG,33,FALSE)</f>
        <v>#N/A</v>
      </c>
      <c r="V8" s="130" t="e">
        <f>VLOOKUP(G8,'BASE PASAJEROS'!A:AH,34,FALSE)</f>
        <v>#N/A</v>
      </c>
      <c r="W8" s="128"/>
      <c r="X8" s="142" t="s">
        <v>306</v>
      </c>
      <c r="Y8" s="128" t="s">
        <v>27</v>
      </c>
      <c r="Z8" s="128" t="s">
        <v>26</v>
      </c>
      <c r="AA8" s="128" t="s">
        <v>317</v>
      </c>
      <c r="AB8" s="128" t="e">
        <f>VLOOKUP(AA8,'BASE BANCOS'!$A$2:$D$202,3,FALSE)</f>
        <v>#N/A</v>
      </c>
      <c r="AC8" s="128" t="s">
        <v>318</v>
      </c>
      <c r="AD8" s="129" t="e">
        <f>VLOOKUP(AC8,'BASE CONDUCTORES'!E:G,3,FALSE)</f>
        <v>#N/A</v>
      </c>
      <c r="AE8" s="130"/>
      <c r="AF8" s="131"/>
      <c r="AG8" s="131"/>
      <c r="AH8" s="131">
        <f t="shared" si="0"/>
        <v>0</v>
      </c>
      <c r="AI8" s="131" t="e">
        <f>VLOOKUP(G8,[4]Hoja1!$T:$AL,19,FALSE)</f>
        <v>#N/A</v>
      </c>
      <c r="AJ8" s="128"/>
      <c r="AK8" s="128"/>
      <c r="AL8" s="128"/>
      <c r="AM8" s="128"/>
      <c r="AN8" s="131">
        <f t="shared" si="1"/>
        <v>0</v>
      </c>
      <c r="AO8" s="131">
        <f t="shared" si="2"/>
        <v>0</v>
      </c>
      <c r="AP8" s="131" t="e">
        <f t="shared" si="2"/>
        <v>#N/A</v>
      </c>
      <c r="AU8" s="132"/>
      <c r="AV8" s="133"/>
      <c r="AW8" s="134"/>
      <c r="AX8" s="134">
        <f t="shared" si="3"/>
        <v>0</v>
      </c>
      <c r="AY8" s="121"/>
      <c r="AZ8" s="121"/>
    </row>
    <row r="9" spans="1:54" s="124" customFormat="1" x14ac:dyDescent="0.25">
      <c r="A9" s="126" t="s">
        <v>267</v>
      </c>
      <c r="B9" s="127">
        <v>44317</v>
      </c>
      <c r="C9" s="127">
        <v>44317</v>
      </c>
      <c r="D9" s="128" t="s">
        <v>269</v>
      </c>
      <c r="E9" s="126" t="s">
        <v>33</v>
      </c>
      <c r="F9" s="121">
        <v>1</v>
      </c>
      <c r="G9" s="125" t="s">
        <v>282</v>
      </c>
      <c r="J9" s="129" t="e">
        <f>VLOOKUP(G9,'BASE PASAJEROS'!A:E,5,FALSE)</f>
        <v>#N/A</v>
      </c>
      <c r="K9" s="128" t="e">
        <f>VLOOKUP(G9,'BASE PASAJEROS'!A:B,2,FALSE)</f>
        <v>#N/A</v>
      </c>
      <c r="L9" s="128" t="s">
        <v>316</v>
      </c>
      <c r="M9" s="128" t="e">
        <f>VLOOKUP(G9,'BASE PASAJEROS'!A:H,8,FALSE)</f>
        <v>#N/A</v>
      </c>
      <c r="N9" s="128"/>
      <c r="O9" s="128"/>
      <c r="P9" s="128" t="e">
        <f>VLOOKUP(G9,'BASE PASAJEROS'!A:F,6,FALSE)</f>
        <v>#N/A</v>
      </c>
      <c r="Q9" s="128" t="e">
        <f>VLOOKUP(G9,'BASE PASAJEROS'!A:C,3,FALSE)</f>
        <v>#N/A</v>
      </c>
      <c r="R9" s="128" t="e">
        <f>VLOOKUP(G9,'BASE PASAJEROS'!A:G,7,FALSE)</f>
        <v>#N/A</v>
      </c>
      <c r="S9" s="128" t="s">
        <v>299</v>
      </c>
      <c r="T9" s="128" t="s">
        <v>320</v>
      </c>
      <c r="U9" s="130" t="e">
        <f>VLOOKUP(G9,'BASE PASAJEROS'!A:AG,33,FALSE)</f>
        <v>#N/A</v>
      </c>
      <c r="V9" s="130" t="e">
        <f>VLOOKUP(G9,'BASE PASAJEROS'!A:AH,34,FALSE)</f>
        <v>#N/A</v>
      </c>
      <c r="W9" s="128"/>
      <c r="X9" s="142" t="s">
        <v>306</v>
      </c>
      <c r="Y9" s="128" t="s">
        <v>27</v>
      </c>
      <c r="Z9" s="128" t="s">
        <v>26</v>
      </c>
      <c r="AA9" s="128" t="s">
        <v>317</v>
      </c>
      <c r="AB9" s="128" t="e">
        <f>VLOOKUP(AA9,'BASE BANCOS'!$A$2:$D$202,3,FALSE)</f>
        <v>#N/A</v>
      </c>
      <c r="AC9" s="128" t="s">
        <v>318</v>
      </c>
      <c r="AD9" s="129" t="e">
        <f>VLOOKUP(AC9,'BASE CONDUCTORES'!E:G,3,FALSE)</f>
        <v>#N/A</v>
      </c>
      <c r="AE9" s="130"/>
      <c r="AF9" s="131"/>
      <c r="AG9" s="131"/>
      <c r="AH9" s="131">
        <f t="shared" si="0"/>
        <v>0</v>
      </c>
      <c r="AI9" s="131" t="e">
        <f>VLOOKUP(G9,[4]Hoja1!$T:$AL,19,FALSE)</f>
        <v>#N/A</v>
      </c>
      <c r="AJ9" s="128"/>
      <c r="AK9" s="128"/>
      <c r="AL9" s="128"/>
      <c r="AM9" s="128"/>
      <c r="AN9" s="131">
        <f t="shared" si="1"/>
        <v>0</v>
      </c>
      <c r="AO9" s="131">
        <f t="shared" si="2"/>
        <v>0</v>
      </c>
      <c r="AP9" s="131" t="e">
        <f t="shared" si="2"/>
        <v>#N/A</v>
      </c>
      <c r="AU9" s="132"/>
      <c r="AV9" s="133"/>
      <c r="AW9" s="134"/>
      <c r="AX9" s="134">
        <f t="shared" si="3"/>
        <v>0</v>
      </c>
      <c r="AY9" s="121"/>
      <c r="AZ9" s="121"/>
    </row>
    <row r="10" spans="1:54" s="124" customFormat="1" x14ac:dyDescent="0.25">
      <c r="A10" s="126" t="s">
        <v>267</v>
      </c>
      <c r="B10" s="127">
        <v>44317</v>
      </c>
      <c r="C10" s="127">
        <v>44317</v>
      </c>
      <c r="D10" s="128" t="s">
        <v>269</v>
      </c>
      <c r="E10" s="126" t="s">
        <v>33</v>
      </c>
      <c r="F10" s="121">
        <v>1</v>
      </c>
      <c r="G10" s="125" t="s">
        <v>283</v>
      </c>
      <c r="J10" s="129" t="e">
        <f>VLOOKUP(G10,'BASE PASAJEROS'!A:E,5,FALSE)</f>
        <v>#N/A</v>
      </c>
      <c r="K10" s="128" t="e">
        <f>VLOOKUP(G10,'BASE PASAJEROS'!A:B,2,FALSE)</f>
        <v>#N/A</v>
      </c>
      <c r="L10" s="128" t="s">
        <v>316</v>
      </c>
      <c r="M10" s="128" t="e">
        <f>VLOOKUP(G10,'BASE PASAJEROS'!A:H,8,FALSE)</f>
        <v>#N/A</v>
      </c>
      <c r="N10" s="128"/>
      <c r="O10" s="128"/>
      <c r="P10" s="128" t="e">
        <f>VLOOKUP(G10,'BASE PASAJEROS'!A:F,6,FALSE)</f>
        <v>#N/A</v>
      </c>
      <c r="Q10" s="128" t="e">
        <f>VLOOKUP(G10,'BASE PASAJEROS'!A:C,3,FALSE)</f>
        <v>#N/A</v>
      </c>
      <c r="R10" s="128" t="e">
        <f>VLOOKUP(G10,'BASE PASAJEROS'!A:G,7,FALSE)</f>
        <v>#N/A</v>
      </c>
      <c r="S10" s="128" t="s">
        <v>300</v>
      </c>
      <c r="T10" s="128" t="s">
        <v>320</v>
      </c>
      <c r="U10" s="130" t="e">
        <f>VLOOKUP(G10,'BASE PASAJEROS'!A:AG,33,FALSE)</f>
        <v>#N/A</v>
      </c>
      <c r="V10" s="130" t="e">
        <f>VLOOKUP(G10,'BASE PASAJEROS'!A:AH,34,FALSE)</f>
        <v>#N/A</v>
      </c>
      <c r="W10" s="128"/>
      <c r="X10" s="142" t="s">
        <v>307</v>
      </c>
      <c r="Y10" s="128" t="s">
        <v>38</v>
      </c>
      <c r="Z10" s="128" t="s">
        <v>43</v>
      </c>
      <c r="AA10" s="128" t="s">
        <v>317</v>
      </c>
      <c r="AB10" s="128" t="e">
        <f>VLOOKUP(AA10,'BASE BANCOS'!$A$2:$D$202,3,FALSE)</f>
        <v>#N/A</v>
      </c>
      <c r="AC10" s="128" t="s">
        <v>318</v>
      </c>
      <c r="AD10" s="129" t="e">
        <f>VLOOKUP(AC10,'BASE CONDUCTORES'!E:G,3,FALSE)</f>
        <v>#N/A</v>
      </c>
      <c r="AE10" s="130"/>
      <c r="AF10" s="131"/>
      <c r="AG10" s="131"/>
      <c r="AH10" s="131">
        <f t="shared" si="0"/>
        <v>0</v>
      </c>
      <c r="AI10" s="131" t="e">
        <f>VLOOKUP(G10,[4]Hoja1!$T:$AL,19,FALSE)</f>
        <v>#N/A</v>
      </c>
      <c r="AJ10" s="128"/>
      <c r="AK10" s="128"/>
      <c r="AL10" s="128"/>
      <c r="AM10" s="128"/>
      <c r="AN10" s="131">
        <f t="shared" si="1"/>
        <v>0</v>
      </c>
      <c r="AO10" s="131">
        <f t="shared" si="2"/>
        <v>0</v>
      </c>
      <c r="AP10" s="131" t="e">
        <f t="shared" si="2"/>
        <v>#N/A</v>
      </c>
      <c r="AU10" s="132"/>
      <c r="AV10" s="133"/>
      <c r="AW10" s="134"/>
      <c r="AX10" s="134">
        <f t="shared" si="3"/>
        <v>0</v>
      </c>
      <c r="AY10" s="121"/>
      <c r="AZ10" s="121"/>
    </row>
    <row r="11" spans="1:54" s="124" customFormat="1" x14ac:dyDescent="0.25">
      <c r="A11" s="126" t="s">
        <v>267</v>
      </c>
      <c r="B11" s="127">
        <v>44317</v>
      </c>
      <c r="C11" s="127">
        <v>44317</v>
      </c>
      <c r="D11" s="128" t="s">
        <v>269</v>
      </c>
      <c r="E11" s="126" t="s">
        <v>33</v>
      </c>
      <c r="F11" s="121">
        <v>1</v>
      </c>
      <c r="G11" s="125" t="s">
        <v>284</v>
      </c>
      <c r="J11" s="129" t="e">
        <f>VLOOKUP(G11,'BASE PASAJEROS'!A:E,5,FALSE)</f>
        <v>#N/A</v>
      </c>
      <c r="K11" s="128" t="e">
        <f>VLOOKUP(G11,'BASE PASAJEROS'!A:B,2,FALSE)</f>
        <v>#N/A</v>
      </c>
      <c r="L11" s="128" t="s">
        <v>316</v>
      </c>
      <c r="M11" s="128" t="e">
        <f>VLOOKUP(G11,'BASE PASAJEROS'!A:H,8,FALSE)</f>
        <v>#N/A</v>
      </c>
      <c r="N11" s="128"/>
      <c r="O11" s="128"/>
      <c r="P11" s="128" t="e">
        <f>VLOOKUP(G11,'BASE PASAJEROS'!A:F,6,FALSE)</f>
        <v>#N/A</v>
      </c>
      <c r="Q11" s="128" t="e">
        <f>VLOOKUP(G11,'BASE PASAJEROS'!A:C,3,FALSE)</f>
        <v>#N/A</v>
      </c>
      <c r="R11" s="128" t="e">
        <f>VLOOKUP(G11,'BASE PASAJEROS'!A:G,7,FALSE)</f>
        <v>#N/A</v>
      </c>
      <c r="S11" s="128" t="s">
        <v>301</v>
      </c>
      <c r="T11" s="128" t="s">
        <v>320</v>
      </c>
      <c r="U11" s="130" t="e">
        <f>VLOOKUP(G11,'BASE PASAJEROS'!A:AG,33,FALSE)</f>
        <v>#N/A</v>
      </c>
      <c r="V11" s="130" t="e">
        <f>VLOOKUP(G11,'BASE PASAJEROS'!A:AH,34,FALSE)</f>
        <v>#N/A</v>
      </c>
      <c r="W11" s="128"/>
      <c r="X11" s="142" t="s">
        <v>307</v>
      </c>
      <c r="Y11" s="128" t="s">
        <v>38</v>
      </c>
      <c r="Z11" s="128" t="s">
        <v>43</v>
      </c>
      <c r="AA11" s="128" t="s">
        <v>317</v>
      </c>
      <c r="AB11" s="128" t="e">
        <f>VLOOKUP(AA11,'BASE BANCOS'!$A$2:$D$202,3,FALSE)</f>
        <v>#N/A</v>
      </c>
      <c r="AC11" s="128" t="s">
        <v>318</v>
      </c>
      <c r="AD11" s="129" t="e">
        <f>VLOOKUP(AC11,'BASE CONDUCTORES'!E:G,3,FALSE)</f>
        <v>#N/A</v>
      </c>
      <c r="AE11" s="130"/>
      <c r="AF11" s="131"/>
      <c r="AG11" s="131"/>
      <c r="AH11" s="131">
        <f t="shared" si="0"/>
        <v>0</v>
      </c>
      <c r="AI11" s="131" t="e">
        <f>VLOOKUP(G11,[4]Hoja1!$T:$AL,19,FALSE)</f>
        <v>#N/A</v>
      </c>
      <c r="AJ11" s="128"/>
      <c r="AK11" s="128"/>
      <c r="AL11" s="128"/>
      <c r="AM11" s="128"/>
      <c r="AN11" s="131">
        <f t="shared" si="1"/>
        <v>0</v>
      </c>
      <c r="AO11" s="131">
        <f t="shared" si="2"/>
        <v>0</v>
      </c>
      <c r="AP11" s="131" t="e">
        <f t="shared" si="2"/>
        <v>#N/A</v>
      </c>
      <c r="AU11" s="132"/>
      <c r="AV11" s="133"/>
      <c r="AW11" s="134"/>
      <c r="AX11" s="134">
        <f t="shared" si="3"/>
        <v>0</v>
      </c>
      <c r="AY11" s="121"/>
      <c r="AZ11" s="121"/>
    </row>
    <row r="12" spans="1:54" s="124" customFormat="1" x14ac:dyDescent="0.25">
      <c r="A12" s="126" t="s">
        <v>267</v>
      </c>
      <c r="B12" s="127">
        <v>44317</v>
      </c>
      <c r="C12" s="127">
        <v>44317</v>
      </c>
      <c r="D12" s="128" t="s">
        <v>269</v>
      </c>
      <c r="E12" s="126" t="s">
        <v>33</v>
      </c>
      <c r="F12" s="121">
        <v>1</v>
      </c>
      <c r="G12" s="125" t="s">
        <v>285</v>
      </c>
      <c r="J12" s="129" t="e">
        <f>VLOOKUP(G12,'BASE PASAJEROS'!A:E,5,FALSE)</f>
        <v>#N/A</v>
      </c>
      <c r="K12" s="128" t="e">
        <f>VLOOKUP(G12,'BASE PASAJEROS'!A:B,2,FALSE)</f>
        <v>#N/A</v>
      </c>
      <c r="L12" s="128" t="s">
        <v>316</v>
      </c>
      <c r="M12" s="128" t="e">
        <f>VLOOKUP(G12,'BASE PASAJEROS'!A:H,8,FALSE)</f>
        <v>#N/A</v>
      </c>
      <c r="N12" s="128"/>
      <c r="O12" s="128"/>
      <c r="P12" s="128" t="e">
        <f>VLOOKUP(G12,'BASE PASAJEROS'!A:F,6,FALSE)</f>
        <v>#N/A</v>
      </c>
      <c r="Q12" s="128" t="e">
        <f>VLOOKUP(G12,'BASE PASAJEROS'!A:C,3,FALSE)</f>
        <v>#N/A</v>
      </c>
      <c r="R12" s="128" t="e">
        <f>VLOOKUP(G12,'BASE PASAJEROS'!A:G,7,FALSE)</f>
        <v>#N/A</v>
      </c>
      <c r="S12" s="128" t="s">
        <v>302</v>
      </c>
      <c r="T12" s="128" t="s">
        <v>320</v>
      </c>
      <c r="U12" s="130" t="e">
        <f>VLOOKUP(G12,'BASE PASAJEROS'!A:AG,33,FALSE)</f>
        <v>#N/A</v>
      </c>
      <c r="V12" s="130" t="e">
        <f>VLOOKUP(G12,'BASE PASAJEROS'!A:AH,34,FALSE)</f>
        <v>#N/A</v>
      </c>
      <c r="W12" s="128"/>
      <c r="X12" s="142" t="s">
        <v>307</v>
      </c>
      <c r="Y12" s="128" t="s">
        <v>38</v>
      </c>
      <c r="Z12" s="128" t="s">
        <v>43</v>
      </c>
      <c r="AA12" s="128" t="s">
        <v>317</v>
      </c>
      <c r="AB12" s="128" t="e">
        <f>VLOOKUP(AA12,'BASE BANCOS'!$A$2:$D$202,3,FALSE)</f>
        <v>#N/A</v>
      </c>
      <c r="AC12" s="128" t="s">
        <v>318</v>
      </c>
      <c r="AD12" s="129" t="e">
        <f>VLOOKUP(AC12,'BASE CONDUCTORES'!E:G,3,FALSE)</f>
        <v>#N/A</v>
      </c>
      <c r="AE12" s="130"/>
      <c r="AF12" s="131"/>
      <c r="AG12" s="131"/>
      <c r="AH12" s="131">
        <f t="shared" si="0"/>
        <v>0</v>
      </c>
      <c r="AI12" s="131" t="e">
        <f>VLOOKUP(G12,[4]Hoja1!$T:$AL,19,FALSE)</f>
        <v>#N/A</v>
      </c>
      <c r="AJ12" s="128"/>
      <c r="AK12" s="128"/>
      <c r="AL12" s="128"/>
      <c r="AM12" s="128"/>
      <c r="AN12" s="131">
        <f t="shared" si="1"/>
        <v>0</v>
      </c>
      <c r="AO12" s="131">
        <f t="shared" si="2"/>
        <v>0</v>
      </c>
      <c r="AP12" s="131" t="e">
        <f t="shared" si="2"/>
        <v>#N/A</v>
      </c>
      <c r="AU12" s="132"/>
      <c r="AV12" s="133"/>
      <c r="AW12" s="134"/>
      <c r="AX12" s="134">
        <f t="shared" si="3"/>
        <v>0</v>
      </c>
      <c r="AY12" s="121"/>
      <c r="AZ12" s="121"/>
    </row>
    <row r="13" spans="1:54" s="124" customFormat="1" x14ac:dyDescent="0.25">
      <c r="A13" s="126" t="s">
        <v>267</v>
      </c>
      <c r="B13" s="127">
        <v>44317</v>
      </c>
      <c r="C13" s="127">
        <v>44317</v>
      </c>
      <c r="D13" s="128" t="s">
        <v>269</v>
      </c>
      <c r="E13" s="126" t="s">
        <v>33</v>
      </c>
      <c r="F13" s="121">
        <v>1</v>
      </c>
      <c r="G13" s="125" t="s">
        <v>286</v>
      </c>
      <c r="J13" s="129" t="e">
        <f>VLOOKUP(G13,'BASE PASAJEROS'!A:E,5,FALSE)</f>
        <v>#N/A</v>
      </c>
      <c r="K13" s="128" t="e">
        <f>VLOOKUP(G13,'BASE PASAJEROS'!A:B,2,FALSE)</f>
        <v>#N/A</v>
      </c>
      <c r="L13" s="128" t="s">
        <v>316</v>
      </c>
      <c r="M13" s="128" t="e">
        <f>VLOOKUP(G13,'BASE PASAJEROS'!A:H,8,FALSE)</f>
        <v>#N/A</v>
      </c>
      <c r="N13" s="128"/>
      <c r="O13" s="128"/>
      <c r="P13" s="128" t="e">
        <f>VLOOKUP(G13,'BASE PASAJEROS'!A:F,6,FALSE)</f>
        <v>#N/A</v>
      </c>
      <c r="Q13" s="128" t="e">
        <f>VLOOKUP(G13,'BASE PASAJEROS'!A:C,3,FALSE)</f>
        <v>#N/A</v>
      </c>
      <c r="R13" s="128" t="e">
        <f>VLOOKUP(G13,'BASE PASAJEROS'!A:G,7,FALSE)</f>
        <v>#N/A</v>
      </c>
      <c r="S13" s="128" t="s">
        <v>303</v>
      </c>
      <c r="T13" s="128" t="s">
        <v>320</v>
      </c>
      <c r="U13" s="130" t="e">
        <f>VLOOKUP(G13,'BASE PASAJEROS'!A:AG,33,FALSE)</f>
        <v>#N/A</v>
      </c>
      <c r="V13" s="130" t="e">
        <f>VLOOKUP(G13,'BASE PASAJEROS'!A:AH,34,FALSE)</f>
        <v>#N/A</v>
      </c>
      <c r="W13" s="128"/>
      <c r="X13" s="142" t="s">
        <v>307</v>
      </c>
      <c r="Y13" s="128" t="s">
        <v>38</v>
      </c>
      <c r="Z13" s="128" t="s">
        <v>43</v>
      </c>
      <c r="AA13" s="128" t="s">
        <v>317</v>
      </c>
      <c r="AB13" s="128" t="e">
        <f>VLOOKUP(AA13,'BASE BANCOS'!$A$2:$D$202,3,FALSE)</f>
        <v>#N/A</v>
      </c>
      <c r="AC13" s="128" t="s">
        <v>318</v>
      </c>
      <c r="AD13" s="129" t="e">
        <f>VLOOKUP(AC13,'BASE CONDUCTORES'!E:G,3,FALSE)</f>
        <v>#N/A</v>
      </c>
      <c r="AE13" s="130"/>
      <c r="AF13" s="131"/>
      <c r="AG13" s="131"/>
      <c r="AH13" s="131">
        <f t="shared" si="0"/>
        <v>0</v>
      </c>
      <c r="AI13" s="131" t="e">
        <f>VLOOKUP(G13,[4]Hoja1!$T:$AL,19,FALSE)</f>
        <v>#N/A</v>
      </c>
      <c r="AJ13" s="128"/>
      <c r="AK13" s="128"/>
      <c r="AL13" s="128"/>
      <c r="AM13" s="128"/>
      <c r="AN13" s="131">
        <f t="shared" si="1"/>
        <v>0</v>
      </c>
      <c r="AO13" s="131">
        <f t="shared" si="2"/>
        <v>0</v>
      </c>
      <c r="AP13" s="131" t="e">
        <f t="shared" si="2"/>
        <v>#N/A</v>
      </c>
      <c r="AU13" s="132"/>
      <c r="AV13" s="133"/>
      <c r="AW13" s="134"/>
      <c r="AX13" s="134">
        <f t="shared" si="3"/>
        <v>0</v>
      </c>
      <c r="AY13" s="121"/>
      <c r="AZ13" s="121"/>
    </row>
    <row r="14" spans="1:54" s="124" customFormat="1" x14ac:dyDescent="0.25">
      <c r="A14" s="126" t="s">
        <v>267</v>
      </c>
      <c r="B14" s="127">
        <v>44317</v>
      </c>
      <c r="C14" s="127">
        <v>44317</v>
      </c>
      <c r="D14" s="128" t="s">
        <v>269</v>
      </c>
      <c r="E14" s="126" t="s">
        <v>33</v>
      </c>
      <c r="F14" s="121">
        <v>1</v>
      </c>
      <c r="G14" s="125" t="s">
        <v>121</v>
      </c>
      <c r="J14" s="129" t="e">
        <f>VLOOKUP(G14,'BASE PASAJEROS'!A:E,5,FALSE)</f>
        <v>#N/A</v>
      </c>
      <c r="K14" s="128" t="e">
        <f>VLOOKUP(G14,'BASE PASAJEROS'!A:B,2,FALSE)</f>
        <v>#N/A</v>
      </c>
      <c r="L14" s="128" t="s">
        <v>316</v>
      </c>
      <c r="M14" s="128" t="e">
        <f>VLOOKUP(G14,'BASE PASAJEROS'!A:H,8,FALSE)</f>
        <v>#N/A</v>
      </c>
      <c r="N14" s="128"/>
      <c r="O14" s="128"/>
      <c r="P14" s="128" t="e">
        <f>VLOOKUP(G14,'BASE PASAJEROS'!A:F,6,FALSE)</f>
        <v>#N/A</v>
      </c>
      <c r="Q14" s="128" t="e">
        <f>VLOOKUP(G14,'BASE PASAJEROS'!A:C,3,FALSE)</f>
        <v>#N/A</v>
      </c>
      <c r="R14" s="128" t="e">
        <f>VLOOKUP(G14,'BASE PASAJEROS'!A:G,7,FALSE)</f>
        <v>#N/A</v>
      </c>
      <c r="S14" s="128" t="s">
        <v>122</v>
      </c>
      <c r="T14" s="128" t="s">
        <v>320</v>
      </c>
      <c r="U14" s="130" t="e">
        <f>VLOOKUP(G14,'BASE PASAJEROS'!A:AG,33,FALSE)</f>
        <v>#N/A</v>
      </c>
      <c r="V14" s="130" t="e">
        <f>VLOOKUP(G14,'BASE PASAJEROS'!A:AH,34,FALSE)</f>
        <v>#N/A</v>
      </c>
      <c r="W14" s="128"/>
      <c r="X14" s="142" t="s">
        <v>307</v>
      </c>
      <c r="Y14" s="128" t="s">
        <v>38</v>
      </c>
      <c r="Z14" s="128" t="s">
        <v>43</v>
      </c>
      <c r="AA14" s="128" t="s">
        <v>317</v>
      </c>
      <c r="AB14" s="128" t="e">
        <f>VLOOKUP(AA14,'BASE BANCOS'!$A$2:$D$202,3,FALSE)</f>
        <v>#N/A</v>
      </c>
      <c r="AC14" s="128" t="s">
        <v>318</v>
      </c>
      <c r="AD14" s="129" t="e">
        <f>VLOOKUP(AC14,'BASE CONDUCTORES'!E:G,3,FALSE)</f>
        <v>#N/A</v>
      </c>
      <c r="AE14" s="130"/>
      <c r="AF14" s="131"/>
      <c r="AG14" s="131"/>
      <c r="AH14" s="131">
        <f t="shared" si="0"/>
        <v>0</v>
      </c>
      <c r="AI14" s="131">
        <f>VLOOKUP(G14,[4]Hoja1!$T:$AL,19,FALSE)</f>
        <v>17460</v>
      </c>
      <c r="AJ14" s="128"/>
      <c r="AK14" s="128"/>
      <c r="AL14" s="128"/>
      <c r="AM14" s="128"/>
      <c r="AN14" s="131">
        <f t="shared" si="1"/>
        <v>0</v>
      </c>
      <c r="AO14" s="131">
        <f t="shared" si="2"/>
        <v>0</v>
      </c>
      <c r="AP14" s="131">
        <f t="shared" si="2"/>
        <v>17460</v>
      </c>
      <c r="AU14" s="132"/>
      <c r="AV14" s="133"/>
      <c r="AW14" s="134"/>
      <c r="AX14" s="134">
        <f t="shared" si="3"/>
        <v>0</v>
      </c>
      <c r="AY14" s="121"/>
      <c r="AZ14" s="121"/>
    </row>
    <row r="15" spans="1:54" s="124" customFormat="1" x14ac:dyDescent="0.25">
      <c r="A15" s="126" t="s">
        <v>267</v>
      </c>
      <c r="B15" s="127">
        <v>44317</v>
      </c>
      <c r="C15" s="127">
        <v>44317</v>
      </c>
      <c r="D15" s="128" t="s">
        <v>269</v>
      </c>
      <c r="E15" s="126" t="s">
        <v>33</v>
      </c>
      <c r="F15" s="121">
        <v>1</v>
      </c>
      <c r="G15" s="125" t="s">
        <v>287</v>
      </c>
      <c r="J15" s="129" t="e">
        <f>VLOOKUP(G15,'BASE PASAJEROS'!A:E,5,FALSE)</f>
        <v>#N/A</v>
      </c>
      <c r="K15" s="128" t="e">
        <f>VLOOKUP(G15,'BASE PASAJEROS'!A:B,2,FALSE)</f>
        <v>#N/A</v>
      </c>
      <c r="L15" s="128" t="s">
        <v>316</v>
      </c>
      <c r="M15" s="128" t="e">
        <f>VLOOKUP(G15,'BASE PASAJEROS'!A:H,8,FALSE)</f>
        <v>#N/A</v>
      </c>
      <c r="N15" s="128"/>
      <c r="O15" s="128"/>
      <c r="P15" s="128" t="e">
        <f>VLOOKUP(G15,'BASE PASAJEROS'!A:F,6,FALSE)</f>
        <v>#N/A</v>
      </c>
      <c r="Q15" s="128" t="e">
        <f>VLOOKUP(G15,'BASE PASAJEROS'!A:C,3,FALSE)</f>
        <v>#N/A</v>
      </c>
      <c r="R15" s="128" t="e">
        <f>VLOOKUP(G15,'BASE PASAJEROS'!A:G,7,FALSE)</f>
        <v>#N/A</v>
      </c>
      <c r="S15" s="128">
        <v>0</v>
      </c>
      <c r="T15" s="128" t="s">
        <v>320</v>
      </c>
      <c r="U15" s="130" t="e">
        <f>VLOOKUP(G15,'BASE PASAJEROS'!A:AG,33,FALSE)</f>
        <v>#N/A</v>
      </c>
      <c r="V15" s="130" t="e">
        <f>VLOOKUP(G15,'BASE PASAJEROS'!A:AH,34,FALSE)</f>
        <v>#N/A</v>
      </c>
      <c r="W15" s="128"/>
      <c r="X15" s="142" t="s">
        <v>308</v>
      </c>
      <c r="Y15" s="128" t="s">
        <v>32</v>
      </c>
      <c r="Z15" s="128" t="s">
        <v>31</v>
      </c>
      <c r="AA15" s="128" t="s">
        <v>317</v>
      </c>
      <c r="AB15" s="128" t="e">
        <f>VLOOKUP(AA15,'BASE BANCOS'!$A$2:$D$202,3,FALSE)</f>
        <v>#N/A</v>
      </c>
      <c r="AC15" s="128" t="s">
        <v>318</v>
      </c>
      <c r="AD15" s="129" t="e">
        <f>VLOOKUP(AC15,'BASE CONDUCTORES'!E:G,3,FALSE)</f>
        <v>#N/A</v>
      </c>
      <c r="AE15" s="130"/>
      <c r="AF15" s="131"/>
      <c r="AG15" s="131"/>
      <c r="AH15" s="131">
        <f t="shared" si="0"/>
        <v>0</v>
      </c>
      <c r="AI15" s="131" t="e">
        <f>VLOOKUP(G15,[4]Hoja1!$T:$AL,19,FALSE)</f>
        <v>#N/A</v>
      </c>
      <c r="AJ15" s="128"/>
      <c r="AK15" s="128" t="s">
        <v>371</v>
      </c>
      <c r="AL15" s="128"/>
      <c r="AM15" s="128"/>
      <c r="AN15" s="131">
        <f t="shared" si="1"/>
        <v>0</v>
      </c>
      <c r="AO15" s="131">
        <f t="shared" si="2"/>
        <v>0</v>
      </c>
      <c r="AP15" s="131" t="e">
        <f t="shared" si="2"/>
        <v>#N/A</v>
      </c>
      <c r="AU15" s="132"/>
      <c r="AV15" s="133"/>
      <c r="AW15" s="134"/>
      <c r="AX15" s="134">
        <f t="shared" si="3"/>
        <v>0</v>
      </c>
      <c r="AY15" s="121"/>
      <c r="AZ15" s="121"/>
    </row>
    <row r="16" spans="1:54" s="124" customFormat="1" ht="12.75" customHeight="1" x14ac:dyDescent="0.25">
      <c r="A16" s="126" t="s">
        <v>267</v>
      </c>
      <c r="B16" s="127">
        <v>44317</v>
      </c>
      <c r="C16" s="127">
        <v>44317</v>
      </c>
      <c r="D16" s="128" t="s">
        <v>269</v>
      </c>
      <c r="E16" s="126" t="s">
        <v>33</v>
      </c>
      <c r="F16" s="121">
        <v>1</v>
      </c>
      <c r="G16" s="135" t="s">
        <v>321</v>
      </c>
      <c r="J16" s="129" t="e">
        <f>VLOOKUP(G16,'BASE PASAJEROS'!A:E,5,FALSE)</f>
        <v>#N/A</v>
      </c>
      <c r="K16" s="128" t="e">
        <f>VLOOKUP(G16,'BASE PASAJEROS'!A:B,2,FALSE)</f>
        <v>#N/A</v>
      </c>
      <c r="L16" s="128" t="s">
        <v>316</v>
      </c>
      <c r="M16" s="128" t="e">
        <f>VLOOKUP(G16,'BASE PASAJEROS'!A:H,8,FALSE)</f>
        <v>#N/A</v>
      </c>
      <c r="N16" s="128"/>
      <c r="O16" s="128"/>
      <c r="P16" s="128" t="e">
        <f>VLOOKUP(G16,'BASE PASAJEROS'!A:F,6,FALSE)</f>
        <v>#N/A</v>
      </c>
      <c r="Q16" s="128" t="e">
        <f>VLOOKUP(G16,'BASE PASAJEROS'!A:C,3,FALSE)</f>
        <v>#N/A</v>
      </c>
      <c r="R16" s="128" t="e">
        <f>VLOOKUP(G16,'BASE PASAJEROS'!A:G,7,FALSE)</f>
        <v>#N/A</v>
      </c>
      <c r="S16" s="128"/>
      <c r="T16" s="128"/>
      <c r="U16" s="130" t="e">
        <f>VLOOKUP(G16,'BASE PASAJEROS'!A:AG,33,FALSE)</f>
        <v>#N/A</v>
      </c>
      <c r="V16" s="130" t="e">
        <f>VLOOKUP(G16,'BASE PASAJEROS'!A:AH,34,FALSE)</f>
        <v>#N/A</v>
      </c>
      <c r="W16" s="128"/>
      <c r="X16" s="135" t="s">
        <v>319</v>
      </c>
      <c r="Y16" s="128" t="s">
        <v>21</v>
      </c>
      <c r="Z16" s="128" t="s">
        <v>0</v>
      </c>
      <c r="AA16" s="128" t="s">
        <v>319</v>
      </c>
      <c r="AB16" s="128" t="e">
        <f>VLOOKUP(AA16,'BASE BANCOS'!$A$2:$D$202,3,FALSE)</f>
        <v>#N/A</v>
      </c>
      <c r="AC16" s="128"/>
      <c r="AD16" s="129" t="e">
        <f>VLOOKUP(AC16,'BASE CONDUCTORES'!E:G,3,FALSE)</f>
        <v>#N/A</v>
      </c>
      <c r="AE16" s="130"/>
      <c r="AF16" s="131"/>
      <c r="AG16" s="131"/>
      <c r="AH16" s="131">
        <f t="shared" si="0"/>
        <v>0</v>
      </c>
      <c r="AI16" s="131" t="e">
        <f>VLOOKUP(G16,[4]Hoja1!$T:$AL,19,FALSE)</f>
        <v>#N/A</v>
      </c>
      <c r="AJ16" s="128"/>
      <c r="AK16" s="128"/>
      <c r="AL16" s="128"/>
      <c r="AM16" s="128"/>
      <c r="AN16" s="131">
        <f t="shared" si="1"/>
        <v>0</v>
      </c>
      <c r="AO16" s="131">
        <f t="shared" si="2"/>
        <v>0</v>
      </c>
      <c r="AP16" s="131" t="e">
        <f t="shared" si="2"/>
        <v>#N/A</v>
      </c>
      <c r="AU16" s="132"/>
      <c r="AV16" s="133"/>
      <c r="AW16" s="134"/>
      <c r="AX16" s="134">
        <f t="shared" si="3"/>
        <v>0</v>
      </c>
      <c r="AY16" s="121"/>
      <c r="AZ16" s="121"/>
    </row>
    <row r="17" spans="1:52" s="124" customFormat="1" x14ac:dyDescent="0.25">
      <c r="A17" s="126" t="s">
        <v>267</v>
      </c>
      <c r="B17" s="127">
        <v>44317</v>
      </c>
      <c r="C17" s="127">
        <v>44317</v>
      </c>
      <c r="D17" s="128" t="s">
        <v>269</v>
      </c>
      <c r="E17" s="126" t="s">
        <v>33</v>
      </c>
      <c r="F17" s="121">
        <v>1</v>
      </c>
      <c r="G17" s="125" t="s">
        <v>288</v>
      </c>
      <c r="J17" s="129" t="e">
        <f>VLOOKUP(G17,'BASE PASAJEROS'!A:E,5,FALSE)</f>
        <v>#N/A</v>
      </c>
      <c r="K17" s="128" t="e">
        <f>VLOOKUP(G17,'BASE PASAJEROS'!A:B,2,FALSE)</f>
        <v>#N/A</v>
      </c>
      <c r="L17" s="128" t="s">
        <v>316</v>
      </c>
      <c r="M17" s="128" t="e">
        <f>VLOOKUP(G17,'BASE PASAJEROS'!A:H,8,FALSE)</f>
        <v>#N/A</v>
      </c>
      <c r="N17" s="128"/>
      <c r="O17" s="128"/>
      <c r="P17" s="128" t="e">
        <f>VLOOKUP(G17,'BASE PASAJEROS'!A:F,6,FALSE)</f>
        <v>#N/A</v>
      </c>
      <c r="Q17" s="128" t="e">
        <f>VLOOKUP(G17,'BASE PASAJEROS'!A:C,3,FALSE)</f>
        <v>#N/A</v>
      </c>
      <c r="R17" s="128" t="e">
        <f>VLOOKUP(G17,'BASE PASAJEROS'!A:G,7,FALSE)</f>
        <v>#N/A</v>
      </c>
      <c r="S17" s="128"/>
      <c r="T17" s="128"/>
      <c r="U17" s="130" t="e">
        <f>VLOOKUP(G17,'BASE PASAJEROS'!A:AG,33,FALSE)</f>
        <v>#N/A</v>
      </c>
      <c r="V17" s="130" t="e">
        <f>VLOOKUP(G17,'BASE PASAJEROS'!A:AH,34,FALSE)</f>
        <v>#N/A</v>
      </c>
      <c r="W17" s="128"/>
      <c r="X17" s="135" t="s">
        <v>309</v>
      </c>
      <c r="Y17" s="128" t="s">
        <v>21</v>
      </c>
      <c r="Z17" s="128" t="s">
        <v>0</v>
      </c>
      <c r="AA17" s="128" t="s">
        <v>319</v>
      </c>
      <c r="AB17" s="128" t="e">
        <f>VLOOKUP(AA17,'BASE BANCOS'!$A$2:$D$202,3,FALSE)</f>
        <v>#N/A</v>
      </c>
      <c r="AC17" s="128"/>
      <c r="AD17" s="129" t="e">
        <f>VLOOKUP(AC17,'BASE CONDUCTORES'!E:G,3,FALSE)</f>
        <v>#N/A</v>
      </c>
      <c r="AE17" s="130"/>
      <c r="AF17" s="131"/>
      <c r="AG17" s="131"/>
      <c r="AH17" s="131">
        <f t="shared" si="0"/>
        <v>0</v>
      </c>
      <c r="AI17" s="131" t="e">
        <f>VLOOKUP(G17,[4]Hoja1!$T:$AL,19,FALSE)</f>
        <v>#N/A</v>
      </c>
      <c r="AJ17" s="128"/>
      <c r="AK17" s="128"/>
      <c r="AL17" s="128"/>
      <c r="AM17" s="128"/>
      <c r="AN17" s="131">
        <f t="shared" si="1"/>
        <v>0</v>
      </c>
      <c r="AO17" s="131">
        <f t="shared" si="2"/>
        <v>0</v>
      </c>
      <c r="AP17" s="131" t="e">
        <f t="shared" si="2"/>
        <v>#N/A</v>
      </c>
      <c r="AU17" s="132"/>
      <c r="AV17" s="133"/>
      <c r="AW17" s="134"/>
      <c r="AX17" s="134">
        <f t="shared" si="3"/>
        <v>0</v>
      </c>
      <c r="AY17" s="121"/>
      <c r="AZ17" s="121"/>
    </row>
    <row r="18" spans="1:52" s="124" customFormat="1" x14ac:dyDescent="0.25">
      <c r="A18" s="126" t="s">
        <v>267</v>
      </c>
      <c r="B18" s="127">
        <v>44317</v>
      </c>
      <c r="C18" s="127">
        <v>44317</v>
      </c>
      <c r="D18" s="128" t="s">
        <v>269</v>
      </c>
      <c r="E18" s="126" t="s">
        <v>33</v>
      </c>
      <c r="F18" s="121">
        <v>1</v>
      </c>
      <c r="G18" s="125" t="s">
        <v>289</v>
      </c>
      <c r="J18" s="129" t="e">
        <f>VLOOKUP(G18,'BASE PASAJEROS'!A:E,5,FALSE)</f>
        <v>#N/A</v>
      </c>
      <c r="K18" s="128" t="e">
        <f>VLOOKUP(G18,'BASE PASAJEROS'!A:B,2,FALSE)</f>
        <v>#N/A</v>
      </c>
      <c r="L18" s="128" t="s">
        <v>316</v>
      </c>
      <c r="M18" s="128" t="e">
        <f>VLOOKUP(G18,'BASE PASAJEROS'!A:H,8,FALSE)</f>
        <v>#N/A</v>
      </c>
      <c r="N18" s="128"/>
      <c r="O18" s="128"/>
      <c r="P18" s="128" t="e">
        <f>VLOOKUP(G18,'BASE PASAJEROS'!A:F,6,FALSE)</f>
        <v>#N/A</v>
      </c>
      <c r="Q18" s="128" t="e">
        <f>VLOOKUP(G18,'BASE PASAJEROS'!A:C,3,FALSE)</f>
        <v>#N/A</v>
      </c>
      <c r="R18" s="128" t="e">
        <f>VLOOKUP(G18,'BASE PASAJEROS'!A:G,7,FALSE)</f>
        <v>#N/A</v>
      </c>
      <c r="S18" s="128"/>
      <c r="T18" s="128"/>
      <c r="U18" s="130" t="e">
        <f>VLOOKUP(G18,'BASE PASAJEROS'!A:AG,33,FALSE)</f>
        <v>#N/A</v>
      </c>
      <c r="V18" s="130" t="e">
        <f>VLOOKUP(G18,'BASE PASAJEROS'!A:AH,34,FALSE)</f>
        <v>#N/A</v>
      </c>
      <c r="W18" s="128"/>
      <c r="X18" s="135" t="s">
        <v>319</v>
      </c>
      <c r="Y18" s="128" t="s">
        <v>21</v>
      </c>
      <c r="Z18" s="128" t="s">
        <v>0</v>
      </c>
      <c r="AA18" s="128" t="s">
        <v>319</v>
      </c>
      <c r="AB18" s="128" t="e">
        <f>VLOOKUP(AA18,'BASE BANCOS'!$A$2:$D$202,3,FALSE)</f>
        <v>#N/A</v>
      </c>
      <c r="AC18" s="128"/>
      <c r="AD18" s="129" t="e">
        <f>VLOOKUP(AC18,'BASE CONDUCTORES'!E:G,3,FALSE)</f>
        <v>#N/A</v>
      </c>
      <c r="AE18" s="130"/>
      <c r="AF18" s="131"/>
      <c r="AG18" s="131"/>
      <c r="AH18" s="131">
        <f t="shared" si="0"/>
        <v>0</v>
      </c>
      <c r="AI18" s="131" t="e">
        <f>VLOOKUP(G18,[4]Hoja1!$T:$AL,19,FALSE)</f>
        <v>#N/A</v>
      </c>
      <c r="AJ18" s="128"/>
      <c r="AK18" s="128"/>
      <c r="AL18" s="128"/>
      <c r="AM18" s="128"/>
      <c r="AN18" s="131">
        <f t="shared" si="1"/>
        <v>0</v>
      </c>
      <c r="AO18" s="131">
        <f t="shared" si="2"/>
        <v>0</v>
      </c>
      <c r="AP18" s="131" t="e">
        <f t="shared" si="2"/>
        <v>#N/A</v>
      </c>
      <c r="AU18" s="132"/>
      <c r="AV18" s="133"/>
      <c r="AW18" s="134"/>
      <c r="AX18" s="134">
        <f t="shared" si="3"/>
        <v>0</v>
      </c>
      <c r="AY18" s="121"/>
      <c r="AZ18" s="121"/>
    </row>
    <row r="19" spans="1:52" s="124" customFormat="1" x14ac:dyDescent="0.25">
      <c r="A19" s="126" t="s">
        <v>267</v>
      </c>
      <c r="B19" s="127">
        <v>44317</v>
      </c>
      <c r="C19" s="127">
        <v>44317</v>
      </c>
      <c r="D19" s="128" t="s">
        <v>269</v>
      </c>
      <c r="E19" s="126" t="s">
        <v>33</v>
      </c>
      <c r="F19" s="121">
        <v>1</v>
      </c>
      <c r="G19" s="125" t="s">
        <v>290</v>
      </c>
      <c r="J19" s="129" t="e">
        <f>VLOOKUP(G19,'BASE PASAJEROS'!A:E,5,FALSE)</f>
        <v>#N/A</v>
      </c>
      <c r="K19" s="128" t="e">
        <f>VLOOKUP(G19,'BASE PASAJEROS'!A:B,2,FALSE)</f>
        <v>#N/A</v>
      </c>
      <c r="L19" s="128" t="s">
        <v>316</v>
      </c>
      <c r="M19" s="128" t="e">
        <f>VLOOKUP(G19,'BASE PASAJEROS'!A:H,8,FALSE)</f>
        <v>#N/A</v>
      </c>
      <c r="N19" s="128"/>
      <c r="O19" s="128"/>
      <c r="P19" s="128" t="e">
        <f>VLOOKUP(G19,'BASE PASAJEROS'!A:F,6,FALSE)</f>
        <v>#N/A</v>
      </c>
      <c r="Q19" s="128" t="e">
        <f>VLOOKUP(G19,'BASE PASAJEROS'!A:C,3,FALSE)</f>
        <v>#N/A</v>
      </c>
      <c r="R19" s="128" t="e">
        <f>VLOOKUP(G19,'BASE PASAJEROS'!A:G,7,FALSE)</f>
        <v>#N/A</v>
      </c>
      <c r="S19" s="128" t="s">
        <v>304</v>
      </c>
      <c r="T19" s="128" t="s">
        <v>320</v>
      </c>
      <c r="U19" s="130" t="e">
        <f>VLOOKUP(G19,'BASE PASAJEROS'!A:AG,33,FALSE)</f>
        <v>#N/A</v>
      </c>
      <c r="V19" s="130" t="e">
        <f>VLOOKUP(G19,'BASE PASAJEROS'!A:AH,34,FALSE)</f>
        <v>#N/A</v>
      </c>
      <c r="W19" s="128"/>
      <c r="X19" s="135" t="s">
        <v>310</v>
      </c>
      <c r="Y19" s="128" t="s">
        <v>32</v>
      </c>
      <c r="Z19" s="128" t="s">
        <v>31</v>
      </c>
      <c r="AA19" s="128" t="s">
        <v>317</v>
      </c>
      <c r="AB19" s="128" t="e">
        <f>VLOOKUP(AA19,'BASE BANCOS'!$A$2:$D$202,3,FALSE)</f>
        <v>#N/A</v>
      </c>
      <c r="AC19" s="128" t="s">
        <v>318</v>
      </c>
      <c r="AD19" s="129" t="e">
        <f>VLOOKUP(AC19,'BASE CONDUCTORES'!E:G,3,FALSE)</f>
        <v>#N/A</v>
      </c>
      <c r="AE19" s="130"/>
      <c r="AF19" s="131"/>
      <c r="AG19" s="131"/>
      <c r="AH19" s="131">
        <f t="shared" si="0"/>
        <v>0</v>
      </c>
      <c r="AI19" s="131" t="e">
        <f>VLOOKUP(G19,[4]Hoja1!$T:$AL,19,FALSE)</f>
        <v>#N/A</v>
      </c>
      <c r="AJ19" s="128"/>
      <c r="AK19" s="128" t="s">
        <v>323</v>
      </c>
      <c r="AL19" s="128"/>
      <c r="AM19" s="128"/>
      <c r="AN19" s="131">
        <f t="shared" si="1"/>
        <v>0</v>
      </c>
      <c r="AO19" s="131">
        <f t="shared" si="2"/>
        <v>0</v>
      </c>
      <c r="AP19" s="131" t="e">
        <f t="shared" si="2"/>
        <v>#N/A</v>
      </c>
      <c r="AU19" s="132"/>
      <c r="AV19" s="133"/>
      <c r="AW19" s="134"/>
      <c r="AX19" s="134">
        <f t="shared" si="3"/>
        <v>0</v>
      </c>
      <c r="AY19" s="121"/>
      <c r="AZ19" s="121"/>
    </row>
    <row r="20" spans="1:52" s="124" customFormat="1" x14ac:dyDescent="0.25">
      <c r="A20" s="126" t="s">
        <v>267</v>
      </c>
      <c r="B20" s="127">
        <v>44317</v>
      </c>
      <c r="C20" s="127">
        <v>44317</v>
      </c>
      <c r="D20" s="128" t="s">
        <v>269</v>
      </c>
      <c r="E20" s="126" t="s">
        <v>33</v>
      </c>
      <c r="F20" s="121">
        <v>1</v>
      </c>
      <c r="G20" s="125" t="s">
        <v>291</v>
      </c>
      <c r="J20" s="129" t="e">
        <f>VLOOKUP(G20,'BASE PASAJEROS'!A:E,5,FALSE)</f>
        <v>#N/A</v>
      </c>
      <c r="K20" s="128" t="e">
        <f>VLOOKUP(G20,'BASE PASAJEROS'!A:B,2,FALSE)</f>
        <v>#N/A</v>
      </c>
      <c r="L20" s="128" t="s">
        <v>316</v>
      </c>
      <c r="M20" s="128" t="e">
        <f>VLOOKUP(G20,'BASE PASAJEROS'!A:H,8,FALSE)</f>
        <v>#N/A</v>
      </c>
      <c r="N20" s="128"/>
      <c r="O20" s="128"/>
      <c r="P20" s="128" t="e">
        <f>VLOOKUP(G20,'BASE PASAJEROS'!A:F,6,FALSE)</f>
        <v>#N/A</v>
      </c>
      <c r="Q20" s="128" t="e">
        <f>VLOOKUP(G20,'BASE PASAJEROS'!A:C,3,FALSE)</f>
        <v>#N/A</v>
      </c>
      <c r="R20" s="128" t="e">
        <f>VLOOKUP(G20,'BASE PASAJEROS'!A:G,7,FALSE)</f>
        <v>#N/A</v>
      </c>
      <c r="S20" s="128"/>
      <c r="T20" s="128"/>
      <c r="U20" s="130" t="e">
        <f>VLOOKUP(G20,'BASE PASAJEROS'!A:AG,33,FALSE)</f>
        <v>#N/A</v>
      </c>
      <c r="V20" s="130" t="e">
        <f>VLOOKUP(G20,'BASE PASAJEROS'!A:AH,34,FALSE)</f>
        <v>#N/A</v>
      </c>
      <c r="W20" s="128"/>
      <c r="X20" s="135" t="s">
        <v>319</v>
      </c>
      <c r="Y20" s="128" t="s">
        <v>21</v>
      </c>
      <c r="Z20" s="128" t="s">
        <v>0</v>
      </c>
      <c r="AA20" s="128" t="s">
        <v>319</v>
      </c>
      <c r="AB20" s="128" t="e">
        <f>VLOOKUP(AA20,'BASE BANCOS'!$A$2:$D$202,3,FALSE)</f>
        <v>#N/A</v>
      </c>
      <c r="AC20" s="128"/>
      <c r="AD20" s="129" t="e">
        <f>VLOOKUP(AC20,'BASE CONDUCTORES'!E:G,3,FALSE)</f>
        <v>#N/A</v>
      </c>
      <c r="AE20" s="130"/>
      <c r="AF20" s="131"/>
      <c r="AG20" s="131"/>
      <c r="AH20" s="131">
        <f t="shared" si="0"/>
        <v>0</v>
      </c>
      <c r="AI20" s="131" t="e">
        <f>VLOOKUP(G20,[4]Hoja1!$T:$AL,19,FALSE)</f>
        <v>#N/A</v>
      </c>
      <c r="AJ20" s="128"/>
      <c r="AK20" s="128"/>
      <c r="AL20" s="128"/>
      <c r="AM20" s="128"/>
      <c r="AN20" s="131">
        <f t="shared" si="1"/>
        <v>0</v>
      </c>
      <c r="AO20" s="131">
        <f t="shared" si="2"/>
        <v>0</v>
      </c>
      <c r="AP20" s="131" t="e">
        <f t="shared" si="2"/>
        <v>#N/A</v>
      </c>
      <c r="AU20" s="132"/>
      <c r="AV20" s="133"/>
      <c r="AW20" s="134"/>
      <c r="AX20" s="134">
        <f t="shared" si="3"/>
        <v>0</v>
      </c>
      <c r="AY20" s="121"/>
      <c r="AZ20" s="121"/>
    </row>
    <row r="21" spans="1:52" s="124" customFormat="1" x14ac:dyDescent="0.25">
      <c r="A21" s="126" t="s">
        <v>267</v>
      </c>
      <c r="B21" s="127">
        <v>44318</v>
      </c>
      <c r="C21" s="127">
        <v>44319</v>
      </c>
      <c r="D21" s="128" t="s">
        <v>269</v>
      </c>
      <c r="E21" s="126" t="s">
        <v>33</v>
      </c>
      <c r="F21" s="121">
        <v>1</v>
      </c>
      <c r="G21" s="125" t="s">
        <v>275</v>
      </c>
      <c r="J21" s="129" t="e">
        <f>VLOOKUP(G21,'BASE PASAJEROS'!A:E,5,FALSE)</f>
        <v>#N/A</v>
      </c>
      <c r="K21" s="128" t="e">
        <f>VLOOKUP(G21,'BASE PASAJEROS'!A:B,2,FALSE)</f>
        <v>#N/A</v>
      </c>
      <c r="L21" s="128" t="s">
        <v>316</v>
      </c>
      <c r="M21" s="128" t="e">
        <f>VLOOKUP(G21,'BASE PASAJEROS'!A:H,8,FALSE)</f>
        <v>#N/A</v>
      </c>
      <c r="N21" s="128"/>
      <c r="O21" s="128"/>
      <c r="P21" s="128" t="e">
        <f>VLOOKUP(G21,'BASE PASAJEROS'!A:F,6,FALSE)</f>
        <v>#N/A</v>
      </c>
      <c r="Q21" s="128" t="e">
        <f>VLOOKUP(G21,'BASE PASAJEROS'!A:C,3,FALSE)</f>
        <v>#N/A</v>
      </c>
      <c r="R21" s="128" t="e">
        <f>VLOOKUP(G21,'BASE PASAJEROS'!A:G,7,FALSE)</f>
        <v>#N/A</v>
      </c>
      <c r="S21" s="128" t="s">
        <v>292</v>
      </c>
      <c r="T21" s="128" t="s">
        <v>320</v>
      </c>
      <c r="U21" s="130" t="e">
        <f>VLOOKUP(G21,'BASE PASAJEROS'!A:AG,33,FALSE)</f>
        <v>#N/A</v>
      </c>
      <c r="V21" s="130" t="e">
        <f>VLOOKUP(G21,'BASE PASAJEROS'!A:AH,34,FALSE)</f>
        <v>#N/A</v>
      </c>
      <c r="W21" s="128"/>
      <c r="X21" s="142" t="s">
        <v>306</v>
      </c>
      <c r="Y21" s="128" t="s">
        <v>27</v>
      </c>
      <c r="Z21" s="128" t="s">
        <v>26</v>
      </c>
      <c r="AA21" s="128" t="s">
        <v>317</v>
      </c>
      <c r="AB21" s="128" t="e">
        <f>VLOOKUP(AA21,'BASE BANCOS'!$A$2:$D$202,3,FALSE)</f>
        <v>#N/A</v>
      </c>
      <c r="AC21" s="128" t="s">
        <v>318</v>
      </c>
      <c r="AD21" s="129" t="e">
        <f>VLOOKUP(AC21,'BASE CONDUCTORES'!E:G,3,FALSE)</f>
        <v>#N/A</v>
      </c>
      <c r="AE21" s="130"/>
      <c r="AF21" s="131"/>
      <c r="AG21" s="131"/>
      <c r="AH21" s="131">
        <f t="shared" si="0"/>
        <v>0</v>
      </c>
      <c r="AI21" s="131" t="e">
        <f>VLOOKUP(G21,[4]Hoja1!$T:$AL,19,FALSE)</f>
        <v>#N/A</v>
      </c>
      <c r="AJ21" s="128"/>
      <c r="AK21" s="128"/>
      <c r="AL21" s="128"/>
      <c r="AM21" s="128"/>
      <c r="AN21" s="131">
        <f t="shared" si="1"/>
        <v>0</v>
      </c>
      <c r="AO21" s="131">
        <f t="shared" si="2"/>
        <v>0</v>
      </c>
      <c r="AP21" s="131" t="e">
        <f t="shared" si="2"/>
        <v>#N/A</v>
      </c>
      <c r="AU21" s="132"/>
      <c r="AV21" s="133"/>
      <c r="AW21" s="134"/>
      <c r="AX21" s="134">
        <f t="shared" si="3"/>
        <v>0</v>
      </c>
      <c r="AY21" s="121"/>
      <c r="AZ21" s="121"/>
    </row>
    <row r="22" spans="1:52" s="124" customFormat="1" x14ac:dyDescent="0.25">
      <c r="A22" s="126" t="s">
        <v>267</v>
      </c>
      <c r="B22" s="127">
        <v>44318</v>
      </c>
      <c r="C22" s="127">
        <v>44319</v>
      </c>
      <c r="D22" s="128" t="s">
        <v>269</v>
      </c>
      <c r="E22" s="126" t="s">
        <v>33</v>
      </c>
      <c r="F22" s="121">
        <v>1</v>
      </c>
      <c r="G22" s="125" t="s">
        <v>276</v>
      </c>
      <c r="J22" s="129" t="e">
        <f>VLOOKUP(G22,'BASE PASAJEROS'!A:E,5,FALSE)</f>
        <v>#N/A</v>
      </c>
      <c r="K22" s="128" t="e">
        <f>VLOOKUP(G22,'BASE PASAJEROS'!A:B,2,FALSE)</f>
        <v>#N/A</v>
      </c>
      <c r="L22" s="128" t="s">
        <v>316</v>
      </c>
      <c r="M22" s="128" t="e">
        <f>VLOOKUP(G22,'BASE PASAJEROS'!A:H,8,FALSE)</f>
        <v>#N/A</v>
      </c>
      <c r="N22" s="128"/>
      <c r="O22" s="128"/>
      <c r="P22" s="128" t="e">
        <f>VLOOKUP(G22,'BASE PASAJEROS'!A:F,6,FALSE)</f>
        <v>#N/A</v>
      </c>
      <c r="Q22" s="128" t="e">
        <f>VLOOKUP(G22,'BASE PASAJEROS'!A:C,3,FALSE)</f>
        <v>#N/A</v>
      </c>
      <c r="R22" s="128" t="e">
        <f>VLOOKUP(G22,'BASE PASAJEROS'!A:G,7,FALSE)</f>
        <v>#N/A</v>
      </c>
      <c r="S22" s="128" t="s">
        <v>293</v>
      </c>
      <c r="T22" s="128" t="s">
        <v>320</v>
      </c>
      <c r="U22" s="130" t="e">
        <f>VLOOKUP(G22,'BASE PASAJEROS'!A:AG,33,FALSE)</f>
        <v>#N/A</v>
      </c>
      <c r="V22" s="130" t="e">
        <f>VLOOKUP(G22,'BASE PASAJEROS'!A:AH,34,FALSE)</f>
        <v>#N/A</v>
      </c>
      <c r="W22" s="128"/>
      <c r="X22" s="142" t="s">
        <v>306</v>
      </c>
      <c r="Y22" s="128" t="s">
        <v>27</v>
      </c>
      <c r="Z22" s="128" t="s">
        <v>26</v>
      </c>
      <c r="AA22" s="128" t="s">
        <v>317</v>
      </c>
      <c r="AB22" s="128" t="e">
        <f>VLOOKUP(AA22,'BASE BANCOS'!$A$2:$D$202,3,FALSE)</f>
        <v>#N/A</v>
      </c>
      <c r="AC22" s="128" t="s">
        <v>318</v>
      </c>
      <c r="AD22" s="129" t="e">
        <f>VLOOKUP(AC22,'BASE CONDUCTORES'!E:G,3,FALSE)</f>
        <v>#N/A</v>
      </c>
      <c r="AE22" s="130"/>
      <c r="AF22" s="131"/>
      <c r="AG22" s="131"/>
      <c r="AH22" s="131">
        <f t="shared" si="0"/>
        <v>0</v>
      </c>
      <c r="AI22" s="131" t="e">
        <f>VLOOKUP(G22,[4]Hoja1!$T:$AL,19,FALSE)</f>
        <v>#N/A</v>
      </c>
      <c r="AJ22" s="128"/>
      <c r="AK22" s="128"/>
      <c r="AL22" s="128"/>
      <c r="AM22" s="128"/>
      <c r="AN22" s="131">
        <f t="shared" si="1"/>
        <v>0</v>
      </c>
      <c r="AO22" s="131">
        <f t="shared" si="2"/>
        <v>0</v>
      </c>
      <c r="AP22" s="131" t="e">
        <f t="shared" si="2"/>
        <v>#N/A</v>
      </c>
      <c r="AU22" s="132"/>
      <c r="AV22" s="133"/>
      <c r="AW22" s="134"/>
      <c r="AX22" s="134">
        <f t="shared" si="3"/>
        <v>0</v>
      </c>
      <c r="AY22" s="121"/>
      <c r="AZ22" s="121"/>
    </row>
    <row r="23" spans="1:52" s="124" customFormat="1" x14ac:dyDescent="0.25">
      <c r="A23" s="126" t="s">
        <v>267</v>
      </c>
      <c r="B23" s="127">
        <v>44318</v>
      </c>
      <c r="C23" s="127">
        <v>44319</v>
      </c>
      <c r="D23" s="128" t="s">
        <v>269</v>
      </c>
      <c r="E23" s="126" t="s">
        <v>33</v>
      </c>
      <c r="F23" s="121">
        <v>1</v>
      </c>
      <c r="G23" s="125" t="s">
        <v>277</v>
      </c>
      <c r="J23" s="129" t="e">
        <f>VLOOKUP(G23,'BASE PASAJEROS'!A:E,5,FALSE)</f>
        <v>#N/A</v>
      </c>
      <c r="K23" s="128" t="e">
        <f>VLOOKUP(G23,'BASE PASAJEROS'!A:B,2,FALSE)</f>
        <v>#N/A</v>
      </c>
      <c r="L23" s="128" t="s">
        <v>316</v>
      </c>
      <c r="M23" s="128" t="e">
        <f>VLOOKUP(G23,'BASE PASAJEROS'!A:H,8,FALSE)</f>
        <v>#N/A</v>
      </c>
      <c r="N23" s="128"/>
      <c r="O23" s="128"/>
      <c r="P23" s="128" t="e">
        <f>VLOOKUP(G23,'BASE PASAJEROS'!A:F,6,FALSE)</f>
        <v>#N/A</v>
      </c>
      <c r="Q23" s="128" t="e">
        <f>VLOOKUP(G23,'BASE PASAJEROS'!A:C,3,FALSE)</f>
        <v>#N/A</v>
      </c>
      <c r="R23" s="128" t="e">
        <f>VLOOKUP(G23,'BASE PASAJEROS'!A:G,7,FALSE)</f>
        <v>#N/A</v>
      </c>
      <c r="S23" s="128" t="s">
        <v>294</v>
      </c>
      <c r="T23" s="128" t="s">
        <v>320</v>
      </c>
      <c r="U23" s="130" t="e">
        <f>VLOOKUP(G23,'BASE PASAJEROS'!A:AG,33,FALSE)</f>
        <v>#N/A</v>
      </c>
      <c r="V23" s="130" t="e">
        <f>VLOOKUP(G23,'BASE PASAJEROS'!A:AH,34,FALSE)</f>
        <v>#N/A</v>
      </c>
      <c r="W23" s="128"/>
      <c r="X23" s="142" t="s">
        <v>308</v>
      </c>
      <c r="Y23" s="128" t="s">
        <v>32</v>
      </c>
      <c r="Z23" s="128" t="s">
        <v>31</v>
      </c>
      <c r="AA23" s="128" t="s">
        <v>317</v>
      </c>
      <c r="AB23" s="128" t="e">
        <f>VLOOKUP(AA23,'BASE BANCOS'!$A$2:$D$202,3,FALSE)</f>
        <v>#N/A</v>
      </c>
      <c r="AC23" s="128" t="s">
        <v>318</v>
      </c>
      <c r="AD23" s="129" t="e">
        <f>VLOOKUP(AC23,'BASE CONDUCTORES'!E:G,3,FALSE)</f>
        <v>#N/A</v>
      </c>
      <c r="AE23" s="130"/>
      <c r="AF23" s="131"/>
      <c r="AG23" s="131"/>
      <c r="AH23" s="131">
        <f t="shared" si="0"/>
        <v>0</v>
      </c>
      <c r="AI23" s="131" t="e">
        <f>VLOOKUP(G23,[4]Hoja1!$T:$AL,19,FALSE)</f>
        <v>#N/A</v>
      </c>
      <c r="AJ23" s="128"/>
      <c r="AK23" s="128"/>
      <c r="AL23" s="128"/>
      <c r="AM23" s="128"/>
      <c r="AN23" s="131">
        <f t="shared" si="1"/>
        <v>0</v>
      </c>
      <c r="AO23" s="131">
        <f t="shared" si="2"/>
        <v>0</v>
      </c>
      <c r="AP23" s="131" t="e">
        <f t="shared" si="2"/>
        <v>#N/A</v>
      </c>
      <c r="AU23" s="132"/>
      <c r="AV23" s="133"/>
      <c r="AW23" s="134"/>
      <c r="AX23" s="134">
        <f t="shared" si="3"/>
        <v>0</v>
      </c>
      <c r="AY23" s="121"/>
      <c r="AZ23" s="121"/>
    </row>
    <row r="24" spans="1:52" s="124" customFormat="1" x14ac:dyDescent="0.25">
      <c r="A24" s="126" t="s">
        <v>267</v>
      </c>
      <c r="B24" s="127">
        <v>44318</v>
      </c>
      <c r="C24" s="127">
        <v>44319</v>
      </c>
      <c r="D24" s="128" t="s">
        <v>269</v>
      </c>
      <c r="E24" s="126" t="s">
        <v>33</v>
      </c>
      <c r="F24" s="121">
        <v>1</v>
      </c>
      <c r="G24" s="141" t="s">
        <v>278</v>
      </c>
      <c r="J24" s="129" t="e">
        <f>VLOOKUP(G24,'BASE PASAJEROS'!A:E,5,FALSE)</f>
        <v>#N/A</v>
      </c>
      <c r="K24" s="128" t="e">
        <f>VLOOKUP(G24,'BASE PASAJEROS'!A:B,2,FALSE)</f>
        <v>#N/A</v>
      </c>
      <c r="L24" s="128" t="s">
        <v>316</v>
      </c>
      <c r="M24" s="128" t="e">
        <f>VLOOKUP(G24,'BASE PASAJEROS'!A:H,8,FALSE)</f>
        <v>#N/A</v>
      </c>
      <c r="N24" s="128"/>
      <c r="O24" s="128"/>
      <c r="P24" s="128" t="e">
        <f>VLOOKUP(G24,'BASE PASAJEROS'!A:F,6,FALSE)</f>
        <v>#N/A</v>
      </c>
      <c r="Q24" s="128" t="e">
        <f>VLOOKUP(G24,'BASE PASAJEROS'!A:C,3,FALSE)</f>
        <v>#N/A</v>
      </c>
      <c r="R24" s="128" t="e">
        <f>VLOOKUP(G24,'BASE PASAJEROS'!A:G,7,FALSE)</f>
        <v>#N/A</v>
      </c>
      <c r="S24" s="128" t="s">
        <v>295</v>
      </c>
      <c r="T24" s="128" t="s">
        <v>320</v>
      </c>
      <c r="U24" s="130" t="e">
        <f>VLOOKUP(G24,'BASE PASAJEROS'!A:AG,33,FALSE)</f>
        <v>#N/A</v>
      </c>
      <c r="V24" s="130" t="e">
        <f>VLOOKUP(G24,'BASE PASAJEROS'!A:AH,34,FALSE)</f>
        <v>#N/A</v>
      </c>
      <c r="W24" s="128"/>
      <c r="X24" s="142" t="s">
        <v>307</v>
      </c>
      <c r="Y24" s="128" t="s">
        <v>38</v>
      </c>
      <c r="Z24" s="128" t="s">
        <v>43</v>
      </c>
      <c r="AA24" s="128" t="s">
        <v>317</v>
      </c>
      <c r="AB24" s="128" t="e">
        <f>VLOOKUP(AA24,'BASE BANCOS'!$A$2:$D$202,3,FALSE)</f>
        <v>#N/A</v>
      </c>
      <c r="AC24" s="128" t="s">
        <v>318</v>
      </c>
      <c r="AD24" s="129" t="e">
        <f>VLOOKUP(AC24,'BASE CONDUCTORES'!E:G,3,FALSE)</f>
        <v>#N/A</v>
      </c>
      <c r="AE24" s="130"/>
      <c r="AF24" s="131"/>
      <c r="AG24" s="131"/>
      <c r="AH24" s="131">
        <f t="shared" si="0"/>
        <v>0</v>
      </c>
      <c r="AI24" s="131" t="e">
        <f>VLOOKUP(G24,[4]Hoja1!$T:$AL,19,FALSE)</f>
        <v>#N/A</v>
      </c>
      <c r="AJ24" s="128"/>
      <c r="AK24" s="128"/>
      <c r="AL24" s="128"/>
      <c r="AM24" s="128"/>
      <c r="AN24" s="131">
        <f t="shared" si="1"/>
        <v>0</v>
      </c>
      <c r="AO24" s="131">
        <f t="shared" si="2"/>
        <v>0</v>
      </c>
      <c r="AP24" s="131" t="e">
        <f t="shared" si="2"/>
        <v>#N/A</v>
      </c>
      <c r="AU24" s="132"/>
      <c r="AV24" s="133"/>
      <c r="AW24" s="134"/>
      <c r="AX24" s="134">
        <f t="shared" si="3"/>
        <v>0</v>
      </c>
      <c r="AY24" s="121"/>
      <c r="AZ24" s="121"/>
    </row>
    <row r="25" spans="1:52" s="124" customFormat="1" x14ac:dyDescent="0.25">
      <c r="A25" s="126" t="s">
        <v>267</v>
      </c>
      <c r="B25" s="127">
        <v>44318</v>
      </c>
      <c r="C25" s="127">
        <v>44319</v>
      </c>
      <c r="D25" s="128" t="s">
        <v>269</v>
      </c>
      <c r="E25" s="126" t="s">
        <v>33</v>
      </c>
      <c r="F25" s="121">
        <v>1</v>
      </c>
      <c r="G25" s="141" t="s">
        <v>279</v>
      </c>
      <c r="J25" s="129" t="e">
        <f>VLOOKUP(G25,'BASE PASAJEROS'!A:E,5,FALSE)</f>
        <v>#N/A</v>
      </c>
      <c r="K25" s="128" t="e">
        <f>VLOOKUP(G25,'BASE PASAJEROS'!A:B,2,FALSE)</f>
        <v>#N/A</v>
      </c>
      <c r="L25" s="128" t="s">
        <v>316</v>
      </c>
      <c r="M25" s="128" t="e">
        <f>VLOOKUP(G25,'BASE PASAJEROS'!A:H,8,FALSE)</f>
        <v>#N/A</v>
      </c>
      <c r="N25" s="128"/>
      <c r="O25" s="128"/>
      <c r="P25" s="128" t="e">
        <f>VLOOKUP(G25,'BASE PASAJEROS'!A:F,6,FALSE)</f>
        <v>#N/A</v>
      </c>
      <c r="Q25" s="128" t="e">
        <f>VLOOKUP(G25,'BASE PASAJEROS'!A:C,3,FALSE)</f>
        <v>#N/A</v>
      </c>
      <c r="R25" s="128" t="e">
        <f>VLOOKUP(G25,'BASE PASAJEROS'!A:G,7,FALSE)</f>
        <v>#N/A</v>
      </c>
      <c r="S25" s="128" t="s">
        <v>296</v>
      </c>
      <c r="T25" s="128" t="s">
        <v>320</v>
      </c>
      <c r="U25" s="130" t="e">
        <f>VLOOKUP(G25,'BASE PASAJEROS'!A:AG,33,FALSE)</f>
        <v>#N/A</v>
      </c>
      <c r="V25" s="130" t="e">
        <f>VLOOKUP(G25,'BASE PASAJEROS'!A:AH,34,FALSE)</f>
        <v>#N/A</v>
      </c>
      <c r="W25" s="128"/>
      <c r="X25" s="142" t="s">
        <v>307</v>
      </c>
      <c r="Y25" s="128" t="s">
        <v>38</v>
      </c>
      <c r="Z25" s="128" t="s">
        <v>43</v>
      </c>
      <c r="AA25" s="128" t="s">
        <v>317</v>
      </c>
      <c r="AB25" s="128" t="e">
        <f>VLOOKUP(AA25,'BASE BANCOS'!$A$2:$D$202,3,FALSE)</f>
        <v>#N/A</v>
      </c>
      <c r="AC25" s="128" t="s">
        <v>318</v>
      </c>
      <c r="AD25" s="129" t="e">
        <f>VLOOKUP(AC25,'BASE CONDUCTORES'!E:G,3,FALSE)</f>
        <v>#N/A</v>
      </c>
      <c r="AE25" s="130"/>
      <c r="AF25" s="131"/>
      <c r="AG25" s="131"/>
      <c r="AH25" s="131">
        <f t="shared" si="0"/>
        <v>0</v>
      </c>
      <c r="AI25" s="131" t="e">
        <f>VLOOKUP(G25,[4]Hoja1!$T:$AL,19,FALSE)</f>
        <v>#N/A</v>
      </c>
      <c r="AJ25" s="128"/>
      <c r="AK25" s="128"/>
      <c r="AL25" s="128"/>
      <c r="AM25" s="128"/>
      <c r="AN25" s="131">
        <f t="shared" si="1"/>
        <v>0</v>
      </c>
      <c r="AO25" s="131">
        <f t="shared" si="2"/>
        <v>0</v>
      </c>
      <c r="AP25" s="131" t="e">
        <f t="shared" si="2"/>
        <v>#N/A</v>
      </c>
      <c r="AU25" s="132"/>
      <c r="AV25" s="133"/>
      <c r="AW25" s="134"/>
      <c r="AX25" s="134">
        <f t="shared" si="3"/>
        <v>0</v>
      </c>
      <c r="AY25" s="121"/>
      <c r="AZ25" s="121"/>
    </row>
    <row r="26" spans="1:52" s="124" customFormat="1" x14ac:dyDescent="0.25">
      <c r="A26" s="126" t="s">
        <v>267</v>
      </c>
      <c r="B26" s="127">
        <v>44318</v>
      </c>
      <c r="C26" s="127">
        <v>44319</v>
      </c>
      <c r="D26" s="128" t="s">
        <v>269</v>
      </c>
      <c r="E26" s="126" t="s">
        <v>33</v>
      </c>
      <c r="F26" s="121">
        <v>1</v>
      </c>
      <c r="G26" s="141" t="s">
        <v>280</v>
      </c>
      <c r="J26" s="129" t="e">
        <f>VLOOKUP(G26,'BASE PASAJEROS'!A:E,5,FALSE)</f>
        <v>#N/A</v>
      </c>
      <c r="K26" s="128" t="e">
        <f>VLOOKUP(G26,'BASE PASAJEROS'!A:B,2,FALSE)</f>
        <v>#N/A</v>
      </c>
      <c r="L26" s="128" t="s">
        <v>316</v>
      </c>
      <c r="M26" s="128" t="e">
        <f>VLOOKUP(G26,'BASE PASAJEROS'!A:H,8,FALSE)</f>
        <v>#N/A</v>
      </c>
      <c r="N26" s="128"/>
      <c r="O26" s="128"/>
      <c r="P26" s="128" t="e">
        <f>VLOOKUP(G26,'BASE PASAJEROS'!A:F,6,FALSE)</f>
        <v>#N/A</v>
      </c>
      <c r="Q26" s="128" t="e">
        <f>VLOOKUP(G26,'BASE PASAJEROS'!A:C,3,FALSE)</f>
        <v>#N/A</v>
      </c>
      <c r="R26" s="128" t="e">
        <f>VLOOKUP(G26,'BASE PASAJEROS'!A:G,7,FALSE)</f>
        <v>#N/A</v>
      </c>
      <c r="S26" s="128" t="s">
        <v>297</v>
      </c>
      <c r="T26" s="128" t="s">
        <v>320</v>
      </c>
      <c r="U26" s="130" t="e">
        <f>VLOOKUP(G26,'BASE PASAJEROS'!A:AG,33,FALSE)</f>
        <v>#N/A</v>
      </c>
      <c r="V26" s="130" t="e">
        <f>VLOOKUP(G26,'BASE PASAJEROS'!A:AH,34,FALSE)</f>
        <v>#N/A</v>
      </c>
      <c r="W26" s="128"/>
      <c r="X26" s="142" t="s">
        <v>307</v>
      </c>
      <c r="Y26" s="128" t="s">
        <v>38</v>
      </c>
      <c r="Z26" s="128" t="s">
        <v>43</v>
      </c>
      <c r="AA26" s="128" t="s">
        <v>317</v>
      </c>
      <c r="AB26" s="128" t="e">
        <f>VLOOKUP(AA26,'BASE BANCOS'!$A$2:$D$202,3,FALSE)</f>
        <v>#N/A</v>
      </c>
      <c r="AC26" s="128" t="s">
        <v>318</v>
      </c>
      <c r="AD26" s="129" t="e">
        <f>VLOOKUP(AC26,'BASE CONDUCTORES'!E:G,3,FALSE)</f>
        <v>#N/A</v>
      </c>
      <c r="AE26" s="130"/>
      <c r="AF26" s="131"/>
      <c r="AG26" s="131"/>
      <c r="AH26" s="131">
        <f t="shared" si="0"/>
        <v>0</v>
      </c>
      <c r="AI26" s="131" t="e">
        <f>VLOOKUP(G26,[4]Hoja1!$T:$AL,19,FALSE)</f>
        <v>#N/A</v>
      </c>
      <c r="AJ26" s="128"/>
      <c r="AK26" s="128"/>
      <c r="AL26" s="128"/>
      <c r="AM26" s="128"/>
      <c r="AN26" s="131">
        <f t="shared" si="1"/>
        <v>0</v>
      </c>
      <c r="AO26" s="131">
        <f t="shared" si="2"/>
        <v>0</v>
      </c>
      <c r="AP26" s="131" t="e">
        <f t="shared" si="2"/>
        <v>#N/A</v>
      </c>
      <c r="AU26" s="132"/>
      <c r="AV26" s="133"/>
      <c r="AW26" s="134"/>
      <c r="AX26" s="134">
        <f t="shared" si="3"/>
        <v>0</v>
      </c>
      <c r="AY26" s="121"/>
      <c r="AZ26" s="121"/>
    </row>
    <row r="27" spans="1:52" s="124" customFormat="1" x14ac:dyDescent="0.25">
      <c r="A27" s="126" t="s">
        <v>267</v>
      </c>
      <c r="B27" s="127">
        <v>44318</v>
      </c>
      <c r="C27" s="127">
        <v>44319</v>
      </c>
      <c r="D27" s="128" t="s">
        <v>269</v>
      </c>
      <c r="E27" s="126" t="s">
        <v>33</v>
      </c>
      <c r="F27" s="121">
        <v>1</v>
      </c>
      <c r="G27" s="125" t="s">
        <v>281</v>
      </c>
      <c r="J27" s="129" t="e">
        <f>VLOOKUP(G27,'BASE PASAJEROS'!A:E,5,FALSE)</f>
        <v>#N/A</v>
      </c>
      <c r="K27" s="128" t="e">
        <f>VLOOKUP(G27,'BASE PASAJEROS'!A:B,2,FALSE)</f>
        <v>#N/A</v>
      </c>
      <c r="L27" s="128" t="s">
        <v>316</v>
      </c>
      <c r="M27" s="128" t="e">
        <f>VLOOKUP(G27,'BASE PASAJEROS'!A:H,8,FALSE)</f>
        <v>#N/A</v>
      </c>
      <c r="N27" s="128"/>
      <c r="O27" s="128"/>
      <c r="P27" s="128" t="e">
        <f>VLOOKUP(G27,'BASE PASAJEROS'!A:F,6,FALSE)</f>
        <v>#N/A</v>
      </c>
      <c r="Q27" s="128" t="e">
        <f>VLOOKUP(G27,'BASE PASAJEROS'!A:C,3,FALSE)</f>
        <v>#N/A</v>
      </c>
      <c r="R27" s="128" t="e">
        <f>VLOOKUP(G27,'BASE PASAJEROS'!A:G,7,FALSE)</f>
        <v>#N/A</v>
      </c>
      <c r="S27" s="128" t="s">
        <v>298</v>
      </c>
      <c r="T27" s="128" t="s">
        <v>320</v>
      </c>
      <c r="U27" s="130" t="e">
        <f>VLOOKUP(G27,'BASE PASAJEROS'!A:AG,33,FALSE)</f>
        <v>#N/A</v>
      </c>
      <c r="V27" s="130" t="e">
        <f>VLOOKUP(G27,'BASE PASAJEROS'!A:AH,34,FALSE)</f>
        <v>#N/A</v>
      </c>
      <c r="W27" s="128"/>
      <c r="X27" s="142" t="s">
        <v>308</v>
      </c>
      <c r="Y27" s="128" t="s">
        <v>32</v>
      </c>
      <c r="Z27" s="128" t="s">
        <v>31</v>
      </c>
      <c r="AA27" s="128" t="s">
        <v>317</v>
      </c>
      <c r="AB27" s="128" t="e">
        <f>VLOOKUP(AA27,'BASE BANCOS'!$A$2:$D$202,3,FALSE)</f>
        <v>#N/A</v>
      </c>
      <c r="AC27" s="128" t="s">
        <v>318</v>
      </c>
      <c r="AD27" s="129" t="e">
        <f>VLOOKUP(AC27,'BASE CONDUCTORES'!E:G,3,FALSE)</f>
        <v>#N/A</v>
      </c>
      <c r="AE27" s="130"/>
      <c r="AF27" s="131"/>
      <c r="AG27" s="131"/>
      <c r="AH27" s="131">
        <f t="shared" si="0"/>
        <v>0</v>
      </c>
      <c r="AI27" s="131" t="e">
        <f>VLOOKUP(G27,[4]Hoja1!$T:$AL,19,FALSE)</f>
        <v>#N/A</v>
      </c>
      <c r="AJ27" s="128"/>
      <c r="AK27" s="128"/>
      <c r="AL27" s="128"/>
      <c r="AM27" s="128"/>
      <c r="AN27" s="131">
        <f t="shared" si="1"/>
        <v>0</v>
      </c>
      <c r="AO27" s="131">
        <f t="shared" si="2"/>
        <v>0</v>
      </c>
      <c r="AP27" s="131" t="e">
        <f t="shared" si="2"/>
        <v>#N/A</v>
      </c>
      <c r="AU27" s="132"/>
      <c r="AV27" s="133"/>
      <c r="AW27" s="134"/>
      <c r="AX27" s="134">
        <f t="shared" si="3"/>
        <v>0</v>
      </c>
      <c r="AY27" s="121"/>
      <c r="AZ27" s="121"/>
    </row>
    <row r="28" spans="1:52" s="124" customFormat="1" x14ac:dyDescent="0.25">
      <c r="A28" s="126" t="s">
        <v>267</v>
      </c>
      <c r="B28" s="127">
        <v>44318</v>
      </c>
      <c r="C28" s="127">
        <v>44319</v>
      </c>
      <c r="D28" s="128" t="s">
        <v>269</v>
      </c>
      <c r="E28" s="126" t="s">
        <v>33</v>
      </c>
      <c r="F28" s="121">
        <v>1</v>
      </c>
      <c r="G28" s="125" t="s">
        <v>282</v>
      </c>
      <c r="J28" s="129" t="e">
        <f>VLOOKUP(G28,'BASE PASAJEROS'!A:E,5,FALSE)</f>
        <v>#N/A</v>
      </c>
      <c r="K28" s="128" t="e">
        <f>VLOOKUP(G28,'BASE PASAJEROS'!A:B,2,FALSE)</f>
        <v>#N/A</v>
      </c>
      <c r="L28" s="128" t="s">
        <v>316</v>
      </c>
      <c r="M28" s="128" t="e">
        <f>VLOOKUP(G28,'BASE PASAJEROS'!A:H,8,FALSE)</f>
        <v>#N/A</v>
      </c>
      <c r="N28" s="128"/>
      <c r="O28" s="128"/>
      <c r="P28" s="128" t="e">
        <f>VLOOKUP(G28,'BASE PASAJEROS'!A:F,6,FALSE)</f>
        <v>#N/A</v>
      </c>
      <c r="Q28" s="128" t="e">
        <f>VLOOKUP(G28,'BASE PASAJEROS'!A:C,3,FALSE)</f>
        <v>#N/A</v>
      </c>
      <c r="R28" s="128" t="e">
        <f>VLOOKUP(G28,'BASE PASAJEROS'!A:G,7,FALSE)</f>
        <v>#N/A</v>
      </c>
      <c r="S28" s="128" t="s">
        <v>299</v>
      </c>
      <c r="T28" s="128" t="s">
        <v>320</v>
      </c>
      <c r="U28" s="130" t="e">
        <f>VLOOKUP(G28,'BASE PASAJEROS'!A:AG,33,FALSE)</f>
        <v>#N/A</v>
      </c>
      <c r="V28" s="130" t="e">
        <f>VLOOKUP(G28,'BASE PASAJEROS'!A:AH,34,FALSE)</f>
        <v>#N/A</v>
      </c>
      <c r="W28" s="128"/>
      <c r="X28" s="142" t="s">
        <v>308</v>
      </c>
      <c r="Y28" s="128" t="s">
        <v>32</v>
      </c>
      <c r="Z28" s="128" t="s">
        <v>31</v>
      </c>
      <c r="AA28" s="128" t="s">
        <v>317</v>
      </c>
      <c r="AB28" s="128" t="e">
        <f>VLOOKUP(AA28,'BASE BANCOS'!$A$2:$D$202,3,FALSE)</f>
        <v>#N/A</v>
      </c>
      <c r="AC28" s="128" t="s">
        <v>318</v>
      </c>
      <c r="AD28" s="129" t="e">
        <f>VLOOKUP(AC28,'BASE CONDUCTORES'!E:G,3,FALSE)</f>
        <v>#N/A</v>
      </c>
      <c r="AE28" s="130"/>
      <c r="AF28" s="131"/>
      <c r="AG28" s="131"/>
      <c r="AH28" s="131">
        <f t="shared" si="0"/>
        <v>0</v>
      </c>
      <c r="AI28" s="131" t="e">
        <f>VLOOKUP(G28,[4]Hoja1!$T:$AL,19,FALSE)</f>
        <v>#N/A</v>
      </c>
      <c r="AJ28" s="128"/>
      <c r="AK28" s="128"/>
      <c r="AL28" s="128"/>
      <c r="AM28" s="128"/>
      <c r="AN28" s="131">
        <f t="shared" si="1"/>
        <v>0</v>
      </c>
      <c r="AO28" s="131">
        <f t="shared" si="2"/>
        <v>0</v>
      </c>
      <c r="AP28" s="131" t="e">
        <f t="shared" si="2"/>
        <v>#N/A</v>
      </c>
      <c r="AU28" s="132"/>
      <c r="AV28" s="133"/>
      <c r="AW28" s="134"/>
      <c r="AX28" s="134">
        <f t="shared" si="3"/>
        <v>0</v>
      </c>
      <c r="AY28" s="121"/>
      <c r="AZ28" s="121"/>
    </row>
    <row r="29" spans="1:52" s="124" customFormat="1" x14ac:dyDescent="0.25">
      <c r="A29" s="126" t="s">
        <v>267</v>
      </c>
      <c r="B29" s="127">
        <v>44318</v>
      </c>
      <c r="C29" s="127">
        <v>44319</v>
      </c>
      <c r="D29" s="128" t="s">
        <v>269</v>
      </c>
      <c r="E29" s="126" t="s">
        <v>33</v>
      </c>
      <c r="F29" s="121">
        <v>1</v>
      </c>
      <c r="G29" s="141" t="s">
        <v>283</v>
      </c>
      <c r="J29" s="129" t="e">
        <f>VLOOKUP(G29,'BASE PASAJEROS'!A:E,5,FALSE)</f>
        <v>#N/A</v>
      </c>
      <c r="K29" s="128" t="e">
        <f>VLOOKUP(G29,'BASE PASAJEROS'!A:B,2,FALSE)</f>
        <v>#N/A</v>
      </c>
      <c r="L29" s="128" t="s">
        <v>316</v>
      </c>
      <c r="M29" s="128" t="e">
        <f>VLOOKUP(G29,'BASE PASAJEROS'!A:H,8,FALSE)</f>
        <v>#N/A</v>
      </c>
      <c r="N29" s="128"/>
      <c r="O29" s="128"/>
      <c r="P29" s="128" t="e">
        <f>VLOOKUP(G29,'BASE PASAJEROS'!A:F,6,FALSE)</f>
        <v>#N/A</v>
      </c>
      <c r="Q29" s="128" t="e">
        <f>VLOOKUP(G29,'BASE PASAJEROS'!A:C,3,FALSE)</f>
        <v>#N/A</v>
      </c>
      <c r="R29" s="128" t="e">
        <f>VLOOKUP(G29,'BASE PASAJEROS'!A:G,7,FALSE)</f>
        <v>#N/A</v>
      </c>
      <c r="S29" s="128" t="s">
        <v>300</v>
      </c>
      <c r="T29" s="128" t="s">
        <v>320</v>
      </c>
      <c r="U29" s="130" t="e">
        <f>VLOOKUP(G29,'BASE PASAJEROS'!A:AG,33,FALSE)</f>
        <v>#N/A</v>
      </c>
      <c r="V29" s="130" t="e">
        <f>VLOOKUP(G29,'BASE PASAJEROS'!A:AH,34,FALSE)</f>
        <v>#N/A</v>
      </c>
      <c r="W29" s="128"/>
      <c r="X29" s="142" t="s">
        <v>307</v>
      </c>
      <c r="Y29" s="128" t="s">
        <v>38</v>
      </c>
      <c r="Z29" s="128" t="s">
        <v>43</v>
      </c>
      <c r="AA29" s="128" t="s">
        <v>317</v>
      </c>
      <c r="AB29" s="128" t="e">
        <f>VLOOKUP(AA29,'BASE BANCOS'!$A$2:$D$202,3,FALSE)</f>
        <v>#N/A</v>
      </c>
      <c r="AC29" s="128" t="s">
        <v>318</v>
      </c>
      <c r="AD29" s="129" t="e">
        <f>VLOOKUP(AC29,'BASE CONDUCTORES'!E:G,3,FALSE)</f>
        <v>#N/A</v>
      </c>
      <c r="AE29" s="130"/>
      <c r="AF29" s="131"/>
      <c r="AG29" s="131"/>
      <c r="AH29" s="131">
        <f t="shared" si="0"/>
        <v>0</v>
      </c>
      <c r="AI29" s="131" t="e">
        <f>VLOOKUP(G29,[4]Hoja1!$T:$AL,19,FALSE)</f>
        <v>#N/A</v>
      </c>
      <c r="AJ29" s="128"/>
      <c r="AK29" s="128"/>
      <c r="AL29" s="128"/>
      <c r="AM29" s="128"/>
      <c r="AN29" s="131">
        <f t="shared" si="1"/>
        <v>0</v>
      </c>
      <c r="AO29" s="131">
        <f t="shared" si="2"/>
        <v>0</v>
      </c>
      <c r="AP29" s="131" t="e">
        <f t="shared" si="2"/>
        <v>#N/A</v>
      </c>
      <c r="AU29" s="132"/>
      <c r="AV29" s="133"/>
      <c r="AW29" s="134"/>
      <c r="AX29" s="134">
        <f t="shared" si="3"/>
        <v>0</v>
      </c>
      <c r="AY29" s="121"/>
      <c r="AZ29" s="121"/>
    </row>
    <row r="30" spans="1:52" s="124" customFormat="1" x14ac:dyDescent="0.25">
      <c r="A30" s="126" t="s">
        <v>267</v>
      </c>
      <c r="B30" s="127">
        <v>44318</v>
      </c>
      <c r="C30" s="127">
        <v>44319</v>
      </c>
      <c r="D30" s="128" t="s">
        <v>269</v>
      </c>
      <c r="E30" s="126" t="s">
        <v>33</v>
      </c>
      <c r="F30" s="121">
        <v>1</v>
      </c>
      <c r="G30" s="125" t="s">
        <v>284</v>
      </c>
      <c r="J30" s="129" t="e">
        <f>VLOOKUP(G30,'BASE PASAJEROS'!A:E,5,FALSE)</f>
        <v>#N/A</v>
      </c>
      <c r="K30" s="128" t="e">
        <f>VLOOKUP(G30,'BASE PASAJEROS'!A:B,2,FALSE)</f>
        <v>#N/A</v>
      </c>
      <c r="L30" s="128" t="s">
        <v>316</v>
      </c>
      <c r="M30" s="128" t="e">
        <f>VLOOKUP(G30,'BASE PASAJEROS'!A:H,8,FALSE)</f>
        <v>#N/A</v>
      </c>
      <c r="N30" s="128"/>
      <c r="O30" s="128"/>
      <c r="P30" s="128" t="e">
        <f>VLOOKUP(G30,'BASE PASAJEROS'!A:F,6,FALSE)</f>
        <v>#N/A</v>
      </c>
      <c r="Q30" s="128" t="e">
        <f>VLOOKUP(G30,'BASE PASAJEROS'!A:C,3,FALSE)</f>
        <v>#N/A</v>
      </c>
      <c r="R30" s="128" t="e">
        <f>VLOOKUP(G30,'BASE PASAJEROS'!A:G,7,FALSE)</f>
        <v>#N/A</v>
      </c>
      <c r="S30" s="128" t="s">
        <v>301</v>
      </c>
      <c r="T30" s="128" t="s">
        <v>320</v>
      </c>
      <c r="U30" s="130" t="e">
        <f>VLOOKUP(G30,'BASE PASAJEROS'!A:AG,33,FALSE)</f>
        <v>#N/A</v>
      </c>
      <c r="V30" s="130" t="e">
        <f>VLOOKUP(G30,'BASE PASAJEROS'!A:AH,34,FALSE)</f>
        <v>#N/A</v>
      </c>
      <c r="W30" s="128"/>
      <c r="X30" s="142" t="s">
        <v>308</v>
      </c>
      <c r="Y30" s="128" t="s">
        <v>32</v>
      </c>
      <c r="Z30" s="128" t="s">
        <v>31</v>
      </c>
      <c r="AA30" s="128" t="s">
        <v>317</v>
      </c>
      <c r="AB30" s="128" t="e">
        <f>VLOOKUP(AA30,'BASE BANCOS'!$A$2:$D$202,3,FALSE)</f>
        <v>#N/A</v>
      </c>
      <c r="AC30" s="128" t="s">
        <v>318</v>
      </c>
      <c r="AD30" s="129" t="e">
        <f>VLOOKUP(AC30,'BASE CONDUCTORES'!E:G,3,FALSE)</f>
        <v>#N/A</v>
      </c>
      <c r="AE30" s="130"/>
      <c r="AF30" s="131"/>
      <c r="AG30" s="131"/>
      <c r="AH30" s="131">
        <f t="shared" si="0"/>
        <v>0</v>
      </c>
      <c r="AI30" s="131" t="e">
        <f>VLOOKUP(G30,[4]Hoja1!$T:$AL,19,FALSE)</f>
        <v>#N/A</v>
      </c>
      <c r="AJ30" s="128"/>
      <c r="AK30" s="128"/>
      <c r="AL30" s="128"/>
      <c r="AM30" s="128"/>
      <c r="AN30" s="131">
        <f t="shared" si="1"/>
        <v>0</v>
      </c>
      <c r="AO30" s="131">
        <f t="shared" si="2"/>
        <v>0</v>
      </c>
      <c r="AP30" s="131" t="e">
        <f t="shared" si="2"/>
        <v>#N/A</v>
      </c>
      <c r="AU30" s="132"/>
      <c r="AV30" s="133"/>
      <c r="AW30" s="134"/>
      <c r="AX30" s="134">
        <f t="shared" si="3"/>
        <v>0</v>
      </c>
      <c r="AY30" s="121"/>
      <c r="AZ30" s="121"/>
    </row>
    <row r="31" spans="1:52" s="124" customFormat="1" x14ac:dyDescent="0.25">
      <c r="A31" s="126" t="s">
        <v>267</v>
      </c>
      <c r="B31" s="127">
        <v>44318</v>
      </c>
      <c r="C31" s="127">
        <v>44319</v>
      </c>
      <c r="D31" s="128" t="s">
        <v>269</v>
      </c>
      <c r="E31" s="126" t="s">
        <v>33</v>
      </c>
      <c r="F31" s="121">
        <v>1</v>
      </c>
      <c r="G31" s="141" t="s">
        <v>285</v>
      </c>
      <c r="J31" s="129" t="e">
        <f>VLOOKUP(G31,'BASE PASAJEROS'!A:E,5,FALSE)</f>
        <v>#N/A</v>
      </c>
      <c r="K31" s="128" t="e">
        <f>VLOOKUP(G31,'BASE PASAJEROS'!A:B,2,FALSE)</f>
        <v>#N/A</v>
      </c>
      <c r="L31" s="128" t="s">
        <v>316</v>
      </c>
      <c r="M31" s="128" t="e">
        <f>VLOOKUP(G31,'BASE PASAJEROS'!A:H,8,FALSE)</f>
        <v>#N/A</v>
      </c>
      <c r="N31" s="128"/>
      <c r="O31" s="128"/>
      <c r="P31" s="128" t="e">
        <f>VLOOKUP(G31,'BASE PASAJEROS'!A:F,6,FALSE)</f>
        <v>#N/A</v>
      </c>
      <c r="Q31" s="128" t="e">
        <f>VLOOKUP(G31,'BASE PASAJEROS'!A:C,3,FALSE)</f>
        <v>#N/A</v>
      </c>
      <c r="R31" s="128" t="e">
        <f>VLOOKUP(G31,'BASE PASAJEROS'!A:G,7,FALSE)</f>
        <v>#N/A</v>
      </c>
      <c r="S31" s="128" t="s">
        <v>302</v>
      </c>
      <c r="T31" s="128" t="s">
        <v>320</v>
      </c>
      <c r="U31" s="130" t="e">
        <f>VLOOKUP(G31,'BASE PASAJEROS'!A:AG,33,FALSE)</f>
        <v>#N/A</v>
      </c>
      <c r="V31" s="130" t="e">
        <f>VLOOKUP(G31,'BASE PASAJEROS'!A:AH,34,FALSE)</f>
        <v>#N/A</v>
      </c>
      <c r="W31" s="128"/>
      <c r="X31" s="142" t="s">
        <v>307</v>
      </c>
      <c r="Y31" s="128" t="s">
        <v>38</v>
      </c>
      <c r="Z31" s="128" t="s">
        <v>43</v>
      </c>
      <c r="AA31" s="128" t="s">
        <v>317</v>
      </c>
      <c r="AB31" s="128" t="e">
        <f>VLOOKUP(AA31,'BASE BANCOS'!$A$2:$D$202,3,FALSE)</f>
        <v>#N/A</v>
      </c>
      <c r="AC31" s="128" t="s">
        <v>318</v>
      </c>
      <c r="AD31" s="129" t="e">
        <f>VLOOKUP(AC31,'BASE CONDUCTORES'!E:G,3,FALSE)</f>
        <v>#N/A</v>
      </c>
      <c r="AE31" s="130"/>
      <c r="AF31" s="131"/>
      <c r="AG31" s="131"/>
      <c r="AH31" s="131">
        <f t="shared" si="0"/>
        <v>0</v>
      </c>
      <c r="AI31" s="131" t="e">
        <f>VLOOKUP(G31,[4]Hoja1!$T:$AL,19,FALSE)</f>
        <v>#N/A</v>
      </c>
      <c r="AJ31" s="128"/>
      <c r="AK31" s="128"/>
      <c r="AL31" s="128"/>
      <c r="AM31" s="128"/>
      <c r="AN31" s="131">
        <f t="shared" si="1"/>
        <v>0</v>
      </c>
      <c r="AO31" s="131">
        <f t="shared" si="2"/>
        <v>0</v>
      </c>
      <c r="AP31" s="131" t="e">
        <f t="shared" si="2"/>
        <v>#N/A</v>
      </c>
      <c r="AU31" s="132"/>
      <c r="AV31" s="133"/>
      <c r="AW31" s="134"/>
      <c r="AX31" s="134">
        <f t="shared" si="3"/>
        <v>0</v>
      </c>
      <c r="AY31" s="121"/>
      <c r="AZ31" s="121"/>
    </row>
    <row r="32" spans="1:52" s="124" customFormat="1" x14ac:dyDescent="0.25">
      <c r="A32" s="126" t="s">
        <v>267</v>
      </c>
      <c r="B32" s="127">
        <v>44318</v>
      </c>
      <c r="C32" s="127">
        <v>44319</v>
      </c>
      <c r="D32" s="128" t="s">
        <v>269</v>
      </c>
      <c r="E32" s="126" t="s">
        <v>33</v>
      </c>
      <c r="F32" s="121">
        <v>1</v>
      </c>
      <c r="G32" s="125" t="s">
        <v>286</v>
      </c>
      <c r="J32" s="129" t="e">
        <f>VLOOKUP(G32,'BASE PASAJEROS'!A:E,5,FALSE)</f>
        <v>#N/A</v>
      </c>
      <c r="K32" s="128" t="e">
        <f>VLOOKUP(G32,'BASE PASAJEROS'!A:B,2,FALSE)</f>
        <v>#N/A</v>
      </c>
      <c r="L32" s="128" t="s">
        <v>316</v>
      </c>
      <c r="M32" s="128" t="e">
        <f>VLOOKUP(G32,'BASE PASAJEROS'!A:H,8,FALSE)</f>
        <v>#N/A</v>
      </c>
      <c r="N32" s="128"/>
      <c r="O32" s="128"/>
      <c r="P32" s="128" t="e">
        <f>VLOOKUP(G32,'BASE PASAJEROS'!A:F,6,FALSE)</f>
        <v>#N/A</v>
      </c>
      <c r="Q32" s="128" t="e">
        <f>VLOOKUP(G32,'BASE PASAJEROS'!A:C,3,FALSE)</f>
        <v>#N/A</v>
      </c>
      <c r="R32" s="128" t="e">
        <f>VLOOKUP(G32,'BASE PASAJEROS'!A:G,7,FALSE)</f>
        <v>#N/A</v>
      </c>
      <c r="S32" s="128" t="s">
        <v>303</v>
      </c>
      <c r="T32" s="128" t="s">
        <v>320</v>
      </c>
      <c r="U32" s="130" t="e">
        <f>VLOOKUP(G32,'BASE PASAJEROS'!A:AG,33,FALSE)</f>
        <v>#N/A</v>
      </c>
      <c r="V32" s="130" t="e">
        <f>VLOOKUP(G32,'BASE PASAJEROS'!A:AH,34,FALSE)</f>
        <v>#N/A</v>
      </c>
      <c r="W32" s="128"/>
      <c r="X32" s="142" t="s">
        <v>306</v>
      </c>
      <c r="Y32" s="128" t="s">
        <v>27</v>
      </c>
      <c r="Z32" s="128" t="s">
        <v>26</v>
      </c>
      <c r="AA32" s="128" t="s">
        <v>317</v>
      </c>
      <c r="AB32" s="128" t="e">
        <f>VLOOKUP(AA32,'BASE BANCOS'!$A$2:$D$202,3,FALSE)</f>
        <v>#N/A</v>
      </c>
      <c r="AC32" s="128" t="s">
        <v>318</v>
      </c>
      <c r="AD32" s="129" t="e">
        <f>VLOOKUP(AC32,'BASE CONDUCTORES'!E:G,3,FALSE)</f>
        <v>#N/A</v>
      </c>
      <c r="AE32" s="130"/>
      <c r="AF32" s="131"/>
      <c r="AG32" s="131"/>
      <c r="AH32" s="131">
        <f t="shared" si="0"/>
        <v>0</v>
      </c>
      <c r="AI32" s="131" t="e">
        <f>VLOOKUP(G32,[4]Hoja1!$T:$AL,19,FALSE)</f>
        <v>#N/A</v>
      </c>
      <c r="AJ32" s="128"/>
      <c r="AK32" s="128"/>
      <c r="AL32" s="128"/>
      <c r="AM32" s="128"/>
      <c r="AN32" s="131">
        <f t="shared" si="1"/>
        <v>0</v>
      </c>
      <c r="AO32" s="131">
        <f t="shared" si="2"/>
        <v>0</v>
      </c>
      <c r="AP32" s="131" t="e">
        <f t="shared" si="2"/>
        <v>#N/A</v>
      </c>
      <c r="AU32" s="132"/>
      <c r="AV32" s="133"/>
      <c r="AW32" s="134"/>
      <c r="AX32" s="134">
        <f t="shared" si="3"/>
        <v>0</v>
      </c>
      <c r="AY32" s="121"/>
      <c r="AZ32" s="121"/>
    </row>
    <row r="33" spans="1:52" s="124" customFormat="1" x14ac:dyDescent="0.25">
      <c r="A33" s="126" t="s">
        <v>267</v>
      </c>
      <c r="B33" s="127">
        <v>44318</v>
      </c>
      <c r="C33" s="127">
        <v>44319</v>
      </c>
      <c r="D33" s="128" t="s">
        <v>269</v>
      </c>
      <c r="E33" s="126" t="s">
        <v>33</v>
      </c>
      <c r="F33" s="121">
        <v>1</v>
      </c>
      <c r="G33" s="125" t="s">
        <v>121</v>
      </c>
      <c r="J33" s="129" t="e">
        <f>VLOOKUP(G33,'BASE PASAJEROS'!A:E,5,FALSE)</f>
        <v>#N/A</v>
      </c>
      <c r="K33" s="128" t="e">
        <f>VLOOKUP(G33,'BASE PASAJEROS'!A:B,2,FALSE)</f>
        <v>#N/A</v>
      </c>
      <c r="L33" s="128" t="s">
        <v>316</v>
      </c>
      <c r="M33" s="128" t="e">
        <f>VLOOKUP(G33,'BASE PASAJEROS'!A:H,8,FALSE)</f>
        <v>#N/A</v>
      </c>
      <c r="N33" s="128"/>
      <c r="O33" s="128"/>
      <c r="P33" s="128" t="e">
        <f>VLOOKUP(G33,'BASE PASAJEROS'!A:F,6,FALSE)</f>
        <v>#N/A</v>
      </c>
      <c r="Q33" s="128" t="e">
        <f>VLOOKUP(G33,'BASE PASAJEROS'!A:C,3,FALSE)</f>
        <v>#N/A</v>
      </c>
      <c r="R33" s="128" t="e">
        <f>VLOOKUP(G33,'BASE PASAJEROS'!A:G,7,FALSE)</f>
        <v>#N/A</v>
      </c>
      <c r="S33" s="128" t="s">
        <v>122</v>
      </c>
      <c r="T33" s="128" t="s">
        <v>320</v>
      </c>
      <c r="U33" s="130" t="e">
        <f>VLOOKUP(G33,'BASE PASAJEROS'!A:AG,33,FALSE)</f>
        <v>#N/A</v>
      </c>
      <c r="V33" s="130" t="e">
        <f>VLOOKUP(G33,'BASE PASAJEROS'!A:AH,34,FALSE)</f>
        <v>#N/A</v>
      </c>
      <c r="W33" s="128"/>
      <c r="X33" s="142" t="s">
        <v>306</v>
      </c>
      <c r="Y33" s="128" t="s">
        <v>27</v>
      </c>
      <c r="Z33" s="128" t="s">
        <v>26</v>
      </c>
      <c r="AA33" s="128" t="s">
        <v>317</v>
      </c>
      <c r="AB33" s="128" t="e">
        <f>VLOOKUP(AA33,'BASE BANCOS'!$A$2:$D$202,3,FALSE)</f>
        <v>#N/A</v>
      </c>
      <c r="AC33" s="128" t="s">
        <v>318</v>
      </c>
      <c r="AD33" s="129" t="e">
        <f>VLOOKUP(AC33,'BASE CONDUCTORES'!E:G,3,FALSE)</f>
        <v>#N/A</v>
      </c>
      <c r="AE33" s="130"/>
      <c r="AF33" s="131"/>
      <c r="AG33" s="131"/>
      <c r="AH33" s="131">
        <f t="shared" si="0"/>
        <v>0</v>
      </c>
      <c r="AI33" s="131">
        <f>VLOOKUP(G33,[4]Hoja1!$T:$AL,19,FALSE)</f>
        <v>17460</v>
      </c>
      <c r="AJ33" s="128"/>
      <c r="AK33" s="128"/>
      <c r="AL33" s="128"/>
      <c r="AM33" s="128"/>
      <c r="AN33" s="131">
        <f t="shared" si="1"/>
        <v>0</v>
      </c>
      <c r="AO33" s="131">
        <f t="shared" ref="AO33:AP76" si="4">+AH33+AM33</f>
        <v>0</v>
      </c>
      <c r="AP33" s="131">
        <f t="shared" si="4"/>
        <v>17460</v>
      </c>
      <c r="AU33" s="132"/>
      <c r="AV33" s="133"/>
      <c r="AW33" s="134"/>
      <c r="AX33" s="134">
        <f t="shared" si="3"/>
        <v>0</v>
      </c>
      <c r="AY33" s="121"/>
      <c r="AZ33" s="121"/>
    </row>
    <row r="34" spans="1:52" s="124" customFormat="1" x14ac:dyDescent="0.25">
      <c r="A34" s="126" t="s">
        <v>267</v>
      </c>
      <c r="B34" s="127">
        <v>44318</v>
      </c>
      <c r="C34" s="127">
        <v>44319</v>
      </c>
      <c r="D34" s="128" t="s">
        <v>269</v>
      </c>
      <c r="E34" s="126" t="s">
        <v>33</v>
      </c>
      <c r="F34" s="121">
        <v>1</v>
      </c>
      <c r="G34" s="125" t="s">
        <v>287</v>
      </c>
      <c r="J34" s="129" t="e">
        <f>VLOOKUP(G34,'BASE PASAJEROS'!A:E,5,FALSE)</f>
        <v>#N/A</v>
      </c>
      <c r="K34" s="128" t="e">
        <f>VLOOKUP(G34,'BASE PASAJEROS'!A:B,2,FALSE)</f>
        <v>#N/A</v>
      </c>
      <c r="L34" s="128" t="s">
        <v>316</v>
      </c>
      <c r="M34" s="128" t="e">
        <f>VLOOKUP(G34,'BASE PASAJEROS'!A:H,8,FALSE)</f>
        <v>#N/A</v>
      </c>
      <c r="N34" s="128"/>
      <c r="O34" s="128"/>
      <c r="P34" s="128" t="e">
        <f>VLOOKUP(G34,'BASE PASAJEROS'!A:F,6,FALSE)</f>
        <v>#N/A</v>
      </c>
      <c r="Q34" s="128" t="e">
        <f>VLOOKUP(G34,'BASE PASAJEROS'!A:C,3,FALSE)</f>
        <v>#N/A</v>
      </c>
      <c r="R34" s="128" t="e">
        <f>VLOOKUP(G34,'BASE PASAJEROS'!A:G,7,FALSE)</f>
        <v>#N/A</v>
      </c>
      <c r="S34" s="128"/>
      <c r="T34" s="128"/>
      <c r="U34" s="130" t="e">
        <f>VLOOKUP(G34,'BASE PASAJEROS'!A:AG,33,FALSE)</f>
        <v>#N/A</v>
      </c>
      <c r="V34" s="130" t="e">
        <f>VLOOKUP(G34,'BASE PASAJEROS'!A:AH,34,FALSE)</f>
        <v>#N/A</v>
      </c>
      <c r="W34" s="128"/>
      <c r="X34" s="142" t="s">
        <v>319</v>
      </c>
      <c r="Y34" s="128" t="s">
        <v>21</v>
      </c>
      <c r="Z34" s="128" t="s">
        <v>0</v>
      </c>
      <c r="AA34" s="128" t="s">
        <v>319</v>
      </c>
      <c r="AB34" s="128" t="e">
        <f>VLOOKUP(AA34,'BASE BANCOS'!$A$2:$D$202,3,FALSE)</f>
        <v>#N/A</v>
      </c>
      <c r="AC34" s="128"/>
      <c r="AD34" s="129" t="e">
        <f>VLOOKUP(AC34,'BASE CONDUCTORES'!E:G,3,FALSE)</f>
        <v>#N/A</v>
      </c>
      <c r="AE34" s="130"/>
      <c r="AF34" s="131"/>
      <c r="AG34" s="131"/>
      <c r="AH34" s="131">
        <f t="shared" si="0"/>
        <v>0</v>
      </c>
      <c r="AI34" s="131" t="e">
        <f>VLOOKUP(G34,[4]Hoja1!$T:$AL,19,FALSE)</f>
        <v>#N/A</v>
      </c>
      <c r="AJ34" s="128"/>
      <c r="AK34" s="128" t="s">
        <v>371</v>
      </c>
      <c r="AL34" s="128"/>
      <c r="AM34" s="128"/>
      <c r="AN34" s="131">
        <f t="shared" si="1"/>
        <v>0</v>
      </c>
      <c r="AO34" s="131">
        <f t="shared" si="4"/>
        <v>0</v>
      </c>
      <c r="AP34" s="131" t="e">
        <f t="shared" si="4"/>
        <v>#N/A</v>
      </c>
      <c r="AU34" s="132"/>
      <c r="AV34" s="133"/>
      <c r="AW34" s="134"/>
      <c r="AX34" s="134">
        <f t="shared" si="3"/>
        <v>0</v>
      </c>
      <c r="AY34" s="121"/>
      <c r="AZ34" s="121"/>
    </row>
    <row r="35" spans="1:52" s="124" customFormat="1" x14ac:dyDescent="0.25">
      <c r="A35" s="126" t="s">
        <v>267</v>
      </c>
      <c r="B35" s="127">
        <v>44318</v>
      </c>
      <c r="C35" s="127">
        <v>44319</v>
      </c>
      <c r="D35" s="128" t="s">
        <v>269</v>
      </c>
      <c r="E35" s="126" t="s">
        <v>33</v>
      </c>
      <c r="F35" s="121">
        <v>1</v>
      </c>
      <c r="G35" s="135" t="s">
        <v>321</v>
      </c>
      <c r="J35" s="129" t="e">
        <f>VLOOKUP(G35,'BASE PASAJEROS'!A:E,5,FALSE)</f>
        <v>#N/A</v>
      </c>
      <c r="K35" s="128" t="e">
        <f>VLOOKUP(G35,'BASE PASAJEROS'!A:B,2,FALSE)</f>
        <v>#N/A</v>
      </c>
      <c r="L35" s="128" t="s">
        <v>316</v>
      </c>
      <c r="M35" s="128" t="e">
        <f>VLOOKUP(G35,'BASE PASAJEROS'!A:H,8,FALSE)</f>
        <v>#N/A</v>
      </c>
      <c r="N35" s="128"/>
      <c r="O35" s="128"/>
      <c r="P35" s="128" t="e">
        <f>VLOOKUP(G35,'BASE PASAJEROS'!A:F,6,FALSE)</f>
        <v>#N/A</v>
      </c>
      <c r="Q35" s="128" t="e">
        <f>VLOOKUP(G35,'BASE PASAJEROS'!A:C,3,FALSE)</f>
        <v>#N/A</v>
      </c>
      <c r="R35" s="128" t="e">
        <f>VLOOKUP(G35,'BASE PASAJEROS'!A:G,7,FALSE)</f>
        <v>#N/A</v>
      </c>
      <c r="S35" s="128"/>
      <c r="T35" s="128"/>
      <c r="U35" s="130" t="e">
        <f>VLOOKUP(G35,'BASE PASAJEROS'!A:AG,33,FALSE)</f>
        <v>#N/A</v>
      </c>
      <c r="V35" s="130" t="e">
        <f>VLOOKUP(G35,'BASE PASAJEROS'!A:AH,34,FALSE)</f>
        <v>#N/A</v>
      </c>
      <c r="W35" s="128"/>
      <c r="X35" s="142" t="s">
        <v>319</v>
      </c>
      <c r="Y35" s="128" t="s">
        <v>21</v>
      </c>
      <c r="Z35" s="128" t="s">
        <v>0</v>
      </c>
      <c r="AA35" s="128" t="s">
        <v>319</v>
      </c>
      <c r="AB35" s="128" t="e">
        <f>VLOOKUP(AA35,'BASE BANCOS'!$A$2:$D$202,3,FALSE)</f>
        <v>#N/A</v>
      </c>
      <c r="AC35" s="128"/>
      <c r="AD35" s="129" t="e">
        <f>VLOOKUP(AC35,'BASE CONDUCTORES'!E:G,3,FALSE)</f>
        <v>#N/A</v>
      </c>
      <c r="AE35" s="130"/>
      <c r="AF35" s="131"/>
      <c r="AG35" s="131"/>
      <c r="AH35" s="131">
        <f t="shared" si="0"/>
        <v>0</v>
      </c>
      <c r="AI35" s="131" t="e">
        <f>VLOOKUP(G35,[4]Hoja1!$T:$AL,19,FALSE)</f>
        <v>#N/A</v>
      </c>
      <c r="AJ35" s="128"/>
      <c r="AK35" s="128"/>
      <c r="AL35" s="128"/>
      <c r="AM35" s="128"/>
      <c r="AN35" s="131">
        <f t="shared" si="1"/>
        <v>0</v>
      </c>
      <c r="AO35" s="131">
        <f t="shared" si="4"/>
        <v>0</v>
      </c>
      <c r="AP35" s="131" t="e">
        <f t="shared" si="4"/>
        <v>#N/A</v>
      </c>
      <c r="AU35" s="132"/>
      <c r="AV35" s="133"/>
      <c r="AW35" s="134"/>
      <c r="AX35" s="134">
        <f t="shared" si="3"/>
        <v>0</v>
      </c>
      <c r="AY35" s="121"/>
      <c r="AZ35" s="121"/>
    </row>
    <row r="36" spans="1:52" s="124" customFormat="1" x14ac:dyDescent="0.25">
      <c r="A36" s="126" t="s">
        <v>267</v>
      </c>
      <c r="B36" s="127">
        <v>44318</v>
      </c>
      <c r="C36" s="127">
        <v>44319</v>
      </c>
      <c r="D36" s="128" t="s">
        <v>269</v>
      </c>
      <c r="E36" s="126" t="s">
        <v>33</v>
      </c>
      <c r="F36" s="121">
        <v>1</v>
      </c>
      <c r="G36" s="125" t="s">
        <v>288</v>
      </c>
      <c r="J36" s="129" t="e">
        <f>VLOOKUP(G36,'BASE PASAJEROS'!A:E,5,FALSE)</f>
        <v>#N/A</v>
      </c>
      <c r="K36" s="128" t="e">
        <f>VLOOKUP(G36,'BASE PASAJEROS'!A:B,2,FALSE)</f>
        <v>#N/A</v>
      </c>
      <c r="L36" s="128" t="s">
        <v>316</v>
      </c>
      <c r="M36" s="128" t="e">
        <f>VLOOKUP(G36,'BASE PASAJEROS'!A:H,8,FALSE)</f>
        <v>#N/A</v>
      </c>
      <c r="N36" s="128"/>
      <c r="O36" s="128"/>
      <c r="P36" s="128" t="e">
        <f>VLOOKUP(G36,'BASE PASAJEROS'!A:F,6,FALSE)</f>
        <v>#N/A</v>
      </c>
      <c r="Q36" s="128" t="e">
        <f>VLOOKUP(G36,'BASE PASAJEROS'!A:C,3,FALSE)</f>
        <v>#N/A</v>
      </c>
      <c r="R36" s="128" t="e">
        <f>VLOOKUP(G36,'BASE PASAJEROS'!A:G,7,FALSE)</f>
        <v>#N/A</v>
      </c>
      <c r="S36" s="128"/>
      <c r="T36" s="128"/>
      <c r="U36" s="130" t="e">
        <f>VLOOKUP(G36,'BASE PASAJEROS'!A:AG,33,FALSE)</f>
        <v>#N/A</v>
      </c>
      <c r="V36" s="130" t="e">
        <f>VLOOKUP(G36,'BASE PASAJEROS'!A:AH,34,FALSE)</f>
        <v>#N/A</v>
      </c>
      <c r="W36" s="128"/>
      <c r="X36" s="142" t="s">
        <v>324</v>
      </c>
      <c r="Y36" s="128" t="s">
        <v>21</v>
      </c>
      <c r="Z36" s="128" t="s">
        <v>0</v>
      </c>
      <c r="AA36" s="128" t="s">
        <v>319</v>
      </c>
      <c r="AB36" s="128" t="e">
        <f>VLOOKUP(AA36,'BASE BANCOS'!$A$2:$D$202,3,FALSE)</f>
        <v>#N/A</v>
      </c>
      <c r="AC36" s="128"/>
      <c r="AD36" s="129" t="e">
        <f>VLOOKUP(AC36,'BASE CONDUCTORES'!E:G,3,FALSE)</f>
        <v>#N/A</v>
      </c>
      <c r="AE36" s="130"/>
      <c r="AF36" s="131"/>
      <c r="AG36" s="131"/>
      <c r="AH36" s="131">
        <f t="shared" si="0"/>
        <v>0</v>
      </c>
      <c r="AI36" s="131" t="e">
        <f>VLOOKUP(G36,[4]Hoja1!$T:$AL,19,FALSE)</f>
        <v>#N/A</v>
      </c>
      <c r="AJ36" s="128"/>
      <c r="AK36" s="128"/>
      <c r="AL36" s="128"/>
      <c r="AM36" s="128"/>
      <c r="AN36" s="131">
        <f t="shared" si="1"/>
        <v>0</v>
      </c>
      <c r="AO36" s="131">
        <f t="shared" si="4"/>
        <v>0</v>
      </c>
      <c r="AP36" s="131" t="e">
        <f t="shared" si="4"/>
        <v>#N/A</v>
      </c>
      <c r="AU36" s="132"/>
      <c r="AV36" s="133"/>
      <c r="AW36" s="134"/>
      <c r="AX36" s="134">
        <f t="shared" si="3"/>
        <v>0</v>
      </c>
      <c r="AY36" s="121"/>
      <c r="AZ36" s="121"/>
    </row>
    <row r="37" spans="1:52" s="124" customFormat="1" x14ac:dyDescent="0.25">
      <c r="A37" s="126" t="s">
        <v>267</v>
      </c>
      <c r="B37" s="127">
        <v>44318</v>
      </c>
      <c r="C37" s="127">
        <v>44319</v>
      </c>
      <c r="D37" s="128" t="s">
        <v>269</v>
      </c>
      <c r="E37" s="126" t="s">
        <v>33</v>
      </c>
      <c r="F37" s="121">
        <v>1</v>
      </c>
      <c r="G37" s="125" t="s">
        <v>289</v>
      </c>
      <c r="J37" s="129" t="e">
        <f>VLOOKUP(G37,'BASE PASAJEROS'!A:E,5,FALSE)</f>
        <v>#N/A</v>
      </c>
      <c r="K37" s="128" t="e">
        <f>VLOOKUP(G37,'BASE PASAJEROS'!A:B,2,FALSE)</f>
        <v>#N/A</v>
      </c>
      <c r="L37" s="128" t="s">
        <v>316</v>
      </c>
      <c r="M37" s="128" t="e">
        <f>VLOOKUP(G37,'BASE PASAJEROS'!A:H,8,FALSE)</f>
        <v>#N/A</v>
      </c>
      <c r="N37" s="128"/>
      <c r="O37" s="128"/>
      <c r="P37" s="128" t="e">
        <f>VLOOKUP(G37,'BASE PASAJEROS'!A:F,6,FALSE)</f>
        <v>#N/A</v>
      </c>
      <c r="Q37" s="128" t="e">
        <f>VLOOKUP(G37,'BASE PASAJEROS'!A:C,3,FALSE)</f>
        <v>#N/A</v>
      </c>
      <c r="R37" s="128" t="e">
        <f>VLOOKUP(G37,'BASE PASAJEROS'!A:G,7,FALSE)</f>
        <v>#N/A</v>
      </c>
      <c r="S37" s="128"/>
      <c r="T37" s="128"/>
      <c r="U37" s="130" t="e">
        <f>VLOOKUP(G37,'BASE PASAJEROS'!A:AG,33,FALSE)</f>
        <v>#N/A</v>
      </c>
      <c r="V37" s="130" t="e">
        <f>VLOOKUP(G37,'BASE PASAJEROS'!A:AH,34,FALSE)</f>
        <v>#N/A</v>
      </c>
      <c r="W37" s="128"/>
      <c r="X37" s="142" t="s">
        <v>319</v>
      </c>
      <c r="Y37" s="128" t="s">
        <v>21</v>
      </c>
      <c r="Z37" s="128" t="s">
        <v>0</v>
      </c>
      <c r="AA37" s="128" t="s">
        <v>319</v>
      </c>
      <c r="AB37" s="128" t="e">
        <f>VLOOKUP(AA37,'BASE BANCOS'!$A$2:$D$202,3,FALSE)</f>
        <v>#N/A</v>
      </c>
      <c r="AC37" s="128"/>
      <c r="AD37" s="129" t="e">
        <f>VLOOKUP(AC37,'BASE CONDUCTORES'!E:G,3,FALSE)</f>
        <v>#N/A</v>
      </c>
      <c r="AE37" s="130"/>
      <c r="AF37" s="131"/>
      <c r="AG37" s="131"/>
      <c r="AH37" s="131">
        <f t="shared" si="0"/>
        <v>0</v>
      </c>
      <c r="AI37" s="131" t="e">
        <f>VLOOKUP(G37,[4]Hoja1!$T:$AL,19,FALSE)</f>
        <v>#N/A</v>
      </c>
      <c r="AJ37" s="128"/>
      <c r="AK37" s="128"/>
      <c r="AL37" s="128"/>
      <c r="AM37" s="128"/>
      <c r="AN37" s="131">
        <f t="shared" si="1"/>
        <v>0</v>
      </c>
      <c r="AO37" s="131">
        <f t="shared" si="4"/>
        <v>0</v>
      </c>
      <c r="AP37" s="131" t="e">
        <f t="shared" si="4"/>
        <v>#N/A</v>
      </c>
      <c r="AU37" s="132"/>
      <c r="AV37" s="133"/>
      <c r="AW37" s="134"/>
      <c r="AX37" s="134">
        <f t="shared" si="3"/>
        <v>0</v>
      </c>
      <c r="AY37" s="121"/>
      <c r="AZ37" s="121"/>
    </row>
    <row r="38" spans="1:52" s="124" customFormat="1" x14ac:dyDescent="0.25">
      <c r="A38" s="126" t="s">
        <v>267</v>
      </c>
      <c r="B38" s="127">
        <v>44318</v>
      </c>
      <c r="C38" s="127">
        <v>44319</v>
      </c>
      <c r="D38" s="128" t="s">
        <v>269</v>
      </c>
      <c r="E38" s="126" t="s">
        <v>33</v>
      </c>
      <c r="F38" s="121">
        <v>1</v>
      </c>
      <c r="G38" s="125" t="s">
        <v>290</v>
      </c>
      <c r="J38" s="129" t="e">
        <f>VLOOKUP(G38,'BASE PASAJEROS'!A:E,5,FALSE)</f>
        <v>#N/A</v>
      </c>
      <c r="K38" s="128" t="e">
        <f>VLOOKUP(G38,'BASE PASAJEROS'!A:B,2,FALSE)</f>
        <v>#N/A</v>
      </c>
      <c r="L38" s="128" t="s">
        <v>316</v>
      </c>
      <c r="M38" s="128" t="e">
        <f>VLOOKUP(G38,'BASE PASAJEROS'!A:H,8,FALSE)</f>
        <v>#N/A</v>
      </c>
      <c r="N38" s="128"/>
      <c r="O38" s="128"/>
      <c r="P38" s="128" t="e">
        <f>VLOOKUP(G38,'BASE PASAJEROS'!A:F,6,FALSE)</f>
        <v>#N/A</v>
      </c>
      <c r="Q38" s="128" t="e">
        <f>VLOOKUP(G38,'BASE PASAJEROS'!A:C,3,FALSE)</f>
        <v>#N/A</v>
      </c>
      <c r="R38" s="128" t="e">
        <f>VLOOKUP(G38,'BASE PASAJEROS'!A:G,7,FALSE)</f>
        <v>#N/A</v>
      </c>
      <c r="S38" s="128" t="s">
        <v>304</v>
      </c>
      <c r="T38" s="128" t="s">
        <v>320</v>
      </c>
      <c r="U38" s="130" t="e">
        <f>VLOOKUP(G38,'BASE PASAJEROS'!A:AG,33,FALSE)</f>
        <v>#N/A</v>
      </c>
      <c r="V38" s="130" t="e">
        <f>VLOOKUP(G38,'BASE PASAJEROS'!A:AH,34,FALSE)</f>
        <v>#N/A</v>
      </c>
      <c r="W38" s="128"/>
      <c r="X38" s="142" t="s">
        <v>310</v>
      </c>
      <c r="Y38" s="128" t="s">
        <v>32</v>
      </c>
      <c r="Z38" s="128" t="s">
        <v>31</v>
      </c>
      <c r="AA38" s="128" t="s">
        <v>317</v>
      </c>
      <c r="AB38" s="128" t="e">
        <f>VLOOKUP(AA38,'BASE BANCOS'!$A$2:$D$202,3,FALSE)</f>
        <v>#N/A</v>
      </c>
      <c r="AC38" s="128" t="s">
        <v>318</v>
      </c>
      <c r="AD38" s="129" t="e">
        <f>VLOOKUP(AC38,'BASE CONDUCTORES'!E:G,3,FALSE)</f>
        <v>#N/A</v>
      </c>
      <c r="AE38" s="130"/>
      <c r="AF38" s="131"/>
      <c r="AG38" s="131"/>
      <c r="AH38" s="131">
        <f t="shared" si="0"/>
        <v>0</v>
      </c>
      <c r="AI38" s="131" t="e">
        <f>VLOOKUP(G38,[4]Hoja1!$T:$AL,19,FALSE)</f>
        <v>#N/A</v>
      </c>
      <c r="AJ38" s="128"/>
      <c r="AK38" s="128" t="s">
        <v>322</v>
      </c>
      <c r="AL38" s="128"/>
      <c r="AM38" s="128"/>
      <c r="AN38" s="131">
        <f t="shared" si="1"/>
        <v>0</v>
      </c>
      <c r="AO38" s="131">
        <f t="shared" si="4"/>
        <v>0</v>
      </c>
      <c r="AP38" s="131" t="e">
        <f t="shared" si="4"/>
        <v>#N/A</v>
      </c>
      <c r="AU38" s="132"/>
      <c r="AV38" s="133"/>
      <c r="AW38" s="134"/>
      <c r="AX38" s="134">
        <f t="shared" si="3"/>
        <v>0</v>
      </c>
      <c r="AY38" s="121"/>
      <c r="AZ38" s="121"/>
    </row>
    <row r="39" spans="1:52" s="124" customFormat="1" x14ac:dyDescent="0.25">
      <c r="A39" s="126" t="s">
        <v>267</v>
      </c>
      <c r="B39" s="127">
        <v>44318</v>
      </c>
      <c r="C39" s="127">
        <v>44319</v>
      </c>
      <c r="D39" s="128" t="s">
        <v>269</v>
      </c>
      <c r="E39" s="126" t="s">
        <v>33</v>
      </c>
      <c r="F39" s="121">
        <v>1</v>
      </c>
      <c r="G39" s="125" t="s">
        <v>291</v>
      </c>
      <c r="J39" s="129" t="e">
        <f>VLOOKUP(G39,'BASE PASAJEROS'!A:E,5,FALSE)</f>
        <v>#N/A</v>
      </c>
      <c r="K39" s="128" t="e">
        <f>VLOOKUP(G39,'BASE PASAJEROS'!A:B,2,FALSE)</f>
        <v>#N/A</v>
      </c>
      <c r="L39" s="128" t="s">
        <v>316</v>
      </c>
      <c r="M39" s="128" t="e">
        <f>VLOOKUP(G39,'BASE PASAJEROS'!A:H,8,FALSE)</f>
        <v>#N/A</v>
      </c>
      <c r="N39" s="128"/>
      <c r="O39" s="128"/>
      <c r="P39" s="128" t="e">
        <f>VLOOKUP(G39,'BASE PASAJEROS'!A:F,6,FALSE)</f>
        <v>#N/A</v>
      </c>
      <c r="Q39" s="128" t="e">
        <f>VLOOKUP(G39,'BASE PASAJEROS'!A:C,3,FALSE)</f>
        <v>#N/A</v>
      </c>
      <c r="R39" s="128" t="e">
        <f>VLOOKUP(G39,'BASE PASAJEROS'!A:G,7,FALSE)</f>
        <v>#N/A</v>
      </c>
      <c r="S39" s="128"/>
      <c r="T39" s="128"/>
      <c r="U39" s="130" t="e">
        <f>VLOOKUP(G39,'BASE PASAJEROS'!A:AG,33,FALSE)</f>
        <v>#N/A</v>
      </c>
      <c r="V39" s="130" t="e">
        <f>VLOOKUP(G39,'BASE PASAJEROS'!A:AH,34,FALSE)</f>
        <v>#N/A</v>
      </c>
      <c r="W39" s="128"/>
      <c r="X39" s="142" t="s">
        <v>319</v>
      </c>
      <c r="Y39" s="128" t="s">
        <v>21</v>
      </c>
      <c r="Z39" s="128" t="s">
        <v>0</v>
      </c>
      <c r="AA39" s="128" t="s">
        <v>319</v>
      </c>
      <c r="AB39" s="128" t="e">
        <f>VLOOKUP(AA39,'BASE BANCOS'!$A$2:$D$202,3,FALSE)</f>
        <v>#N/A</v>
      </c>
      <c r="AC39" s="128"/>
      <c r="AD39" s="129" t="e">
        <f>VLOOKUP(AC39,'BASE CONDUCTORES'!E:G,3,FALSE)</f>
        <v>#N/A</v>
      </c>
      <c r="AE39" s="130"/>
      <c r="AF39" s="131"/>
      <c r="AG39" s="131"/>
      <c r="AH39" s="131">
        <f t="shared" si="0"/>
        <v>0</v>
      </c>
      <c r="AI39" s="131" t="e">
        <f>VLOOKUP(G39,[4]Hoja1!$T:$AL,19,FALSE)</f>
        <v>#N/A</v>
      </c>
      <c r="AJ39" s="128"/>
      <c r="AK39" s="128"/>
      <c r="AL39" s="128"/>
      <c r="AM39" s="128"/>
      <c r="AN39" s="131">
        <f t="shared" si="1"/>
        <v>0</v>
      </c>
      <c r="AO39" s="131">
        <f t="shared" si="4"/>
        <v>0</v>
      </c>
      <c r="AP39" s="131" t="e">
        <f t="shared" si="4"/>
        <v>#N/A</v>
      </c>
      <c r="AU39" s="132"/>
      <c r="AV39" s="133"/>
      <c r="AW39" s="134"/>
      <c r="AX39" s="134">
        <f t="shared" si="3"/>
        <v>0</v>
      </c>
      <c r="AY39" s="121"/>
      <c r="AZ39" s="121"/>
    </row>
    <row r="40" spans="1:52" s="124" customFormat="1" x14ac:dyDescent="0.25">
      <c r="A40" s="128" t="s">
        <v>267</v>
      </c>
      <c r="B40" s="127">
        <v>44319</v>
      </c>
      <c r="C40" s="127">
        <v>44320</v>
      </c>
      <c r="D40" s="128" t="s">
        <v>269</v>
      </c>
      <c r="E40" s="128" t="s">
        <v>33</v>
      </c>
      <c r="F40" s="124">
        <v>1</v>
      </c>
      <c r="G40" s="144" t="s">
        <v>275</v>
      </c>
      <c r="J40" s="129" t="e">
        <f>VLOOKUP(G40,'BASE PASAJEROS'!A:E,5,FALSE)</f>
        <v>#N/A</v>
      </c>
      <c r="K40" s="128" t="e">
        <f>VLOOKUP(G40,'BASE PASAJEROS'!A:B,2,FALSE)</f>
        <v>#N/A</v>
      </c>
      <c r="L40" s="128" t="s">
        <v>316</v>
      </c>
      <c r="M40" s="128" t="e">
        <f>VLOOKUP(G40,'BASE PASAJEROS'!A:H,8,FALSE)</f>
        <v>#N/A</v>
      </c>
      <c r="N40" s="128"/>
      <c r="O40" s="128"/>
      <c r="P40" s="128" t="e">
        <f>VLOOKUP(G40,'BASE PASAJEROS'!A:F,6,FALSE)</f>
        <v>#N/A</v>
      </c>
      <c r="Q40" s="128" t="e">
        <f>VLOOKUP(G40,'BASE PASAJEROS'!A:C,3,FALSE)</f>
        <v>#N/A</v>
      </c>
      <c r="R40" s="128" t="e">
        <f>VLOOKUP(G40,'BASE PASAJEROS'!A:G,7,FALSE)</f>
        <v>#N/A</v>
      </c>
      <c r="S40" s="128" t="e">
        <f>+Q40</f>
        <v>#N/A</v>
      </c>
      <c r="T40" s="128" t="s">
        <v>320</v>
      </c>
      <c r="U40" s="130" t="e">
        <f>VLOOKUP(G40,'BASE PASAJEROS'!A:AG,33,FALSE)</f>
        <v>#N/A</v>
      </c>
      <c r="V40" s="130" t="e">
        <f>VLOOKUP(G40,'BASE PASAJEROS'!A:AH,34,FALSE)</f>
        <v>#N/A</v>
      </c>
      <c r="W40" s="128"/>
      <c r="X40" s="142" t="s">
        <v>306</v>
      </c>
      <c r="Y40" s="128" t="s">
        <v>27</v>
      </c>
      <c r="Z40" s="128" t="s">
        <v>26</v>
      </c>
      <c r="AA40" s="128" t="s">
        <v>317</v>
      </c>
      <c r="AB40" s="128" t="e">
        <f>VLOOKUP(AA40,'BASE BANCOS'!$A$2:$D$202,3,FALSE)</f>
        <v>#N/A</v>
      </c>
      <c r="AC40" s="128" t="s">
        <v>318</v>
      </c>
      <c r="AD40" s="129" t="e">
        <f>VLOOKUP(AC40,'BASE CONDUCTORES'!E:G,3,FALSE)</f>
        <v>#N/A</v>
      </c>
      <c r="AE40" s="93"/>
      <c r="AF40" s="92"/>
      <c r="AG40" s="92"/>
      <c r="AH40" s="92">
        <f t="shared" si="0"/>
        <v>0</v>
      </c>
      <c r="AI40" s="92" t="e">
        <f>VLOOKUP(G40,[4]Hoja1!$T:$AL,19,FALSE)</f>
        <v>#N/A</v>
      </c>
      <c r="AJ40" s="84"/>
      <c r="AK40" s="128"/>
      <c r="AL40" s="128"/>
      <c r="AM40" s="128"/>
      <c r="AN40" s="131">
        <f t="shared" si="1"/>
        <v>0</v>
      </c>
      <c r="AO40" s="131">
        <f t="shared" si="4"/>
        <v>0</v>
      </c>
      <c r="AP40" s="131" t="e">
        <f t="shared" si="4"/>
        <v>#N/A</v>
      </c>
      <c r="AU40" s="132"/>
      <c r="AV40" s="133"/>
      <c r="AW40" s="134"/>
      <c r="AX40" s="134">
        <f t="shared" si="3"/>
        <v>0</v>
      </c>
    </row>
    <row r="41" spans="1:52" s="124" customFormat="1" x14ac:dyDescent="0.25">
      <c r="A41" s="128" t="s">
        <v>267</v>
      </c>
      <c r="B41" s="127">
        <v>44319</v>
      </c>
      <c r="C41" s="127">
        <v>44320</v>
      </c>
      <c r="D41" s="128" t="s">
        <v>269</v>
      </c>
      <c r="E41" s="128" t="s">
        <v>33</v>
      </c>
      <c r="F41" s="124">
        <v>1</v>
      </c>
      <c r="G41" s="144" t="s">
        <v>276</v>
      </c>
      <c r="J41" s="129" t="e">
        <f>VLOOKUP(G41,'BASE PASAJEROS'!A:E,5,FALSE)</f>
        <v>#N/A</v>
      </c>
      <c r="K41" s="128" t="e">
        <f>VLOOKUP(G41,'BASE PASAJEROS'!A:B,2,FALSE)</f>
        <v>#N/A</v>
      </c>
      <c r="L41" s="128" t="s">
        <v>316</v>
      </c>
      <c r="M41" s="128" t="e">
        <f>VLOOKUP(G41,'BASE PASAJEROS'!A:H,8,FALSE)</f>
        <v>#N/A</v>
      </c>
      <c r="N41" s="128"/>
      <c r="O41" s="128"/>
      <c r="P41" s="128" t="e">
        <f>VLOOKUP(G41,'BASE PASAJEROS'!A:F,6,FALSE)</f>
        <v>#N/A</v>
      </c>
      <c r="Q41" s="128" t="e">
        <f>VLOOKUP(G41,'BASE PASAJEROS'!A:C,3,FALSE)</f>
        <v>#N/A</v>
      </c>
      <c r="R41" s="128" t="e">
        <f>VLOOKUP(G41,'BASE PASAJEROS'!A:G,7,FALSE)</f>
        <v>#N/A</v>
      </c>
      <c r="S41" s="128" t="e">
        <f>+Q41</f>
        <v>#N/A</v>
      </c>
      <c r="T41" s="128" t="s">
        <v>320</v>
      </c>
      <c r="U41" s="130" t="e">
        <f>VLOOKUP(G41,'BASE PASAJEROS'!A:AG,33,FALSE)</f>
        <v>#N/A</v>
      </c>
      <c r="V41" s="130" t="e">
        <f>VLOOKUP(G41,'BASE PASAJEROS'!A:AH,34,FALSE)</f>
        <v>#N/A</v>
      </c>
      <c r="W41" s="128"/>
      <c r="X41" s="142" t="s">
        <v>306</v>
      </c>
      <c r="Y41" s="128" t="s">
        <v>27</v>
      </c>
      <c r="Z41" s="128" t="s">
        <v>26</v>
      </c>
      <c r="AA41" s="128" t="s">
        <v>317</v>
      </c>
      <c r="AB41" s="128" t="e">
        <f>VLOOKUP(AA41,'BASE BANCOS'!$A$2:$D$202,3,FALSE)</f>
        <v>#N/A</v>
      </c>
      <c r="AC41" s="128" t="s">
        <v>318</v>
      </c>
      <c r="AD41" s="129" t="e">
        <f>VLOOKUP(AC41,'BASE CONDUCTORES'!E:G,3,FALSE)</f>
        <v>#N/A</v>
      </c>
      <c r="AE41" s="93"/>
      <c r="AF41" s="92"/>
      <c r="AG41" s="92"/>
      <c r="AH41" s="92">
        <f t="shared" si="0"/>
        <v>0</v>
      </c>
      <c r="AI41" s="92" t="e">
        <f>VLOOKUP(G41,[4]Hoja1!$T:$AL,19,FALSE)</f>
        <v>#N/A</v>
      </c>
      <c r="AJ41" s="84"/>
      <c r="AK41" s="128"/>
      <c r="AL41" s="128"/>
      <c r="AM41" s="128"/>
      <c r="AN41" s="131">
        <f t="shared" si="1"/>
        <v>0</v>
      </c>
      <c r="AO41" s="131">
        <f t="shared" si="4"/>
        <v>0</v>
      </c>
      <c r="AP41" s="131" t="e">
        <f t="shared" si="4"/>
        <v>#N/A</v>
      </c>
      <c r="AU41" s="132"/>
      <c r="AV41" s="133"/>
      <c r="AW41" s="134"/>
      <c r="AX41" s="134">
        <f t="shared" si="3"/>
        <v>0</v>
      </c>
    </row>
    <row r="42" spans="1:52" s="124" customFormat="1" x14ac:dyDescent="0.25">
      <c r="A42" s="128" t="s">
        <v>267</v>
      </c>
      <c r="B42" s="127">
        <v>44319</v>
      </c>
      <c r="C42" s="127">
        <v>44320</v>
      </c>
      <c r="D42" s="128" t="s">
        <v>269</v>
      </c>
      <c r="E42" s="128" t="s">
        <v>33</v>
      </c>
      <c r="F42" s="124">
        <v>1</v>
      </c>
      <c r="G42" s="144" t="s">
        <v>277</v>
      </c>
      <c r="J42" s="129" t="e">
        <f>VLOOKUP(G42,'BASE PASAJEROS'!A:E,5,FALSE)</f>
        <v>#N/A</v>
      </c>
      <c r="K42" s="128" t="e">
        <f>VLOOKUP(G42,'BASE PASAJEROS'!A:B,2,FALSE)</f>
        <v>#N/A</v>
      </c>
      <c r="L42" s="128" t="s">
        <v>316</v>
      </c>
      <c r="M42" s="128" t="e">
        <f>VLOOKUP(G42,'BASE PASAJEROS'!A:H,8,FALSE)</f>
        <v>#N/A</v>
      </c>
      <c r="N42" s="128"/>
      <c r="O42" s="128"/>
      <c r="P42" s="128" t="e">
        <f>VLOOKUP(G42,'BASE PASAJEROS'!A:F,6,FALSE)</f>
        <v>#N/A</v>
      </c>
      <c r="Q42" s="128" t="e">
        <f>VLOOKUP(G42,'BASE PASAJEROS'!A:C,3,FALSE)</f>
        <v>#N/A</v>
      </c>
      <c r="R42" s="128" t="e">
        <f>VLOOKUP(G42,'BASE PASAJEROS'!A:G,7,FALSE)</f>
        <v>#N/A</v>
      </c>
      <c r="S42" s="128" t="e">
        <f>+Q42</f>
        <v>#N/A</v>
      </c>
      <c r="T42" s="128" t="s">
        <v>320</v>
      </c>
      <c r="U42" s="130" t="e">
        <f>VLOOKUP(G42,'BASE PASAJEROS'!A:AG,33,FALSE)</f>
        <v>#N/A</v>
      </c>
      <c r="V42" s="130" t="e">
        <f>VLOOKUP(G42,'BASE PASAJEROS'!A:AH,34,FALSE)</f>
        <v>#N/A</v>
      </c>
      <c r="W42" s="128"/>
      <c r="X42" s="142" t="s">
        <v>308</v>
      </c>
      <c r="Y42" s="128" t="s">
        <v>32</v>
      </c>
      <c r="Z42" s="128" t="s">
        <v>31</v>
      </c>
      <c r="AA42" s="128" t="s">
        <v>317</v>
      </c>
      <c r="AB42" s="128" t="e">
        <f>VLOOKUP(AA42,'BASE BANCOS'!$A$2:$D$202,3,FALSE)</f>
        <v>#N/A</v>
      </c>
      <c r="AC42" s="128" t="s">
        <v>318</v>
      </c>
      <c r="AD42" s="129" t="e">
        <f>VLOOKUP(AC42,'BASE CONDUCTORES'!E:G,3,FALSE)</f>
        <v>#N/A</v>
      </c>
      <c r="AE42" s="93"/>
      <c r="AF42" s="92"/>
      <c r="AG42" s="92"/>
      <c r="AH42" s="92">
        <f t="shared" si="0"/>
        <v>0</v>
      </c>
      <c r="AI42" s="92" t="e">
        <f>VLOOKUP(G42,[4]Hoja1!$T:$AL,19,FALSE)</f>
        <v>#N/A</v>
      </c>
      <c r="AJ42" s="84"/>
      <c r="AK42" s="128"/>
      <c r="AL42" s="128"/>
      <c r="AM42" s="128"/>
      <c r="AN42" s="131">
        <f t="shared" si="1"/>
        <v>0</v>
      </c>
      <c r="AO42" s="131">
        <f t="shared" si="4"/>
        <v>0</v>
      </c>
      <c r="AP42" s="131" t="e">
        <f t="shared" si="4"/>
        <v>#N/A</v>
      </c>
      <c r="AU42" s="132"/>
      <c r="AV42" s="133"/>
      <c r="AW42" s="134"/>
      <c r="AX42" s="134">
        <f t="shared" si="3"/>
        <v>0</v>
      </c>
    </row>
    <row r="43" spans="1:52" s="124" customFormat="1" x14ac:dyDescent="0.25">
      <c r="A43" s="128" t="s">
        <v>267</v>
      </c>
      <c r="B43" s="127">
        <v>44319</v>
      </c>
      <c r="C43" s="127">
        <v>44320</v>
      </c>
      <c r="D43" s="128" t="s">
        <v>269</v>
      </c>
      <c r="E43" s="128" t="s">
        <v>33</v>
      </c>
      <c r="F43" s="124">
        <v>1</v>
      </c>
      <c r="G43" s="144" t="s">
        <v>278</v>
      </c>
      <c r="J43" s="129" t="e">
        <f>VLOOKUP(G43,'BASE PASAJEROS'!A:E,5,FALSE)</f>
        <v>#N/A</v>
      </c>
      <c r="K43" s="128" t="e">
        <f>VLOOKUP(G43,'BASE PASAJEROS'!A:B,2,FALSE)</f>
        <v>#N/A</v>
      </c>
      <c r="L43" s="128" t="s">
        <v>316</v>
      </c>
      <c r="M43" s="128" t="e">
        <f>VLOOKUP(G43,'BASE PASAJEROS'!A:H,8,FALSE)</f>
        <v>#N/A</v>
      </c>
      <c r="N43" s="128"/>
      <c r="O43" s="128"/>
      <c r="P43" s="128" t="e">
        <f>VLOOKUP(G43,'BASE PASAJEROS'!A:F,6,FALSE)</f>
        <v>#N/A</v>
      </c>
      <c r="Q43" s="128" t="e">
        <f>VLOOKUP(G43,'BASE PASAJEROS'!A:C,3,FALSE)</f>
        <v>#N/A</v>
      </c>
      <c r="R43" s="128" t="e">
        <f>VLOOKUP(G43,'BASE PASAJEROS'!A:G,7,FALSE)</f>
        <v>#N/A</v>
      </c>
      <c r="S43" s="128" t="e">
        <f>+Q43</f>
        <v>#N/A</v>
      </c>
      <c r="T43" s="128" t="s">
        <v>320</v>
      </c>
      <c r="U43" s="130" t="e">
        <f>VLOOKUP(G43,'BASE PASAJEROS'!A:AG,33,FALSE)</f>
        <v>#N/A</v>
      </c>
      <c r="V43" s="130" t="e">
        <f>VLOOKUP(G43,'BASE PASAJEROS'!A:AH,34,FALSE)</f>
        <v>#N/A</v>
      </c>
      <c r="W43" s="128"/>
      <c r="X43" s="142" t="s">
        <v>307</v>
      </c>
      <c r="Y43" s="128" t="s">
        <v>38</v>
      </c>
      <c r="Z43" s="128" t="s">
        <v>43</v>
      </c>
      <c r="AA43" s="128" t="s">
        <v>317</v>
      </c>
      <c r="AB43" s="128" t="e">
        <f>VLOOKUP(AA43,'BASE BANCOS'!$A$2:$D$202,3,FALSE)</f>
        <v>#N/A</v>
      </c>
      <c r="AC43" s="128" t="s">
        <v>318</v>
      </c>
      <c r="AD43" s="129" t="e">
        <f>VLOOKUP(AC43,'BASE CONDUCTORES'!E:G,3,FALSE)</f>
        <v>#N/A</v>
      </c>
      <c r="AE43" s="93"/>
      <c r="AF43" s="92"/>
      <c r="AG43" s="92"/>
      <c r="AH43" s="92">
        <f t="shared" si="0"/>
        <v>0</v>
      </c>
      <c r="AI43" s="92" t="e">
        <f>VLOOKUP(G43,[4]Hoja1!$T:$AL,19,FALSE)</f>
        <v>#N/A</v>
      </c>
      <c r="AJ43" s="84"/>
      <c r="AK43" s="128"/>
      <c r="AL43" s="128"/>
      <c r="AM43" s="128"/>
      <c r="AN43" s="131">
        <f t="shared" si="1"/>
        <v>0</v>
      </c>
      <c r="AO43" s="131">
        <f t="shared" si="4"/>
        <v>0</v>
      </c>
      <c r="AP43" s="131" t="e">
        <f t="shared" si="4"/>
        <v>#N/A</v>
      </c>
      <c r="AU43" s="132"/>
      <c r="AV43" s="133"/>
      <c r="AW43" s="134"/>
      <c r="AX43" s="134">
        <f t="shared" si="3"/>
        <v>0</v>
      </c>
    </row>
    <row r="44" spans="1:52" s="124" customFormat="1" x14ac:dyDescent="0.25">
      <c r="A44" s="128" t="s">
        <v>267</v>
      </c>
      <c r="B44" s="127">
        <v>44319</v>
      </c>
      <c r="C44" s="127">
        <v>44320</v>
      </c>
      <c r="D44" s="128" t="s">
        <v>269</v>
      </c>
      <c r="E44" s="128" t="s">
        <v>33</v>
      </c>
      <c r="F44" s="124">
        <v>1</v>
      </c>
      <c r="G44" s="144" t="s">
        <v>279</v>
      </c>
      <c r="J44" s="129" t="e">
        <f>VLOOKUP(G44,'BASE PASAJEROS'!A:E,5,FALSE)</f>
        <v>#N/A</v>
      </c>
      <c r="K44" s="128" t="e">
        <f>VLOOKUP(G44,'BASE PASAJEROS'!A:B,2,FALSE)</f>
        <v>#N/A</v>
      </c>
      <c r="L44" s="128" t="s">
        <v>316</v>
      </c>
      <c r="M44" s="128" t="e">
        <f>VLOOKUP(G44,'BASE PASAJEROS'!A:H,8,FALSE)</f>
        <v>#N/A</v>
      </c>
      <c r="N44" s="128"/>
      <c r="O44" s="128"/>
      <c r="P44" s="128" t="e">
        <f>VLOOKUP(G44,'BASE PASAJEROS'!A:F,6,FALSE)</f>
        <v>#N/A</v>
      </c>
      <c r="Q44" s="128" t="e">
        <f>VLOOKUP(G44,'BASE PASAJEROS'!A:C,3,FALSE)</f>
        <v>#N/A</v>
      </c>
      <c r="R44" s="128" t="e">
        <f>VLOOKUP(G44,'BASE PASAJEROS'!A:G,7,FALSE)</f>
        <v>#N/A</v>
      </c>
      <c r="S44" s="128" t="e">
        <f t="shared" ref="S44:S52" si="5">+Q44</f>
        <v>#N/A</v>
      </c>
      <c r="T44" s="128" t="s">
        <v>320</v>
      </c>
      <c r="U44" s="130" t="e">
        <f>VLOOKUP(G44,'BASE PASAJEROS'!A:AG,33,FALSE)</f>
        <v>#N/A</v>
      </c>
      <c r="V44" s="130" t="e">
        <f>VLOOKUP(G44,'BASE PASAJEROS'!A:AH,34,FALSE)</f>
        <v>#N/A</v>
      </c>
      <c r="W44" s="128"/>
      <c r="X44" s="142" t="s">
        <v>307</v>
      </c>
      <c r="Y44" s="128" t="s">
        <v>38</v>
      </c>
      <c r="Z44" s="128" t="s">
        <v>43</v>
      </c>
      <c r="AA44" s="128" t="s">
        <v>317</v>
      </c>
      <c r="AB44" s="128" t="e">
        <f>VLOOKUP(AA44,'BASE BANCOS'!$A$2:$D$202,3,FALSE)</f>
        <v>#N/A</v>
      </c>
      <c r="AC44" s="128" t="s">
        <v>318</v>
      </c>
      <c r="AD44" s="129" t="e">
        <f>VLOOKUP(AC44,'BASE CONDUCTORES'!E:G,3,FALSE)</f>
        <v>#N/A</v>
      </c>
      <c r="AE44" s="93"/>
      <c r="AF44" s="92"/>
      <c r="AG44" s="92"/>
      <c r="AH44" s="92">
        <f t="shared" si="0"/>
        <v>0</v>
      </c>
      <c r="AI44" s="92" t="e">
        <f>VLOOKUP(G44,[4]Hoja1!$T:$AL,19,FALSE)</f>
        <v>#N/A</v>
      </c>
      <c r="AJ44" s="84"/>
      <c r="AK44" s="128"/>
      <c r="AL44" s="128"/>
      <c r="AM44" s="128"/>
      <c r="AN44" s="131">
        <f t="shared" si="1"/>
        <v>0</v>
      </c>
      <c r="AO44" s="131">
        <f t="shared" si="4"/>
        <v>0</v>
      </c>
      <c r="AP44" s="131" t="e">
        <f t="shared" si="4"/>
        <v>#N/A</v>
      </c>
      <c r="AU44" s="132"/>
      <c r="AV44" s="133"/>
      <c r="AW44" s="134"/>
      <c r="AX44" s="134">
        <f t="shared" si="3"/>
        <v>0</v>
      </c>
    </row>
    <row r="45" spans="1:52" s="124" customFormat="1" x14ac:dyDescent="0.25">
      <c r="A45" s="128" t="s">
        <v>267</v>
      </c>
      <c r="B45" s="127">
        <v>44319</v>
      </c>
      <c r="C45" s="127">
        <v>44320</v>
      </c>
      <c r="D45" s="128" t="s">
        <v>269</v>
      </c>
      <c r="E45" s="128" t="s">
        <v>33</v>
      </c>
      <c r="F45" s="124">
        <v>1</v>
      </c>
      <c r="G45" s="144" t="s">
        <v>280</v>
      </c>
      <c r="J45" s="129" t="e">
        <f>VLOOKUP(G45,'BASE PASAJEROS'!A:E,5,FALSE)</f>
        <v>#N/A</v>
      </c>
      <c r="K45" s="128" t="e">
        <f>VLOOKUP(G45,'BASE PASAJEROS'!A:B,2,FALSE)</f>
        <v>#N/A</v>
      </c>
      <c r="L45" s="128" t="s">
        <v>316</v>
      </c>
      <c r="M45" s="128" t="e">
        <f>VLOOKUP(G45,'BASE PASAJEROS'!A:H,8,FALSE)</f>
        <v>#N/A</v>
      </c>
      <c r="N45" s="128"/>
      <c r="O45" s="128"/>
      <c r="P45" s="128" t="e">
        <f>VLOOKUP(G45,'BASE PASAJEROS'!A:F,6,FALSE)</f>
        <v>#N/A</v>
      </c>
      <c r="Q45" s="128" t="e">
        <f>VLOOKUP(G45,'BASE PASAJEROS'!A:C,3,FALSE)</f>
        <v>#N/A</v>
      </c>
      <c r="R45" s="128" t="e">
        <f>VLOOKUP(G45,'BASE PASAJEROS'!A:G,7,FALSE)</f>
        <v>#N/A</v>
      </c>
      <c r="S45" s="128" t="e">
        <f t="shared" si="5"/>
        <v>#N/A</v>
      </c>
      <c r="T45" s="128" t="s">
        <v>320</v>
      </c>
      <c r="U45" s="130" t="e">
        <f>VLOOKUP(G45,'BASE PASAJEROS'!A:AG,33,FALSE)</f>
        <v>#N/A</v>
      </c>
      <c r="V45" s="130" t="e">
        <f>VLOOKUP(G45,'BASE PASAJEROS'!A:AH,34,FALSE)</f>
        <v>#N/A</v>
      </c>
      <c r="W45" s="128"/>
      <c r="X45" s="142" t="s">
        <v>308</v>
      </c>
      <c r="Y45" s="128" t="s">
        <v>32</v>
      </c>
      <c r="Z45" s="128" t="s">
        <v>31</v>
      </c>
      <c r="AA45" s="128" t="s">
        <v>317</v>
      </c>
      <c r="AB45" s="128" t="e">
        <f>VLOOKUP(AA45,'BASE BANCOS'!$A$2:$D$202,3,FALSE)</f>
        <v>#N/A</v>
      </c>
      <c r="AC45" s="128" t="s">
        <v>318</v>
      </c>
      <c r="AD45" s="129" t="e">
        <f>VLOOKUP(AC45,'BASE CONDUCTORES'!E:G,3,FALSE)</f>
        <v>#N/A</v>
      </c>
      <c r="AE45" s="93"/>
      <c r="AF45" s="92"/>
      <c r="AG45" s="92"/>
      <c r="AH45" s="92">
        <f t="shared" si="0"/>
        <v>0</v>
      </c>
      <c r="AI45" s="92" t="e">
        <f>VLOOKUP(G45,[4]Hoja1!$T:$AL,19,FALSE)</f>
        <v>#N/A</v>
      </c>
      <c r="AJ45" s="84"/>
      <c r="AK45" s="128"/>
      <c r="AL45" s="128"/>
      <c r="AM45" s="128"/>
      <c r="AN45" s="131">
        <f t="shared" si="1"/>
        <v>0</v>
      </c>
      <c r="AO45" s="131">
        <f t="shared" si="4"/>
        <v>0</v>
      </c>
      <c r="AP45" s="131" t="e">
        <f t="shared" si="4"/>
        <v>#N/A</v>
      </c>
      <c r="AU45" s="132"/>
      <c r="AV45" s="133"/>
      <c r="AW45" s="134"/>
      <c r="AX45" s="134">
        <f t="shared" si="3"/>
        <v>0</v>
      </c>
    </row>
    <row r="46" spans="1:52" s="124" customFormat="1" x14ac:dyDescent="0.25">
      <c r="A46" s="128" t="s">
        <v>267</v>
      </c>
      <c r="B46" s="127">
        <v>44319</v>
      </c>
      <c r="C46" s="127">
        <v>44320</v>
      </c>
      <c r="D46" s="128" t="s">
        <v>269</v>
      </c>
      <c r="E46" s="128" t="s">
        <v>33</v>
      </c>
      <c r="F46" s="124">
        <v>1</v>
      </c>
      <c r="G46" s="144" t="s">
        <v>281</v>
      </c>
      <c r="J46" s="129" t="e">
        <f>VLOOKUP(G46,'BASE PASAJEROS'!A:E,5,FALSE)</f>
        <v>#N/A</v>
      </c>
      <c r="K46" s="128" t="e">
        <f>VLOOKUP(G46,'BASE PASAJEROS'!A:B,2,FALSE)</f>
        <v>#N/A</v>
      </c>
      <c r="L46" s="128" t="s">
        <v>316</v>
      </c>
      <c r="M46" s="128" t="e">
        <f>VLOOKUP(G46,'BASE PASAJEROS'!A:H,8,FALSE)</f>
        <v>#N/A</v>
      </c>
      <c r="N46" s="128"/>
      <c r="O46" s="128"/>
      <c r="P46" s="128" t="e">
        <f>VLOOKUP(G46,'BASE PASAJEROS'!A:F,6,FALSE)</f>
        <v>#N/A</v>
      </c>
      <c r="Q46" s="128" t="e">
        <f>VLOOKUP(G46,'BASE PASAJEROS'!A:C,3,FALSE)</f>
        <v>#N/A</v>
      </c>
      <c r="R46" s="128" t="e">
        <f>VLOOKUP(G46,'BASE PASAJEROS'!A:G,7,FALSE)</f>
        <v>#N/A</v>
      </c>
      <c r="S46" s="128" t="e">
        <f t="shared" si="5"/>
        <v>#N/A</v>
      </c>
      <c r="T46" s="128" t="s">
        <v>320</v>
      </c>
      <c r="U46" s="130" t="e">
        <f>VLOOKUP(G46,'BASE PASAJEROS'!A:AG,33,FALSE)</f>
        <v>#N/A</v>
      </c>
      <c r="V46" s="130" t="e">
        <f>VLOOKUP(G46,'BASE PASAJEROS'!A:AH,34,FALSE)</f>
        <v>#N/A</v>
      </c>
      <c r="W46" s="128"/>
      <c r="X46" s="142" t="s">
        <v>307</v>
      </c>
      <c r="Y46" s="128" t="s">
        <v>38</v>
      </c>
      <c r="Z46" s="128" t="s">
        <v>43</v>
      </c>
      <c r="AA46" s="128" t="s">
        <v>317</v>
      </c>
      <c r="AB46" s="128" t="e">
        <f>VLOOKUP(AA46,'BASE BANCOS'!$A$2:$D$202,3,FALSE)</f>
        <v>#N/A</v>
      </c>
      <c r="AC46" s="128" t="s">
        <v>318</v>
      </c>
      <c r="AD46" s="129" t="e">
        <f>VLOOKUP(AC46,'BASE CONDUCTORES'!E:G,3,FALSE)</f>
        <v>#N/A</v>
      </c>
      <c r="AE46" s="93"/>
      <c r="AF46" s="92"/>
      <c r="AG46" s="92"/>
      <c r="AH46" s="92">
        <f t="shared" si="0"/>
        <v>0</v>
      </c>
      <c r="AI46" s="92" t="e">
        <f>VLOOKUP(G46,[4]Hoja1!$T:$AL,19,FALSE)</f>
        <v>#N/A</v>
      </c>
      <c r="AJ46" s="84"/>
      <c r="AK46" s="128"/>
      <c r="AL46" s="128"/>
      <c r="AM46" s="128"/>
      <c r="AN46" s="131">
        <f t="shared" si="1"/>
        <v>0</v>
      </c>
      <c r="AO46" s="131">
        <f t="shared" si="4"/>
        <v>0</v>
      </c>
      <c r="AP46" s="131" t="e">
        <f t="shared" si="4"/>
        <v>#N/A</v>
      </c>
      <c r="AU46" s="132"/>
      <c r="AV46" s="133"/>
      <c r="AW46" s="134"/>
      <c r="AX46" s="134">
        <f t="shared" si="3"/>
        <v>0</v>
      </c>
    </row>
    <row r="47" spans="1:52" s="124" customFormat="1" x14ac:dyDescent="0.25">
      <c r="A47" s="128" t="s">
        <v>267</v>
      </c>
      <c r="B47" s="127">
        <v>44319</v>
      </c>
      <c r="C47" s="127">
        <v>44320</v>
      </c>
      <c r="D47" s="128" t="s">
        <v>269</v>
      </c>
      <c r="E47" s="128" t="s">
        <v>33</v>
      </c>
      <c r="F47" s="124">
        <v>1</v>
      </c>
      <c r="G47" s="144" t="s">
        <v>282</v>
      </c>
      <c r="J47" s="129" t="e">
        <f>VLOOKUP(G47,'BASE PASAJEROS'!A:E,5,FALSE)</f>
        <v>#N/A</v>
      </c>
      <c r="K47" s="128" t="e">
        <f>VLOOKUP(G47,'BASE PASAJEROS'!A:B,2,FALSE)</f>
        <v>#N/A</v>
      </c>
      <c r="L47" s="128" t="s">
        <v>316</v>
      </c>
      <c r="M47" s="128" t="e">
        <f>VLOOKUP(G47,'BASE PASAJEROS'!A:H,8,FALSE)</f>
        <v>#N/A</v>
      </c>
      <c r="N47" s="128"/>
      <c r="O47" s="128"/>
      <c r="P47" s="128" t="e">
        <f>VLOOKUP(G47,'BASE PASAJEROS'!A:F,6,FALSE)</f>
        <v>#N/A</v>
      </c>
      <c r="Q47" s="128" t="e">
        <f>VLOOKUP(G47,'BASE PASAJEROS'!A:C,3,FALSE)</f>
        <v>#N/A</v>
      </c>
      <c r="R47" s="128" t="e">
        <f>VLOOKUP(G47,'BASE PASAJEROS'!A:G,7,FALSE)</f>
        <v>#N/A</v>
      </c>
      <c r="S47" s="128" t="e">
        <f t="shared" si="5"/>
        <v>#N/A</v>
      </c>
      <c r="T47" s="128" t="s">
        <v>320</v>
      </c>
      <c r="U47" s="130" t="e">
        <f>VLOOKUP(G47,'BASE PASAJEROS'!A:AG,33,FALSE)</f>
        <v>#N/A</v>
      </c>
      <c r="V47" s="130" t="e">
        <f>VLOOKUP(G47,'BASE PASAJEROS'!A:AH,34,FALSE)</f>
        <v>#N/A</v>
      </c>
      <c r="W47" s="128"/>
      <c r="X47" s="142" t="s">
        <v>308</v>
      </c>
      <c r="Y47" s="128" t="s">
        <v>32</v>
      </c>
      <c r="Z47" s="128" t="s">
        <v>31</v>
      </c>
      <c r="AA47" s="128" t="s">
        <v>317</v>
      </c>
      <c r="AB47" s="128" t="e">
        <f>VLOOKUP(AA47,'BASE BANCOS'!$A$2:$D$202,3,FALSE)</f>
        <v>#N/A</v>
      </c>
      <c r="AC47" s="128" t="s">
        <v>318</v>
      </c>
      <c r="AD47" s="129" t="e">
        <f>VLOOKUP(AC47,'BASE CONDUCTORES'!E:G,3,FALSE)</f>
        <v>#N/A</v>
      </c>
      <c r="AE47" s="93"/>
      <c r="AF47" s="92"/>
      <c r="AG47" s="92"/>
      <c r="AH47" s="92">
        <f t="shared" ref="AH47:AH76" si="6">+AF47-AG47</f>
        <v>0</v>
      </c>
      <c r="AI47" s="92" t="e">
        <f>VLOOKUP(G47,[4]Hoja1!$T:$AL,19,FALSE)</f>
        <v>#N/A</v>
      </c>
      <c r="AJ47" s="84"/>
      <c r="AK47" s="128"/>
      <c r="AL47" s="128"/>
      <c r="AM47" s="128"/>
      <c r="AN47" s="131">
        <f t="shared" ref="AN47:AN76" si="7">+AM47*1.5</f>
        <v>0</v>
      </c>
      <c r="AO47" s="131">
        <f t="shared" si="4"/>
        <v>0</v>
      </c>
      <c r="AP47" s="131" t="e">
        <f t="shared" si="4"/>
        <v>#N/A</v>
      </c>
      <c r="AU47" s="132"/>
      <c r="AV47" s="133"/>
      <c r="AW47" s="134"/>
      <c r="AX47" s="134">
        <f t="shared" ref="AX47:AX76" si="8">AO47-AW47</f>
        <v>0</v>
      </c>
    </row>
    <row r="48" spans="1:52" s="124" customFormat="1" x14ac:dyDescent="0.25">
      <c r="A48" s="128" t="s">
        <v>267</v>
      </c>
      <c r="B48" s="127">
        <v>44319</v>
      </c>
      <c r="C48" s="127">
        <v>44320</v>
      </c>
      <c r="D48" s="128" t="s">
        <v>269</v>
      </c>
      <c r="E48" s="128" t="s">
        <v>33</v>
      </c>
      <c r="F48" s="124">
        <v>1</v>
      </c>
      <c r="G48" s="144" t="s">
        <v>283</v>
      </c>
      <c r="J48" s="129" t="e">
        <f>VLOOKUP(G48,'BASE PASAJEROS'!A:E,5,FALSE)</f>
        <v>#N/A</v>
      </c>
      <c r="K48" s="128" t="e">
        <f>VLOOKUP(G48,'BASE PASAJEROS'!A:B,2,FALSE)</f>
        <v>#N/A</v>
      </c>
      <c r="L48" s="128" t="s">
        <v>316</v>
      </c>
      <c r="M48" s="128" t="e">
        <f>VLOOKUP(G48,'BASE PASAJEROS'!A:H,8,FALSE)</f>
        <v>#N/A</v>
      </c>
      <c r="N48" s="128"/>
      <c r="O48" s="128"/>
      <c r="P48" s="128" t="e">
        <f>VLOOKUP(G48,'BASE PASAJEROS'!A:F,6,FALSE)</f>
        <v>#N/A</v>
      </c>
      <c r="Q48" s="128" t="e">
        <f>VLOOKUP(G48,'BASE PASAJEROS'!A:C,3,FALSE)</f>
        <v>#N/A</v>
      </c>
      <c r="R48" s="128" t="e">
        <f>VLOOKUP(G48,'BASE PASAJEROS'!A:G,7,FALSE)</f>
        <v>#N/A</v>
      </c>
      <c r="S48" s="128" t="e">
        <f t="shared" si="5"/>
        <v>#N/A</v>
      </c>
      <c r="T48" s="128" t="s">
        <v>320</v>
      </c>
      <c r="U48" s="130" t="e">
        <f>VLOOKUP(G48,'BASE PASAJEROS'!A:AG,33,FALSE)</f>
        <v>#N/A</v>
      </c>
      <c r="V48" s="130" t="e">
        <f>VLOOKUP(G48,'BASE PASAJEROS'!A:AH,34,FALSE)</f>
        <v>#N/A</v>
      </c>
      <c r="W48" s="128"/>
      <c r="X48" s="142" t="s">
        <v>307</v>
      </c>
      <c r="Y48" s="128" t="s">
        <v>38</v>
      </c>
      <c r="Z48" s="128" t="s">
        <v>43</v>
      </c>
      <c r="AA48" s="128" t="s">
        <v>317</v>
      </c>
      <c r="AB48" s="128" t="e">
        <f>VLOOKUP(AA48,'BASE BANCOS'!$A$2:$D$202,3,FALSE)</f>
        <v>#N/A</v>
      </c>
      <c r="AC48" s="128" t="s">
        <v>318</v>
      </c>
      <c r="AD48" s="129" t="e">
        <f>VLOOKUP(AC48,'BASE CONDUCTORES'!E:G,3,FALSE)</f>
        <v>#N/A</v>
      </c>
      <c r="AE48" s="93"/>
      <c r="AF48" s="92"/>
      <c r="AG48" s="92"/>
      <c r="AH48" s="92">
        <f t="shared" si="6"/>
        <v>0</v>
      </c>
      <c r="AI48" s="92" t="e">
        <f>VLOOKUP(G48,[4]Hoja1!$T:$AL,19,FALSE)</f>
        <v>#N/A</v>
      </c>
      <c r="AJ48" s="84"/>
      <c r="AK48" s="128"/>
      <c r="AL48" s="128"/>
      <c r="AM48" s="128"/>
      <c r="AN48" s="131">
        <f t="shared" si="7"/>
        <v>0</v>
      </c>
      <c r="AO48" s="131">
        <f t="shared" si="4"/>
        <v>0</v>
      </c>
      <c r="AP48" s="131" t="e">
        <f t="shared" si="4"/>
        <v>#N/A</v>
      </c>
      <c r="AU48" s="132"/>
      <c r="AV48" s="133"/>
      <c r="AW48" s="134"/>
      <c r="AX48" s="134">
        <f t="shared" si="8"/>
        <v>0</v>
      </c>
    </row>
    <row r="49" spans="1:52" s="124" customFormat="1" x14ac:dyDescent="0.25">
      <c r="A49" s="128" t="s">
        <v>267</v>
      </c>
      <c r="B49" s="127">
        <v>44319</v>
      </c>
      <c r="C49" s="127">
        <v>44320</v>
      </c>
      <c r="D49" s="128" t="s">
        <v>269</v>
      </c>
      <c r="E49" s="128" t="s">
        <v>33</v>
      </c>
      <c r="F49" s="124">
        <v>1</v>
      </c>
      <c r="G49" s="144" t="s">
        <v>284</v>
      </c>
      <c r="J49" s="129" t="e">
        <f>VLOOKUP(G49,'BASE PASAJEROS'!A:E,5,FALSE)</f>
        <v>#N/A</v>
      </c>
      <c r="K49" s="128" t="e">
        <f>VLOOKUP(G49,'BASE PASAJEROS'!A:B,2,FALSE)</f>
        <v>#N/A</v>
      </c>
      <c r="L49" s="128" t="s">
        <v>316</v>
      </c>
      <c r="M49" s="128" t="e">
        <f>VLOOKUP(G49,'BASE PASAJEROS'!A:H,8,FALSE)</f>
        <v>#N/A</v>
      </c>
      <c r="N49" s="128"/>
      <c r="O49" s="128"/>
      <c r="P49" s="128" t="e">
        <f>VLOOKUP(G49,'BASE PASAJEROS'!A:F,6,FALSE)</f>
        <v>#N/A</v>
      </c>
      <c r="Q49" s="128" t="e">
        <f>VLOOKUP(G49,'BASE PASAJEROS'!A:C,3,FALSE)</f>
        <v>#N/A</v>
      </c>
      <c r="R49" s="128" t="e">
        <f>VLOOKUP(G49,'BASE PASAJEROS'!A:G,7,FALSE)</f>
        <v>#N/A</v>
      </c>
      <c r="S49" s="128" t="e">
        <f t="shared" si="5"/>
        <v>#N/A</v>
      </c>
      <c r="T49" s="128" t="s">
        <v>320</v>
      </c>
      <c r="U49" s="130" t="e">
        <f>VLOOKUP(G49,'BASE PASAJEROS'!A:AG,33,FALSE)</f>
        <v>#N/A</v>
      </c>
      <c r="V49" s="130" t="e">
        <f>VLOOKUP(G49,'BASE PASAJEROS'!A:AH,34,FALSE)</f>
        <v>#N/A</v>
      </c>
      <c r="W49" s="128"/>
      <c r="X49" s="142" t="s">
        <v>308</v>
      </c>
      <c r="Y49" s="128" t="s">
        <v>32</v>
      </c>
      <c r="Z49" s="128" t="s">
        <v>31</v>
      </c>
      <c r="AA49" s="128" t="s">
        <v>317</v>
      </c>
      <c r="AB49" s="128" t="e">
        <f>VLOOKUP(AA49,'BASE BANCOS'!$A$2:$D$202,3,FALSE)</f>
        <v>#N/A</v>
      </c>
      <c r="AC49" s="128" t="s">
        <v>318</v>
      </c>
      <c r="AD49" s="129" t="e">
        <f>VLOOKUP(AC49,'BASE CONDUCTORES'!E:G,3,FALSE)</f>
        <v>#N/A</v>
      </c>
      <c r="AE49" s="93"/>
      <c r="AF49" s="92"/>
      <c r="AG49" s="92"/>
      <c r="AH49" s="92">
        <f t="shared" si="6"/>
        <v>0</v>
      </c>
      <c r="AI49" s="92" t="e">
        <f>VLOOKUP(G49,[4]Hoja1!$T:$AL,19,FALSE)</f>
        <v>#N/A</v>
      </c>
      <c r="AJ49" s="84"/>
      <c r="AK49" s="128"/>
      <c r="AL49" s="128"/>
      <c r="AM49" s="128"/>
      <c r="AN49" s="131">
        <f t="shared" si="7"/>
        <v>0</v>
      </c>
      <c r="AO49" s="131">
        <f t="shared" si="4"/>
        <v>0</v>
      </c>
      <c r="AP49" s="131" t="e">
        <f t="shared" si="4"/>
        <v>#N/A</v>
      </c>
      <c r="AU49" s="132"/>
      <c r="AV49" s="133"/>
      <c r="AW49" s="134"/>
      <c r="AX49" s="134">
        <f t="shared" si="8"/>
        <v>0</v>
      </c>
    </row>
    <row r="50" spans="1:52" s="124" customFormat="1" x14ac:dyDescent="0.25">
      <c r="A50" s="128" t="s">
        <v>267</v>
      </c>
      <c r="B50" s="127">
        <v>44319</v>
      </c>
      <c r="C50" s="127">
        <v>44320</v>
      </c>
      <c r="D50" s="128" t="s">
        <v>269</v>
      </c>
      <c r="E50" s="128" t="s">
        <v>33</v>
      </c>
      <c r="F50" s="124">
        <v>1</v>
      </c>
      <c r="G50" s="144" t="s">
        <v>285</v>
      </c>
      <c r="J50" s="129" t="e">
        <f>VLOOKUP(G50,'BASE PASAJEROS'!A:E,5,FALSE)</f>
        <v>#N/A</v>
      </c>
      <c r="K50" s="128" t="e">
        <f>VLOOKUP(G50,'BASE PASAJEROS'!A:B,2,FALSE)</f>
        <v>#N/A</v>
      </c>
      <c r="L50" s="128" t="s">
        <v>316</v>
      </c>
      <c r="M50" s="128" t="e">
        <f>VLOOKUP(G50,'BASE PASAJEROS'!A:H,8,FALSE)</f>
        <v>#N/A</v>
      </c>
      <c r="N50" s="128"/>
      <c r="O50" s="128"/>
      <c r="P50" s="128" t="e">
        <f>VLOOKUP(G50,'BASE PASAJEROS'!A:F,6,FALSE)</f>
        <v>#N/A</v>
      </c>
      <c r="Q50" s="128" t="e">
        <f>VLOOKUP(G50,'BASE PASAJEROS'!A:C,3,FALSE)</f>
        <v>#N/A</v>
      </c>
      <c r="R50" s="128" t="e">
        <f>VLOOKUP(G50,'BASE PASAJEROS'!A:G,7,FALSE)</f>
        <v>#N/A</v>
      </c>
      <c r="S50" s="128" t="e">
        <f t="shared" si="5"/>
        <v>#N/A</v>
      </c>
      <c r="T50" s="128" t="s">
        <v>320</v>
      </c>
      <c r="U50" s="130" t="e">
        <f>VLOOKUP(G50,'BASE PASAJEROS'!A:AG,33,FALSE)</f>
        <v>#N/A</v>
      </c>
      <c r="V50" s="130" t="e">
        <f>VLOOKUP(G50,'BASE PASAJEROS'!A:AH,34,FALSE)</f>
        <v>#N/A</v>
      </c>
      <c r="W50" s="128"/>
      <c r="X50" s="142" t="s">
        <v>307</v>
      </c>
      <c r="Y50" s="128" t="s">
        <v>38</v>
      </c>
      <c r="Z50" s="128" t="s">
        <v>43</v>
      </c>
      <c r="AA50" s="128" t="s">
        <v>317</v>
      </c>
      <c r="AB50" s="128" t="e">
        <f>VLOOKUP(AA50,'BASE BANCOS'!$A$2:$D$202,3,FALSE)</f>
        <v>#N/A</v>
      </c>
      <c r="AC50" s="128" t="s">
        <v>318</v>
      </c>
      <c r="AD50" s="129" t="e">
        <f>VLOOKUP(AC50,'BASE CONDUCTORES'!E:G,3,FALSE)</f>
        <v>#N/A</v>
      </c>
      <c r="AE50" s="93"/>
      <c r="AF50" s="92"/>
      <c r="AG50" s="92"/>
      <c r="AH50" s="92">
        <f t="shared" si="6"/>
        <v>0</v>
      </c>
      <c r="AI50" s="92" t="e">
        <f>VLOOKUP(G50,[4]Hoja1!$T:$AL,19,FALSE)</f>
        <v>#N/A</v>
      </c>
      <c r="AJ50" s="84"/>
      <c r="AK50" s="128"/>
      <c r="AL50" s="128"/>
      <c r="AM50" s="128"/>
      <c r="AN50" s="131">
        <f t="shared" si="7"/>
        <v>0</v>
      </c>
      <c r="AO50" s="131">
        <f t="shared" si="4"/>
        <v>0</v>
      </c>
      <c r="AP50" s="131" t="e">
        <f t="shared" si="4"/>
        <v>#N/A</v>
      </c>
      <c r="AU50" s="132"/>
      <c r="AV50" s="133"/>
      <c r="AW50" s="134"/>
      <c r="AX50" s="134">
        <f t="shared" si="8"/>
        <v>0</v>
      </c>
    </row>
    <row r="51" spans="1:52" s="124" customFormat="1" x14ac:dyDescent="0.25">
      <c r="A51" s="128" t="s">
        <v>267</v>
      </c>
      <c r="B51" s="127">
        <v>44319</v>
      </c>
      <c r="C51" s="127">
        <v>44320</v>
      </c>
      <c r="D51" s="128" t="s">
        <v>269</v>
      </c>
      <c r="E51" s="128" t="s">
        <v>33</v>
      </c>
      <c r="F51" s="124">
        <v>1</v>
      </c>
      <c r="G51" s="144" t="s">
        <v>286</v>
      </c>
      <c r="J51" s="129" t="e">
        <f>VLOOKUP(G51,'BASE PASAJEROS'!A:E,5,FALSE)</f>
        <v>#N/A</v>
      </c>
      <c r="K51" s="128" t="e">
        <f>VLOOKUP(G51,'BASE PASAJEROS'!A:B,2,FALSE)</f>
        <v>#N/A</v>
      </c>
      <c r="L51" s="128" t="s">
        <v>316</v>
      </c>
      <c r="M51" s="128" t="e">
        <f>VLOOKUP(G51,'BASE PASAJEROS'!A:H,8,FALSE)</f>
        <v>#N/A</v>
      </c>
      <c r="N51" s="128"/>
      <c r="O51" s="128"/>
      <c r="P51" s="128" t="e">
        <f>VLOOKUP(G51,'BASE PASAJEROS'!A:F,6,FALSE)</f>
        <v>#N/A</v>
      </c>
      <c r="Q51" s="128" t="e">
        <f>VLOOKUP(G51,'BASE PASAJEROS'!A:C,3,FALSE)</f>
        <v>#N/A</v>
      </c>
      <c r="R51" s="128" t="e">
        <f>VLOOKUP(G51,'BASE PASAJEROS'!A:G,7,FALSE)</f>
        <v>#N/A</v>
      </c>
      <c r="S51" s="128" t="e">
        <f t="shared" si="5"/>
        <v>#N/A</v>
      </c>
      <c r="T51" s="128" t="s">
        <v>320</v>
      </c>
      <c r="U51" s="130" t="e">
        <f>VLOOKUP(G51,'BASE PASAJEROS'!A:AG,33,FALSE)</f>
        <v>#N/A</v>
      </c>
      <c r="V51" s="130" t="e">
        <f>VLOOKUP(G51,'BASE PASAJEROS'!A:AH,34,FALSE)</f>
        <v>#N/A</v>
      </c>
      <c r="W51" s="128"/>
      <c r="X51" s="142" t="s">
        <v>306</v>
      </c>
      <c r="Y51" s="128" t="s">
        <v>27</v>
      </c>
      <c r="Z51" s="128" t="s">
        <v>26</v>
      </c>
      <c r="AA51" s="128" t="s">
        <v>317</v>
      </c>
      <c r="AB51" s="128" t="e">
        <f>VLOOKUP(AA51,'BASE BANCOS'!$A$2:$D$202,3,FALSE)</f>
        <v>#N/A</v>
      </c>
      <c r="AC51" s="128" t="s">
        <v>318</v>
      </c>
      <c r="AD51" s="129" t="e">
        <f>VLOOKUP(AC51,'BASE CONDUCTORES'!E:G,3,FALSE)</f>
        <v>#N/A</v>
      </c>
      <c r="AE51" s="93"/>
      <c r="AF51" s="92"/>
      <c r="AG51" s="92"/>
      <c r="AH51" s="92">
        <f t="shared" si="6"/>
        <v>0</v>
      </c>
      <c r="AI51" s="92" t="e">
        <f>VLOOKUP(G51,[4]Hoja1!$T:$AL,19,FALSE)</f>
        <v>#N/A</v>
      </c>
      <c r="AJ51" s="84"/>
      <c r="AK51" s="128"/>
      <c r="AL51" s="128"/>
      <c r="AM51" s="128"/>
      <c r="AN51" s="131">
        <f t="shared" si="7"/>
        <v>0</v>
      </c>
      <c r="AO51" s="131">
        <f t="shared" si="4"/>
        <v>0</v>
      </c>
      <c r="AP51" s="131" t="e">
        <f t="shared" si="4"/>
        <v>#N/A</v>
      </c>
      <c r="AU51" s="132"/>
      <c r="AV51" s="133"/>
      <c r="AW51" s="134"/>
      <c r="AX51" s="134">
        <f t="shared" si="8"/>
        <v>0</v>
      </c>
    </row>
    <row r="52" spans="1:52" s="124" customFormat="1" x14ac:dyDescent="0.25">
      <c r="A52" s="128" t="s">
        <v>267</v>
      </c>
      <c r="B52" s="127">
        <v>44319</v>
      </c>
      <c r="C52" s="127">
        <v>44320</v>
      </c>
      <c r="D52" s="128" t="s">
        <v>269</v>
      </c>
      <c r="E52" s="128" t="s">
        <v>33</v>
      </c>
      <c r="F52" s="124">
        <v>1</v>
      </c>
      <c r="G52" s="144" t="s">
        <v>121</v>
      </c>
      <c r="J52" s="129" t="e">
        <f>VLOOKUP(G52,'BASE PASAJEROS'!A:E,5,FALSE)</f>
        <v>#N/A</v>
      </c>
      <c r="K52" s="128" t="e">
        <f>VLOOKUP(G52,'BASE PASAJEROS'!A:B,2,FALSE)</f>
        <v>#N/A</v>
      </c>
      <c r="L52" s="128" t="s">
        <v>316</v>
      </c>
      <c r="M52" s="128" t="e">
        <f>VLOOKUP(G52,'BASE PASAJEROS'!A:H,8,FALSE)</f>
        <v>#N/A</v>
      </c>
      <c r="N52" s="128"/>
      <c r="O52" s="128"/>
      <c r="P52" s="128" t="e">
        <f>VLOOKUP(G52,'BASE PASAJEROS'!A:F,6,FALSE)</f>
        <v>#N/A</v>
      </c>
      <c r="Q52" s="128" t="e">
        <f>VLOOKUP(G52,'BASE PASAJEROS'!A:C,3,FALSE)</f>
        <v>#N/A</v>
      </c>
      <c r="R52" s="128" t="e">
        <f>VLOOKUP(G52,'BASE PASAJEROS'!A:G,7,FALSE)</f>
        <v>#N/A</v>
      </c>
      <c r="S52" s="128" t="e">
        <f t="shared" si="5"/>
        <v>#N/A</v>
      </c>
      <c r="T52" s="128" t="s">
        <v>320</v>
      </c>
      <c r="U52" s="130" t="e">
        <f>VLOOKUP(G52,'BASE PASAJEROS'!A:AG,33,FALSE)</f>
        <v>#N/A</v>
      </c>
      <c r="V52" s="130" t="e">
        <f>VLOOKUP(G52,'BASE PASAJEROS'!A:AH,34,FALSE)</f>
        <v>#N/A</v>
      </c>
      <c r="W52" s="128"/>
      <c r="X52" s="142" t="s">
        <v>306</v>
      </c>
      <c r="Y52" s="128" t="s">
        <v>27</v>
      </c>
      <c r="Z52" s="128" t="s">
        <v>26</v>
      </c>
      <c r="AA52" s="128" t="s">
        <v>317</v>
      </c>
      <c r="AB52" s="128" t="e">
        <f>VLOOKUP(AA52,'BASE BANCOS'!$A$2:$D$202,3,FALSE)</f>
        <v>#N/A</v>
      </c>
      <c r="AC52" s="128" t="s">
        <v>318</v>
      </c>
      <c r="AD52" s="129" t="e">
        <f>VLOOKUP(AC52,'BASE CONDUCTORES'!E:G,3,FALSE)</f>
        <v>#N/A</v>
      </c>
      <c r="AE52" s="93"/>
      <c r="AF52" s="92"/>
      <c r="AG52" s="92"/>
      <c r="AH52" s="92">
        <f t="shared" si="6"/>
        <v>0</v>
      </c>
      <c r="AI52" s="92">
        <f>VLOOKUP(G52,[4]Hoja1!$T:$AL,19,FALSE)</f>
        <v>17460</v>
      </c>
      <c r="AJ52" s="84"/>
      <c r="AK52" s="128"/>
      <c r="AL52" s="128"/>
      <c r="AM52" s="128"/>
      <c r="AN52" s="131">
        <f t="shared" si="7"/>
        <v>0</v>
      </c>
      <c r="AO52" s="131">
        <f t="shared" si="4"/>
        <v>0</v>
      </c>
      <c r="AP52" s="131">
        <f t="shared" si="4"/>
        <v>17460</v>
      </c>
      <c r="AU52" s="132"/>
      <c r="AV52" s="133"/>
      <c r="AW52" s="134"/>
      <c r="AX52" s="134">
        <f t="shared" si="8"/>
        <v>0</v>
      </c>
    </row>
    <row r="53" spans="1:52" s="124" customFormat="1" x14ac:dyDescent="0.25">
      <c r="A53" s="128" t="s">
        <v>267</v>
      </c>
      <c r="B53" s="127">
        <v>44319</v>
      </c>
      <c r="C53" s="127">
        <v>44320</v>
      </c>
      <c r="D53" s="128" t="s">
        <v>269</v>
      </c>
      <c r="E53" s="128" t="s">
        <v>33</v>
      </c>
      <c r="F53" s="124">
        <v>1</v>
      </c>
      <c r="G53" s="144" t="s">
        <v>287</v>
      </c>
      <c r="J53" s="129" t="e">
        <f>VLOOKUP(G53,'BASE PASAJEROS'!A:E,5,FALSE)</f>
        <v>#N/A</v>
      </c>
      <c r="K53" s="128" t="e">
        <f>VLOOKUP(G53,'BASE PASAJEROS'!A:B,2,FALSE)</f>
        <v>#N/A</v>
      </c>
      <c r="L53" s="128" t="s">
        <v>316</v>
      </c>
      <c r="M53" s="128" t="e">
        <f>VLOOKUP(G53,'BASE PASAJEROS'!A:H,8,FALSE)</f>
        <v>#N/A</v>
      </c>
      <c r="N53" s="128"/>
      <c r="O53" s="128"/>
      <c r="P53" s="128" t="e">
        <f>VLOOKUP(G53,'BASE PASAJEROS'!A:F,6,FALSE)</f>
        <v>#N/A</v>
      </c>
      <c r="Q53" s="128" t="e">
        <f>VLOOKUP(G53,'BASE PASAJEROS'!A:C,3,FALSE)</f>
        <v>#N/A</v>
      </c>
      <c r="R53" s="128" t="e">
        <f>VLOOKUP(G53,'BASE PASAJEROS'!A:G,7,FALSE)</f>
        <v>#N/A</v>
      </c>
      <c r="S53" s="128"/>
      <c r="T53" s="128"/>
      <c r="U53" s="130" t="e">
        <f>VLOOKUP(G53,'BASE PASAJEROS'!A:AG,33,FALSE)</f>
        <v>#N/A</v>
      </c>
      <c r="V53" s="130" t="e">
        <f>VLOOKUP(G53,'BASE PASAJEROS'!A:AH,34,FALSE)</f>
        <v>#N/A</v>
      </c>
      <c r="W53" s="128"/>
      <c r="X53" s="145" t="s">
        <v>311</v>
      </c>
      <c r="Y53" s="128" t="s">
        <v>21</v>
      </c>
      <c r="Z53" s="128" t="s">
        <v>0</v>
      </c>
      <c r="AA53" s="128" t="s">
        <v>319</v>
      </c>
      <c r="AB53" s="128" t="e">
        <f>VLOOKUP(AA53,'BASE BANCOS'!$A$2:$D$202,3,FALSE)</f>
        <v>#N/A</v>
      </c>
      <c r="AC53" s="128"/>
      <c r="AD53" s="129" t="e">
        <f>VLOOKUP(AC53,'BASE CONDUCTORES'!E:G,3,FALSE)</f>
        <v>#N/A</v>
      </c>
      <c r="AE53" s="130"/>
      <c r="AF53" s="131"/>
      <c r="AG53" s="131"/>
      <c r="AH53" s="131">
        <f t="shared" si="6"/>
        <v>0</v>
      </c>
      <c r="AI53" s="131" t="e">
        <f>VLOOKUP(G53,[4]Hoja1!$T:$AL,19,FALSE)</f>
        <v>#N/A</v>
      </c>
      <c r="AJ53" s="128"/>
      <c r="AK53" s="128" t="s">
        <v>371</v>
      </c>
      <c r="AL53" s="128"/>
      <c r="AM53" s="128"/>
      <c r="AN53" s="131">
        <f t="shared" si="7"/>
        <v>0</v>
      </c>
      <c r="AO53" s="131">
        <f t="shared" si="4"/>
        <v>0</v>
      </c>
      <c r="AP53" s="131" t="e">
        <f t="shared" si="4"/>
        <v>#N/A</v>
      </c>
      <c r="AU53" s="132"/>
      <c r="AV53" s="133"/>
      <c r="AW53" s="134"/>
      <c r="AX53" s="134">
        <f t="shared" si="8"/>
        <v>0</v>
      </c>
      <c r="AY53" s="121"/>
      <c r="AZ53" s="121"/>
    </row>
    <row r="54" spans="1:52" s="124" customFormat="1" x14ac:dyDescent="0.25">
      <c r="A54" s="128" t="s">
        <v>267</v>
      </c>
      <c r="B54" s="127">
        <v>44319</v>
      </c>
      <c r="C54" s="127">
        <v>44320</v>
      </c>
      <c r="D54" s="128" t="s">
        <v>269</v>
      </c>
      <c r="E54" s="128" t="s">
        <v>33</v>
      </c>
      <c r="F54" s="124">
        <v>1</v>
      </c>
      <c r="G54" s="135" t="s">
        <v>321</v>
      </c>
      <c r="J54" s="129" t="e">
        <f>VLOOKUP(G54,'BASE PASAJEROS'!A:E,5,FALSE)</f>
        <v>#N/A</v>
      </c>
      <c r="K54" s="128" t="e">
        <f>VLOOKUP(G54,'BASE PASAJEROS'!A:B,2,FALSE)</f>
        <v>#N/A</v>
      </c>
      <c r="L54" s="128" t="s">
        <v>316</v>
      </c>
      <c r="M54" s="128" t="e">
        <f>VLOOKUP(G54,'BASE PASAJEROS'!A:H,8,FALSE)</f>
        <v>#N/A</v>
      </c>
      <c r="N54" s="128"/>
      <c r="O54" s="128"/>
      <c r="P54" s="128" t="e">
        <f>VLOOKUP(G54,'BASE PASAJEROS'!A:F,6,FALSE)</f>
        <v>#N/A</v>
      </c>
      <c r="Q54" s="128" t="e">
        <f>VLOOKUP(G54,'BASE PASAJEROS'!A:C,3,FALSE)</f>
        <v>#N/A</v>
      </c>
      <c r="R54" s="128" t="e">
        <f>VLOOKUP(G54,'BASE PASAJEROS'!A:G,7,FALSE)</f>
        <v>#N/A</v>
      </c>
      <c r="S54" s="128"/>
      <c r="T54" s="128"/>
      <c r="U54" s="130" t="e">
        <f>VLOOKUP(G54,'BASE PASAJEROS'!A:AG,33,FALSE)</f>
        <v>#N/A</v>
      </c>
      <c r="V54" s="130" t="e">
        <f>VLOOKUP(G54,'BASE PASAJEROS'!A:AH,34,FALSE)</f>
        <v>#N/A</v>
      </c>
      <c r="W54" s="128"/>
      <c r="X54" s="145" t="s">
        <v>312</v>
      </c>
      <c r="Y54" s="128" t="s">
        <v>21</v>
      </c>
      <c r="Z54" s="128" t="s">
        <v>0</v>
      </c>
      <c r="AA54" s="128" t="s">
        <v>319</v>
      </c>
      <c r="AB54" s="128" t="e">
        <f>VLOOKUP(AA54,'BASE BANCOS'!$A$2:$D$202,3,FALSE)</f>
        <v>#N/A</v>
      </c>
      <c r="AC54" s="128"/>
      <c r="AD54" s="129" t="e">
        <f>VLOOKUP(AC54,'BASE CONDUCTORES'!E:G,3,FALSE)</f>
        <v>#N/A</v>
      </c>
      <c r="AE54" s="93"/>
      <c r="AF54" s="92"/>
      <c r="AG54" s="92"/>
      <c r="AH54" s="92">
        <f t="shared" si="6"/>
        <v>0</v>
      </c>
      <c r="AI54" s="92" t="e">
        <f>VLOOKUP(G54,[4]Hoja1!$T:$AL,19,FALSE)</f>
        <v>#N/A</v>
      </c>
      <c r="AJ54" s="84"/>
      <c r="AK54" s="128"/>
      <c r="AL54" s="128"/>
      <c r="AM54" s="128"/>
      <c r="AN54" s="131">
        <f t="shared" si="7"/>
        <v>0</v>
      </c>
      <c r="AO54" s="131">
        <f t="shared" si="4"/>
        <v>0</v>
      </c>
      <c r="AP54" s="131" t="e">
        <f t="shared" si="4"/>
        <v>#N/A</v>
      </c>
      <c r="AU54" s="132"/>
      <c r="AV54" s="133"/>
      <c r="AW54" s="134"/>
      <c r="AX54" s="134">
        <f t="shared" si="8"/>
        <v>0</v>
      </c>
    </row>
    <row r="55" spans="1:52" s="124" customFormat="1" x14ac:dyDescent="0.25">
      <c r="A55" s="128" t="s">
        <v>267</v>
      </c>
      <c r="B55" s="127">
        <v>44319</v>
      </c>
      <c r="C55" s="127">
        <v>44320</v>
      </c>
      <c r="D55" s="128" t="s">
        <v>269</v>
      </c>
      <c r="E55" s="128" t="s">
        <v>33</v>
      </c>
      <c r="F55" s="124">
        <v>1</v>
      </c>
      <c r="G55" s="144" t="s">
        <v>288</v>
      </c>
      <c r="J55" s="129" t="e">
        <f>VLOOKUP(G55,'BASE PASAJEROS'!A:E,5,FALSE)</f>
        <v>#N/A</v>
      </c>
      <c r="K55" s="128" t="e">
        <f>VLOOKUP(G55,'BASE PASAJEROS'!A:B,2,FALSE)</f>
        <v>#N/A</v>
      </c>
      <c r="L55" s="128" t="s">
        <v>316</v>
      </c>
      <c r="M55" s="128" t="e">
        <f>VLOOKUP(G55,'BASE PASAJEROS'!A:H,8,FALSE)</f>
        <v>#N/A</v>
      </c>
      <c r="N55" s="128"/>
      <c r="O55" s="128"/>
      <c r="P55" s="128" t="e">
        <f>VLOOKUP(G55,'BASE PASAJEROS'!A:F,6,FALSE)</f>
        <v>#N/A</v>
      </c>
      <c r="Q55" s="128" t="e">
        <f>VLOOKUP(G55,'BASE PASAJEROS'!A:C,3,FALSE)</f>
        <v>#N/A</v>
      </c>
      <c r="R55" s="128" t="e">
        <f>VLOOKUP(G55,'BASE PASAJEROS'!A:G,7,FALSE)</f>
        <v>#N/A</v>
      </c>
      <c r="S55" s="128"/>
      <c r="T55" s="128"/>
      <c r="U55" s="130" t="e">
        <f>VLOOKUP(G55,'BASE PASAJEROS'!A:AG,33,FALSE)</f>
        <v>#N/A</v>
      </c>
      <c r="V55" s="130" t="e">
        <f>VLOOKUP(G55,'BASE PASAJEROS'!A:AH,34,FALSE)</f>
        <v>#N/A</v>
      </c>
      <c r="W55" s="128"/>
      <c r="X55" s="142" t="s">
        <v>309</v>
      </c>
      <c r="Y55" s="128" t="s">
        <v>21</v>
      </c>
      <c r="Z55" s="128" t="s">
        <v>0</v>
      </c>
      <c r="AA55" s="128" t="s">
        <v>319</v>
      </c>
      <c r="AB55" s="128" t="e">
        <f>VLOOKUP(AA55,'BASE BANCOS'!$A$2:$D$202,3,FALSE)</f>
        <v>#N/A</v>
      </c>
      <c r="AC55" s="128"/>
      <c r="AD55" s="129" t="e">
        <f>VLOOKUP(AC55,'BASE CONDUCTORES'!E:G,3,FALSE)</f>
        <v>#N/A</v>
      </c>
      <c r="AE55" s="130"/>
      <c r="AF55" s="131"/>
      <c r="AG55" s="131"/>
      <c r="AH55" s="131">
        <f t="shared" si="6"/>
        <v>0</v>
      </c>
      <c r="AI55" s="131" t="e">
        <f>VLOOKUP(G55,[4]Hoja1!$T:$AL,19,FALSE)</f>
        <v>#N/A</v>
      </c>
      <c r="AJ55" s="128"/>
      <c r="AK55" s="128"/>
      <c r="AL55" s="128"/>
      <c r="AM55" s="128"/>
      <c r="AN55" s="131">
        <f t="shared" si="7"/>
        <v>0</v>
      </c>
      <c r="AO55" s="131">
        <f t="shared" si="4"/>
        <v>0</v>
      </c>
      <c r="AP55" s="131" t="e">
        <f t="shared" si="4"/>
        <v>#N/A</v>
      </c>
      <c r="AU55" s="132"/>
      <c r="AV55" s="133"/>
      <c r="AW55" s="134"/>
      <c r="AX55" s="134">
        <f t="shared" si="8"/>
        <v>0</v>
      </c>
      <c r="AY55" s="121"/>
      <c r="AZ55" s="121"/>
    </row>
    <row r="56" spans="1:52" s="124" customFormat="1" x14ac:dyDescent="0.25">
      <c r="A56" s="128" t="s">
        <v>267</v>
      </c>
      <c r="B56" s="127">
        <v>44319</v>
      </c>
      <c r="C56" s="127">
        <v>44320</v>
      </c>
      <c r="D56" s="128" t="s">
        <v>269</v>
      </c>
      <c r="E56" s="128" t="s">
        <v>33</v>
      </c>
      <c r="F56" s="124">
        <v>1</v>
      </c>
      <c r="G56" s="144" t="s">
        <v>289</v>
      </c>
      <c r="J56" s="129" t="e">
        <f>VLOOKUP(G56,'BASE PASAJEROS'!A:E,5,FALSE)</f>
        <v>#N/A</v>
      </c>
      <c r="K56" s="128" t="e">
        <f>VLOOKUP(G56,'BASE PASAJEROS'!A:B,2,FALSE)</f>
        <v>#N/A</v>
      </c>
      <c r="L56" s="128" t="s">
        <v>316</v>
      </c>
      <c r="M56" s="128" t="e">
        <f>VLOOKUP(G56,'BASE PASAJEROS'!A:H,8,FALSE)</f>
        <v>#N/A</v>
      </c>
      <c r="N56" s="128"/>
      <c r="O56" s="128"/>
      <c r="P56" s="128" t="e">
        <f>VLOOKUP(G56,'BASE PASAJEROS'!A:F,6,FALSE)</f>
        <v>#N/A</v>
      </c>
      <c r="Q56" s="128" t="e">
        <f>VLOOKUP(G56,'BASE PASAJEROS'!A:C,3,FALSE)</f>
        <v>#N/A</v>
      </c>
      <c r="R56" s="128" t="e">
        <f>VLOOKUP(G56,'BASE PASAJEROS'!A:G,7,FALSE)</f>
        <v>#N/A</v>
      </c>
      <c r="S56" s="128"/>
      <c r="T56" s="128"/>
      <c r="U56" s="130" t="e">
        <f>VLOOKUP(G56,'BASE PASAJEROS'!A:AG,33,FALSE)</f>
        <v>#N/A</v>
      </c>
      <c r="V56" s="130" t="e">
        <f>VLOOKUP(G56,'BASE PASAJEROS'!A:AH,34,FALSE)</f>
        <v>#N/A</v>
      </c>
      <c r="W56" s="128"/>
      <c r="X56" s="142" t="s">
        <v>319</v>
      </c>
      <c r="Y56" s="128" t="s">
        <v>21</v>
      </c>
      <c r="Z56" s="128" t="s">
        <v>0</v>
      </c>
      <c r="AA56" s="128" t="s">
        <v>319</v>
      </c>
      <c r="AB56" s="128" t="e">
        <f>VLOOKUP(AA56,'BASE BANCOS'!$A$2:$D$202,3,FALSE)</f>
        <v>#N/A</v>
      </c>
      <c r="AC56" s="128"/>
      <c r="AD56" s="129" t="e">
        <f>VLOOKUP(AC56,'BASE CONDUCTORES'!E:G,3,FALSE)</f>
        <v>#N/A</v>
      </c>
      <c r="AE56" s="130"/>
      <c r="AF56" s="131"/>
      <c r="AG56" s="131"/>
      <c r="AH56" s="131">
        <f t="shared" si="6"/>
        <v>0</v>
      </c>
      <c r="AI56" s="131" t="e">
        <f>VLOOKUP(G56,[4]Hoja1!$T:$AL,19,FALSE)</f>
        <v>#N/A</v>
      </c>
      <c r="AJ56" s="128"/>
      <c r="AK56" s="128"/>
      <c r="AL56" s="128"/>
      <c r="AM56" s="128"/>
      <c r="AN56" s="131">
        <f t="shared" si="7"/>
        <v>0</v>
      </c>
      <c r="AO56" s="131">
        <f t="shared" si="4"/>
        <v>0</v>
      </c>
      <c r="AP56" s="131" t="e">
        <f t="shared" si="4"/>
        <v>#N/A</v>
      </c>
      <c r="AU56" s="132"/>
      <c r="AV56" s="133"/>
      <c r="AW56" s="134"/>
      <c r="AX56" s="134">
        <f t="shared" si="8"/>
        <v>0</v>
      </c>
      <c r="AY56" s="121"/>
      <c r="AZ56" s="121"/>
    </row>
    <row r="57" spans="1:52" s="124" customFormat="1" x14ac:dyDescent="0.25">
      <c r="A57" s="128" t="s">
        <v>267</v>
      </c>
      <c r="B57" s="127">
        <v>44319</v>
      </c>
      <c r="C57" s="127">
        <v>44320</v>
      </c>
      <c r="D57" s="128" t="s">
        <v>269</v>
      </c>
      <c r="E57" s="128" t="s">
        <v>33</v>
      </c>
      <c r="F57" s="124">
        <v>1</v>
      </c>
      <c r="G57" s="144" t="s">
        <v>290</v>
      </c>
      <c r="J57" s="129">
        <v>3142731425</v>
      </c>
      <c r="K57" s="128" t="s">
        <v>115</v>
      </c>
      <c r="L57" s="128" t="s">
        <v>316</v>
      </c>
      <c r="M57" s="128" t="s">
        <v>268</v>
      </c>
      <c r="N57" s="128"/>
      <c r="O57" s="128"/>
      <c r="P57" s="128">
        <v>0</v>
      </c>
      <c r="Q57" s="128" t="s">
        <v>304</v>
      </c>
      <c r="R57" s="128">
        <v>0</v>
      </c>
      <c r="S57" s="128" t="s">
        <v>304</v>
      </c>
      <c r="T57" s="128" t="s">
        <v>320</v>
      </c>
      <c r="U57" s="130">
        <v>11.4</v>
      </c>
      <c r="V57" s="130">
        <v>40</v>
      </c>
      <c r="W57" s="128"/>
      <c r="X57" s="142" t="s">
        <v>310</v>
      </c>
      <c r="Y57" s="128" t="s">
        <v>38</v>
      </c>
      <c r="Z57" s="128" t="s">
        <v>0</v>
      </c>
      <c r="AA57" s="128" t="s">
        <v>325</v>
      </c>
      <c r="AB57" s="128" t="e">
        <f>VLOOKUP(AA57,'BASE BANCOS'!$A$2:$D$202,3,FALSE)</f>
        <v>#N/A</v>
      </c>
      <c r="AC57" s="128" t="s">
        <v>326</v>
      </c>
      <c r="AD57" s="129" t="e">
        <f>VLOOKUP(AC57,'BASE CONDUCTORES'!E:G,3,FALSE)</f>
        <v>#N/A</v>
      </c>
      <c r="AE57" s="128"/>
      <c r="AF57" s="128"/>
      <c r="AG57" s="131">
        <v>0</v>
      </c>
      <c r="AH57" s="131">
        <v>0</v>
      </c>
      <c r="AI57" s="131" t="e">
        <v>#N/A</v>
      </c>
      <c r="AN57" s="132"/>
      <c r="AO57" s="133"/>
      <c r="AP57" s="134"/>
      <c r="AQ57" s="134">
        <v>0</v>
      </c>
    </row>
    <row r="58" spans="1:52" s="124" customFormat="1" x14ac:dyDescent="0.25">
      <c r="A58" s="128" t="s">
        <v>267</v>
      </c>
      <c r="B58" s="127">
        <v>44319</v>
      </c>
      <c r="C58" s="127">
        <v>44320</v>
      </c>
      <c r="D58" s="128" t="s">
        <v>269</v>
      </c>
      <c r="E58" s="128" t="s">
        <v>33</v>
      </c>
      <c r="F58" s="124">
        <v>1</v>
      </c>
      <c r="G58" s="144" t="s">
        <v>290</v>
      </c>
      <c r="J58" s="129" t="e">
        <f>VLOOKUP(G58,'BASE PASAJEROS'!A:E,5,FALSE)</f>
        <v>#N/A</v>
      </c>
      <c r="K58" s="128" t="e">
        <f>VLOOKUP(G58,'BASE PASAJEROS'!A:B,2,FALSE)</f>
        <v>#N/A</v>
      </c>
      <c r="L58" s="128" t="s">
        <v>316</v>
      </c>
      <c r="M58" s="128" t="e">
        <f>VLOOKUP(G58,'BASE PASAJEROS'!A:H,8,FALSE)</f>
        <v>#N/A</v>
      </c>
      <c r="N58" s="128"/>
      <c r="O58" s="128"/>
      <c r="P58" s="128" t="e">
        <f>VLOOKUP(G58,'BASE PASAJEROS'!A:F,6,FALSE)</f>
        <v>#N/A</v>
      </c>
      <c r="Q58" s="128" t="e">
        <f>VLOOKUP(G58,'BASE PASAJEROS'!A:C,3,FALSE)</f>
        <v>#N/A</v>
      </c>
      <c r="R58" s="128" t="e">
        <f>VLOOKUP(G58,'BASE PASAJEROS'!A:G,7,FALSE)</f>
        <v>#N/A</v>
      </c>
      <c r="S58" s="128" t="s">
        <v>304</v>
      </c>
      <c r="T58" s="128" t="s">
        <v>320</v>
      </c>
      <c r="U58" s="130" t="e">
        <f>VLOOKUP(G58,'BASE PASAJEROS'!A:AG,33,FALSE)</f>
        <v>#N/A</v>
      </c>
      <c r="V58" s="130" t="e">
        <f>VLOOKUP(G58,'BASE PASAJEROS'!A:AH,34,FALSE)</f>
        <v>#N/A</v>
      </c>
      <c r="W58" s="128"/>
      <c r="X58" s="142" t="s">
        <v>310</v>
      </c>
      <c r="Y58" s="128" t="s">
        <v>32</v>
      </c>
      <c r="Z58" s="128" t="s">
        <v>0</v>
      </c>
      <c r="AA58" s="128" t="s">
        <v>317</v>
      </c>
      <c r="AB58" s="128" t="e">
        <f>VLOOKUP(AA58,'BASE BANCOS'!$A$2:$D$202,3,FALSE)</f>
        <v>#N/A</v>
      </c>
      <c r="AC58" s="128" t="s">
        <v>318</v>
      </c>
      <c r="AD58" s="129" t="e">
        <f>VLOOKUP(AC58,'BASE CONDUCTORES'!E:G,3,FALSE)</f>
        <v>#N/A</v>
      </c>
      <c r="AE58" s="93"/>
      <c r="AF58" s="92"/>
      <c r="AG58" s="92"/>
      <c r="AH58" s="92">
        <f t="shared" si="6"/>
        <v>0</v>
      </c>
      <c r="AI58" s="92" t="e">
        <f>VLOOKUP(G58,[4]Hoja1!$T:$AL,19,FALSE)</f>
        <v>#N/A</v>
      </c>
      <c r="AJ58" s="84"/>
      <c r="AK58" s="128"/>
      <c r="AL58" s="128"/>
      <c r="AM58" s="128"/>
      <c r="AN58" s="131">
        <f t="shared" si="7"/>
        <v>0</v>
      </c>
      <c r="AO58" s="131">
        <f t="shared" si="4"/>
        <v>0</v>
      </c>
      <c r="AP58" s="131" t="e">
        <f t="shared" si="4"/>
        <v>#N/A</v>
      </c>
      <c r="AU58" s="132"/>
      <c r="AV58" s="133"/>
      <c r="AW58" s="134"/>
      <c r="AX58" s="134">
        <f t="shared" si="8"/>
        <v>0</v>
      </c>
    </row>
    <row r="59" spans="1:52" s="124" customFormat="1" x14ac:dyDescent="0.25">
      <c r="A59" s="128" t="s">
        <v>267</v>
      </c>
      <c r="B59" s="127">
        <v>44319</v>
      </c>
      <c r="C59" s="127">
        <v>44320</v>
      </c>
      <c r="D59" s="128" t="s">
        <v>269</v>
      </c>
      <c r="E59" s="128" t="s">
        <v>33</v>
      </c>
      <c r="F59" s="124">
        <v>1</v>
      </c>
      <c r="G59" s="144" t="s">
        <v>291</v>
      </c>
      <c r="J59" s="129" t="e">
        <f>VLOOKUP(G59,'BASE PASAJEROS'!A:E,5,FALSE)</f>
        <v>#N/A</v>
      </c>
      <c r="K59" s="128" t="e">
        <f>VLOOKUP(G59,'BASE PASAJEROS'!A:B,2,FALSE)</f>
        <v>#N/A</v>
      </c>
      <c r="L59" s="128" t="s">
        <v>316</v>
      </c>
      <c r="M59" s="128" t="e">
        <f>VLOOKUP(G59,'BASE PASAJEROS'!A:H,8,FALSE)</f>
        <v>#N/A</v>
      </c>
      <c r="N59" s="128"/>
      <c r="O59" s="128"/>
      <c r="P59" s="128" t="e">
        <f>VLOOKUP(G59,'BASE PASAJEROS'!A:F,6,FALSE)</f>
        <v>#N/A</v>
      </c>
      <c r="Q59" s="128" t="e">
        <f>VLOOKUP(G59,'BASE PASAJEROS'!A:C,3,FALSE)</f>
        <v>#N/A</v>
      </c>
      <c r="R59" s="128" t="e">
        <f>VLOOKUP(G59,'BASE PASAJEROS'!A:G,7,FALSE)</f>
        <v>#N/A</v>
      </c>
      <c r="S59" s="128"/>
      <c r="T59" s="128"/>
      <c r="U59" s="130" t="e">
        <f>VLOOKUP(G59,'BASE PASAJEROS'!A:AG,33,FALSE)</f>
        <v>#N/A</v>
      </c>
      <c r="V59" s="130" t="e">
        <f>VLOOKUP(G59,'BASE PASAJEROS'!A:AH,34,FALSE)</f>
        <v>#N/A</v>
      </c>
      <c r="W59" s="128"/>
      <c r="X59" s="142" t="s">
        <v>319</v>
      </c>
      <c r="Y59" s="128" t="s">
        <v>21</v>
      </c>
      <c r="Z59" s="128" t="s">
        <v>0</v>
      </c>
      <c r="AA59" s="128" t="s">
        <v>319</v>
      </c>
      <c r="AB59" s="128" t="e">
        <f>VLOOKUP(AA59,'BASE BANCOS'!$A$2:$D$202,3,FALSE)</f>
        <v>#N/A</v>
      </c>
      <c r="AC59" s="128"/>
      <c r="AD59" s="129" t="e">
        <f>VLOOKUP(AC59,'BASE CONDUCTORES'!E:G,3,FALSE)</f>
        <v>#N/A</v>
      </c>
      <c r="AE59" s="130"/>
      <c r="AF59" s="131"/>
      <c r="AG59" s="131"/>
      <c r="AH59" s="131">
        <f t="shared" si="6"/>
        <v>0</v>
      </c>
      <c r="AI59" s="131" t="e">
        <f>VLOOKUP(G59,[4]Hoja1!$T:$AL,19,FALSE)</f>
        <v>#N/A</v>
      </c>
      <c r="AJ59" s="128"/>
      <c r="AK59" s="128"/>
      <c r="AL59" s="128"/>
      <c r="AM59" s="128"/>
      <c r="AN59" s="131">
        <f t="shared" si="7"/>
        <v>0</v>
      </c>
      <c r="AO59" s="131">
        <f t="shared" si="4"/>
        <v>0</v>
      </c>
      <c r="AP59" s="131" t="e">
        <f t="shared" si="4"/>
        <v>#N/A</v>
      </c>
      <c r="AU59" s="132"/>
      <c r="AV59" s="133"/>
      <c r="AW59" s="134"/>
      <c r="AX59" s="134">
        <f t="shared" si="8"/>
        <v>0</v>
      </c>
      <c r="AY59" s="121"/>
      <c r="AZ59" s="121"/>
    </row>
    <row r="60" spans="1:52" s="124" customFormat="1" x14ac:dyDescent="0.25">
      <c r="A60" s="128" t="s">
        <v>267</v>
      </c>
      <c r="B60" s="127">
        <v>44320</v>
      </c>
      <c r="C60" s="127">
        <v>44321</v>
      </c>
      <c r="D60" s="128" t="s">
        <v>269</v>
      </c>
      <c r="E60" s="128" t="s">
        <v>33</v>
      </c>
      <c r="F60" s="124">
        <v>1</v>
      </c>
      <c r="G60" s="144" t="s">
        <v>275</v>
      </c>
      <c r="J60" s="129" t="e">
        <f>VLOOKUP(G60,'BASE PASAJEROS'!A:E,5,FALSE)</f>
        <v>#N/A</v>
      </c>
      <c r="K60" s="128" t="e">
        <f>VLOOKUP(G60,'BASE PASAJEROS'!A:B,2,FALSE)</f>
        <v>#N/A</v>
      </c>
      <c r="L60" s="128" t="s">
        <v>316</v>
      </c>
      <c r="M60" s="128" t="e">
        <f>VLOOKUP(G60,'BASE PASAJEROS'!A:H,8,FALSE)</f>
        <v>#N/A</v>
      </c>
      <c r="N60" s="128"/>
      <c r="O60" s="128"/>
      <c r="P60" s="128" t="e">
        <f>VLOOKUP(G60,'BASE PASAJEROS'!A:F,6,FALSE)</f>
        <v>#N/A</v>
      </c>
      <c r="Q60" s="128" t="e">
        <f>VLOOKUP(G60,'BASE PASAJEROS'!A:C,3,FALSE)</f>
        <v>#N/A</v>
      </c>
      <c r="R60" s="128" t="e">
        <f>VLOOKUP(G60,'BASE PASAJEROS'!A:G,7,FALSE)</f>
        <v>#N/A</v>
      </c>
      <c r="S60" s="128" t="e">
        <f t="shared" ref="S60:S65" si="9">+Q60</f>
        <v>#N/A</v>
      </c>
      <c r="T60" s="128" t="s">
        <v>320</v>
      </c>
      <c r="U60" s="130" t="e">
        <f>VLOOKUP(G60,'BASE PASAJEROS'!A:AG,33,FALSE)</f>
        <v>#N/A</v>
      </c>
      <c r="V60" s="130" t="e">
        <f>VLOOKUP(G60,'BASE PASAJEROS'!A:AH,34,FALSE)</f>
        <v>#N/A</v>
      </c>
      <c r="W60" s="128"/>
      <c r="X60" s="142" t="s">
        <v>306</v>
      </c>
      <c r="Y60" s="128" t="s">
        <v>27</v>
      </c>
      <c r="Z60" s="128" t="s">
        <v>26</v>
      </c>
      <c r="AA60" s="128" t="s">
        <v>317</v>
      </c>
      <c r="AB60" s="128" t="e">
        <f>VLOOKUP(AA60,'BASE BANCOS'!$A$2:$D$202,3,FALSE)</f>
        <v>#N/A</v>
      </c>
      <c r="AC60" s="128" t="s">
        <v>318</v>
      </c>
      <c r="AD60" s="129" t="e">
        <f>VLOOKUP(AC60,'BASE CONDUCTORES'!E:G,3,FALSE)</f>
        <v>#N/A</v>
      </c>
      <c r="AE60" s="93"/>
      <c r="AF60" s="92"/>
      <c r="AG60" s="92"/>
      <c r="AH60" s="92">
        <f t="shared" si="6"/>
        <v>0</v>
      </c>
      <c r="AI60" s="92" t="e">
        <f>VLOOKUP(G60,[4]Hoja1!$T:$AL,19,FALSE)</f>
        <v>#N/A</v>
      </c>
      <c r="AJ60" s="84"/>
      <c r="AK60" s="128"/>
      <c r="AL60" s="128"/>
      <c r="AM60" s="128"/>
      <c r="AN60" s="131">
        <f t="shared" si="7"/>
        <v>0</v>
      </c>
      <c r="AO60" s="131">
        <f t="shared" si="4"/>
        <v>0</v>
      </c>
      <c r="AP60" s="131" t="e">
        <f t="shared" si="4"/>
        <v>#N/A</v>
      </c>
      <c r="AU60" s="132"/>
      <c r="AV60" s="133"/>
      <c r="AW60" s="134"/>
      <c r="AX60" s="134">
        <f t="shared" si="8"/>
        <v>0</v>
      </c>
    </row>
    <row r="61" spans="1:52" s="124" customFormat="1" x14ac:dyDescent="0.25">
      <c r="A61" s="128" t="s">
        <v>267</v>
      </c>
      <c r="B61" s="127">
        <v>44320</v>
      </c>
      <c r="C61" s="127">
        <v>44321</v>
      </c>
      <c r="D61" s="128" t="s">
        <v>269</v>
      </c>
      <c r="E61" s="128" t="s">
        <v>33</v>
      </c>
      <c r="F61" s="124">
        <v>1</v>
      </c>
      <c r="G61" s="144" t="s">
        <v>276</v>
      </c>
      <c r="J61" s="129" t="e">
        <f>VLOOKUP(G61,'BASE PASAJEROS'!A:E,5,FALSE)</f>
        <v>#N/A</v>
      </c>
      <c r="K61" s="128" t="e">
        <f>VLOOKUP(G61,'BASE PASAJEROS'!A:B,2,FALSE)</f>
        <v>#N/A</v>
      </c>
      <c r="L61" s="128" t="s">
        <v>316</v>
      </c>
      <c r="M61" s="128" t="e">
        <f>VLOOKUP(G61,'BASE PASAJEROS'!A:H,8,FALSE)</f>
        <v>#N/A</v>
      </c>
      <c r="N61" s="128"/>
      <c r="O61" s="128"/>
      <c r="P61" s="128" t="e">
        <f>VLOOKUP(G61,'BASE PASAJEROS'!A:F,6,FALSE)</f>
        <v>#N/A</v>
      </c>
      <c r="Q61" s="128" t="e">
        <f>VLOOKUP(G61,'BASE PASAJEROS'!A:C,3,FALSE)</f>
        <v>#N/A</v>
      </c>
      <c r="R61" s="128" t="e">
        <f>VLOOKUP(G61,'BASE PASAJEROS'!A:G,7,FALSE)</f>
        <v>#N/A</v>
      </c>
      <c r="S61" s="128" t="e">
        <f t="shared" si="9"/>
        <v>#N/A</v>
      </c>
      <c r="T61" s="128" t="s">
        <v>320</v>
      </c>
      <c r="U61" s="130" t="e">
        <f>VLOOKUP(G61,'BASE PASAJEROS'!A:AG,33,FALSE)</f>
        <v>#N/A</v>
      </c>
      <c r="V61" s="130" t="e">
        <f>VLOOKUP(G61,'BASE PASAJEROS'!A:AH,34,FALSE)</f>
        <v>#N/A</v>
      </c>
      <c r="W61" s="128"/>
      <c r="X61" s="142" t="s">
        <v>306</v>
      </c>
      <c r="Y61" s="128" t="s">
        <v>27</v>
      </c>
      <c r="Z61" s="128" t="s">
        <v>26</v>
      </c>
      <c r="AA61" s="128" t="s">
        <v>317</v>
      </c>
      <c r="AB61" s="128" t="e">
        <f>VLOOKUP(AA61,'BASE BANCOS'!$A$2:$D$202,3,FALSE)</f>
        <v>#N/A</v>
      </c>
      <c r="AC61" s="128" t="s">
        <v>318</v>
      </c>
      <c r="AD61" s="129" t="e">
        <f>VLOOKUP(AC61,'BASE CONDUCTORES'!E:G,3,FALSE)</f>
        <v>#N/A</v>
      </c>
      <c r="AE61" s="93"/>
      <c r="AF61" s="92"/>
      <c r="AG61" s="92"/>
      <c r="AH61" s="92">
        <f t="shared" si="6"/>
        <v>0</v>
      </c>
      <c r="AI61" s="92" t="e">
        <f>VLOOKUP(G61,[4]Hoja1!$T:$AL,19,FALSE)</f>
        <v>#N/A</v>
      </c>
      <c r="AJ61" s="84"/>
      <c r="AK61" s="128"/>
      <c r="AL61" s="128"/>
      <c r="AM61" s="128"/>
      <c r="AN61" s="131">
        <f t="shared" si="7"/>
        <v>0</v>
      </c>
      <c r="AO61" s="131">
        <f t="shared" si="4"/>
        <v>0</v>
      </c>
      <c r="AP61" s="131" t="e">
        <f t="shared" si="4"/>
        <v>#N/A</v>
      </c>
      <c r="AU61" s="132"/>
      <c r="AV61" s="133"/>
      <c r="AW61" s="134"/>
      <c r="AX61" s="134">
        <f t="shared" si="8"/>
        <v>0</v>
      </c>
    </row>
    <row r="62" spans="1:52" s="124" customFormat="1" x14ac:dyDescent="0.25">
      <c r="A62" s="128" t="s">
        <v>267</v>
      </c>
      <c r="B62" s="127">
        <v>44320</v>
      </c>
      <c r="C62" s="127">
        <v>44321</v>
      </c>
      <c r="D62" s="128" t="s">
        <v>269</v>
      </c>
      <c r="E62" s="128" t="s">
        <v>33</v>
      </c>
      <c r="F62" s="124">
        <v>1</v>
      </c>
      <c r="G62" s="144" t="s">
        <v>277</v>
      </c>
      <c r="J62" s="129" t="e">
        <f>VLOOKUP(G62,'BASE PASAJEROS'!A:E,5,FALSE)</f>
        <v>#N/A</v>
      </c>
      <c r="K62" s="128" t="e">
        <f>VLOOKUP(G62,'BASE PASAJEROS'!A:B,2,FALSE)</f>
        <v>#N/A</v>
      </c>
      <c r="L62" s="128" t="s">
        <v>316</v>
      </c>
      <c r="M62" s="128" t="e">
        <f>VLOOKUP(G62,'BASE PASAJEROS'!A:H,8,FALSE)</f>
        <v>#N/A</v>
      </c>
      <c r="N62" s="128"/>
      <c r="O62" s="128"/>
      <c r="P62" s="128" t="e">
        <f>VLOOKUP(G62,'BASE PASAJEROS'!A:F,6,FALSE)</f>
        <v>#N/A</v>
      </c>
      <c r="Q62" s="128" t="e">
        <f>VLOOKUP(G62,'BASE PASAJEROS'!A:C,3,FALSE)</f>
        <v>#N/A</v>
      </c>
      <c r="R62" s="128" t="e">
        <f>VLOOKUP(G62,'BASE PASAJEROS'!A:G,7,FALSE)</f>
        <v>#N/A</v>
      </c>
      <c r="S62" s="128" t="e">
        <f t="shared" si="9"/>
        <v>#N/A</v>
      </c>
      <c r="T62" s="128" t="s">
        <v>320</v>
      </c>
      <c r="U62" s="130" t="e">
        <f>VLOOKUP(G62,'BASE PASAJEROS'!A:AG,33,FALSE)</f>
        <v>#N/A</v>
      </c>
      <c r="V62" s="130" t="e">
        <f>VLOOKUP(G62,'BASE PASAJEROS'!A:AH,34,FALSE)</f>
        <v>#N/A</v>
      </c>
      <c r="W62" s="128"/>
      <c r="X62" s="142" t="s">
        <v>307</v>
      </c>
      <c r="Y62" s="128" t="s">
        <v>38</v>
      </c>
      <c r="Z62" s="128" t="s">
        <v>43</v>
      </c>
      <c r="AA62" s="128" t="s">
        <v>317</v>
      </c>
      <c r="AB62" s="128" t="e">
        <f>VLOOKUP(AA62,'BASE BANCOS'!$A$2:$D$202,3,FALSE)</f>
        <v>#N/A</v>
      </c>
      <c r="AC62" s="128" t="s">
        <v>318</v>
      </c>
      <c r="AD62" s="129" t="e">
        <f>VLOOKUP(AC62,'BASE CONDUCTORES'!E:G,3,FALSE)</f>
        <v>#N/A</v>
      </c>
      <c r="AE62" s="93"/>
      <c r="AF62" s="92"/>
      <c r="AG62" s="92"/>
      <c r="AH62" s="92">
        <f t="shared" si="6"/>
        <v>0</v>
      </c>
      <c r="AI62" s="92" t="e">
        <f>VLOOKUP(G62,[4]Hoja1!$T:$AL,19,FALSE)</f>
        <v>#N/A</v>
      </c>
      <c r="AJ62" s="84"/>
      <c r="AK62" s="128"/>
      <c r="AL62" s="128"/>
      <c r="AM62" s="128"/>
      <c r="AN62" s="131">
        <f t="shared" si="7"/>
        <v>0</v>
      </c>
      <c r="AO62" s="131">
        <f t="shared" si="4"/>
        <v>0</v>
      </c>
      <c r="AP62" s="131" t="e">
        <f t="shared" si="4"/>
        <v>#N/A</v>
      </c>
      <c r="AU62" s="132"/>
      <c r="AV62" s="133"/>
      <c r="AW62" s="134"/>
      <c r="AX62" s="134">
        <f t="shared" si="8"/>
        <v>0</v>
      </c>
    </row>
    <row r="63" spans="1:52" s="124" customFormat="1" x14ac:dyDescent="0.25">
      <c r="A63" s="128" t="s">
        <v>267</v>
      </c>
      <c r="B63" s="127">
        <v>44320</v>
      </c>
      <c r="C63" s="127">
        <v>44321</v>
      </c>
      <c r="D63" s="128" t="s">
        <v>269</v>
      </c>
      <c r="E63" s="128" t="s">
        <v>33</v>
      </c>
      <c r="F63" s="124">
        <v>1</v>
      </c>
      <c r="G63" s="144" t="s">
        <v>278</v>
      </c>
      <c r="J63" s="129" t="e">
        <f>VLOOKUP(G63,'BASE PASAJEROS'!A:E,5,FALSE)</f>
        <v>#N/A</v>
      </c>
      <c r="K63" s="128" t="e">
        <f>VLOOKUP(G63,'BASE PASAJEROS'!A:B,2,FALSE)</f>
        <v>#N/A</v>
      </c>
      <c r="L63" s="128" t="s">
        <v>316</v>
      </c>
      <c r="M63" s="128" t="e">
        <f>VLOOKUP(G63,'BASE PASAJEROS'!A:H,8,FALSE)</f>
        <v>#N/A</v>
      </c>
      <c r="N63" s="128"/>
      <c r="O63" s="128"/>
      <c r="P63" s="128" t="e">
        <f>VLOOKUP(G63,'BASE PASAJEROS'!A:F,6,FALSE)</f>
        <v>#N/A</v>
      </c>
      <c r="Q63" s="128" t="e">
        <f>VLOOKUP(G63,'BASE PASAJEROS'!A:C,3,FALSE)</f>
        <v>#N/A</v>
      </c>
      <c r="R63" s="128" t="e">
        <f>VLOOKUP(G63,'BASE PASAJEROS'!A:G,7,FALSE)</f>
        <v>#N/A</v>
      </c>
      <c r="S63" s="128" t="e">
        <f t="shared" si="9"/>
        <v>#N/A</v>
      </c>
      <c r="T63" s="128" t="s">
        <v>320</v>
      </c>
      <c r="U63" s="130" t="e">
        <f>VLOOKUP(G63,'BASE PASAJEROS'!A:AG,33,FALSE)</f>
        <v>#N/A</v>
      </c>
      <c r="V63" s="130" t="e">
        <f>VLOOKUP(G63,'BASE PASAJEROS'!A:AH,34,FALSE)</f>
        <v>#N/A</v>
      </c>
      <c r="W63" s="128"/>
      <c r="X63" s="142" t="s">
        <v>307</v>
      </c>
      <c r="Y63" s="128" t="s">
        <v>38</v>
      </c>
      <c r="Z63" s="128" t="s">
        <v>43</v>
      </c>
      <c r="AA63" s="128" t="s">
        <v>317</v>
      </c>
      <c r="AB63" s="128" t="e">
        <f>VLOOKUP(AA63,'BASE BANCOS'!$A$2:$D$202,3,FALSE)</f>
        <v>#N/A</v>
      </c>
      <c r="AC63" s="128" t="s">
        <v>318</v>
      </c>
      <c r="AD63" s="129" t="e">
        <f>VLOOKUP(AC63,'BASE CONDUCTORES'!E:G,3,FALSE)</f>
        <v>#N/A</v>
      </c>
      <c r="AE63" s="93"/>
      <c r="AF63" s="92"/>
      <c r="AG63" s="92"/>
      <c r="AH63" s="92">
        <f t="shared" si="6"/>
        <v>0</v>
      </c>
      <c r="AI63" s="92" t="e">
        <f>VLOOKUP(G63,[4]Hoja1!$T:$AL,19,FALSE)</f>
        <v>#N/A</v>
      </c>
      <c r="AJ63" s="84"/>
      <c r="AK63" s="128"/>
      <c r="AL63" s="128"/>
      <c r="AM63" s="128"/>
      <c r="AN63" s="131">
        <f t="shared" si="7"/>
        <v>0</v>
      </c>
      <c r="AO63" s="131">
        <f t="shared" si="4"/>
        <v>0</v>
      </c>
      <c r="AP63" s="131" t="e">
        <f t="shared" si="4"/>
        <v>#N/A</v>
      </c>
      <c r="AU63" s="132"/>
      <c r="AV63" s="133"/>
      <c r="AW63" s="134"/>
      <c r="AX63" s="134">
        <f t="shared" si="8"/>
        <v>0</v>
      </c>
    </row>
    <row r="64" spans="1:52" s="124" customFormat="1" x14ac:dyDescent="0.25">
      <c r="A64" s="128" t="s">
        <v>267</v>
      </c>
      <c r="B64" s="127">
        <v>44320</v>
      </c>
      <c r="C64" s="127">
        <v>44321</v>
      </c>
      <c r="D64" s="128" t="s">
        <v>269</v>
      </c>
      <c r="E64" s="128" t="s">
        <v>33</v>
      </c>
      <c r="F64" s="124">
        <v>1</v>
      </c>
      <c r="G64" s="144" t="s">
        <v>279</v>
      </c>
      <c r="J64" s="129" t="e">
        <f>VLOOKUP(G64,'BASE PASAJEROS'!A:E,5,FALSE)</f>
        <v>#N/A</v>
      </c>
      <c r="K64" s="128" t="e">
        <f>VLOOKUP(G64,'BASE PASAJEROS'!A:B,2,FALSE)</f>
        <v>#N/A</v>
      </c>
      <c r="L64" s="128" t="s">
        <v>316</v>
      </c>
      <c r="M64" s="128" t="e">
        <f>VLOOKUP(G64,'BASE PASAJEROS'!A:H,8,FALSE)</f>
        <v>#N/A</v>
      </c>
      <c r="N64" s="128"/>
      <c r="O64" s="128"/>
      <c r="P64" s="128" t="e">
        <f>VLOOKUP(G64,'BASE PASAJEROS'!A:F,6,FALSE)</f>
        <v>#N/A</v>
      </c>
      <c r="Q64" s="128" t="e">
        <f>VLOOKUP(G64,'BASE PASAJEROS'!A:C,3,FALSE)</f>
        <v>#N/A</v>
      </c>
      <c r="R64" s="128" t="e">
        <f>VLOOKUP(G64,'BASE PASAJEROS'!A:G,7,FALSE)</f>
        <v>#N/A</v>
      </c>
      <c r="S64" s="128" t="e">
        <f t="shared" si="9"/>
        <v>#N/A</v>
      </c>
      <c r="T64" s="128" t="s">
        <v>320</v>
      </c>
      <c r="U64" s="130" t="e">
        <f>VLOOKUP(G64,'BASE PASAJEROS'!A:AG,33,FALSE)</f>
        <v>#N/A</v>
      </c>
      <c r="V64" s="130" t="e">
        <f>VLOOKUP(G64,'BASE PASAJEROS'!A:AH,34,FALSE)</f>
        <v>#N/A</v>
      </c>
      <c r="W64" s="128"/>
      <c r="X64" s="142" t="s">
        <v>307</v>
      </c>
      <c r="Y64" s="128" t="s">
        <v>38</v>
      </c>
      <c r="Z64" s="128" t="s">
        <v>43</v>
      </c>
      <c r="AA64" s="128" t="s">
        <v>317</v>
      </c>
      <c r="AB64" s="128" t="e">
        <f>VLOOKUP(AA64,'BASE BANCOS'!$A$2:$D$202,3,FALSE)</f>
        <v>#N/A</v>
      </c>
      <c r="AC64" s="128" t="s">
        <v>318</v>
      </c>
      <c r="AD64" s="129" t="e">
        <f>VLOOKUP(AC64,'BASE CONDUCTORES'!E:G,3,FALSE)</f>
        <v>#N/A</v>
      </c>
      <c r="AE64" s="93"/>
      <c r="AF64" s="92"/>
      <c r="AG64" s="92"/>
      <c r="AH64" s="92">
        <f t="shared" si="6"/>
        <v>0</v>
      </c>
      <c r="AI64" s="92" t="e">
        <f>VLOOKUP(G64,[4]Hoja1!$T:$AL,19,FALSE)</f>
        <v>#N/A</v>
      </c>
      <c r="AJ64" s="84"/>
      <c r="AK64" s="128"/>
      <c r="AL64" s="128"/>
      <c r="AM64" s="128"/>
      <c r="AN64" s="131">
        <f t="shared" si="7"/>
        <v>0</v>
      </c>
      <c r="AO64" s="131">
        <f t="shared" si="4"/>
        <v>0</v>
      </c>
      <c r="AP64" s="131" t="e">
        <f t="shared" si="4"/>
        <v>#N/A</v>
      </c>
      <c r="AU64" s="132"/>
      <c r="AV64" s="133"/>
      <c r="AW64" s="134"/>
      <c r="AX64" s="134">
        <f t="shared" si="8"/>
        <v>0</v>
      </c>
    </row>
    <row r="65" spans="1:52" s="124" customFormat="1" x14ac:dyDescent="0.25">
      <c r="A65" s="128" t="s">
        <v>267</v>
      </c>
      <c r="B65" s="127">
        <v>44320</v>
      </c>
      <c r="C65" s="127">
        <v>44321</v>
      </c>
      <c r="D65" s="128" t="s">
        <v>269</v>
      </c>
      <c r="E65" s="128" t="s">
        <v>33</v>
      </c>
      <c r="F65" s="124">
        <v>1</v>
      </c>
      <c r="G65" s="144" t="s">
        <v>280</v>
      </c>
      <c r="J65" s="129" t="e">
        <f>VLOOKUP(G65,'BASE PASAJEROS'!A:E,5,FALSE)</f>
        <v>#N/A</v>
      </c>
      <c r="K65" s="128" t="e">
        <f>VLOOKUP(G65,'BASE PASAJEROS'!A:B,2,FALSE)</f>
        <v>#N/A</v>
      </c>
      <c r="L65" s="128" t="s">
        <v>316</v>
      </c>
      <c r="M65" s="128" t="e">
        <f>VLOOKUP(G65,'BASE PASAJEROS'!A:H,8,FALSE)</f>
        <v>#N/A</v>
      </c>
      <c r="N65" s="128"/>
      <c r="O65" s="128"/>
      <c r="P65" s="128" t="e">
        <f>VLOOKUP(G65,'BASE PASAJEROS'!A:F,6,FALSE)</f>
        <v>#N/A</v>
      </c>
      <c r="Q65" s="128" t="e">
        <f>VLOOKUP(G65,'BASE PASAJEROS'!A:C,3,FALSE)</f>
        <v>#N/A</v>
      </c>
      <c r="R65" s="128" t="e">
        <f>VLOOKUP(G65,'BASE PASAJEROS'!A:G,7,FALSE)</f>
        <v>#N/A</v>
      </c>
      <c r="S65" s="128" t="e">
        <f t="shared" si="9"/>
        <v>#N/A</v>
      </c>
      <c r="T65" s="128" t="s">
        <v>320</v>
      </c>
      <c r="U65" s="130" t="e">
        <f>VLOOKUP(G65,'BASE PASAJEROS'!A:AG,33,FALSE)</f>
        <v>#N/A</v>
      </c>
      <c r="V65" s="130" t="e">
        <f>VLOOKUP(G65,'BASE PASAJEROS'!A:AH,34,FALSE)</f>
        <v>#N/A</v>
      </c>
      <c r="W65" s="128"/>
      <c r="X65" s="142" t="s">
        <v>308</v>
      </c>
      <c r="Y65" s="128" t="s">
        <v>32</v>
      </c>
      <c r="Z65" s="128" t="s">
        <v>31</v>
      </c>
      <c r="AA65" s="128" t="s">
        <v>317</v>
      </c>
      <c r="AB65" s="128" t="e">
        <f>VLOOKUP(AA65,'BASE BANCOS'!$A$2:$D$202,3,FALSE)</f>
        <v>#N/A</v>
      </c>
      <c r="AC65" s="128" t="s">
        <v>318</v>
      </c>
      <c r="AD65" s="129" t="e">
        <f>VLOOKUP(AC65,'BASE CONDUCTORES'!E:G,3,FALSE)</f>
        <v>#N/A</v>
      </c>
      <c r="AE65" s="93"/>
      <c r="AF65" s="92"/>
      <c r="AG65" s="92"/>
      <c r="AH65" s="92">
        <f t="shared" si="6"/>
        <v>0</v>
      </c>
      <c r="AI65" s="92" t="e">
        <f>VLOOKUP(G65,[4]Hoja1!$T:$AL,19,FALSE)</f>
        <v>#N/A</v>
      </c>
      <c r="AJ65" s="84"/>
      <c r="AK65" s="128"/>
      <c r="AL65" s="128"/>
      <c r="AM65" s="128"/>
      <c r="AN65" s="131">
        <f t="shared" si="7"/>
        <v>0</v>
      </c>
      <c r="AO65" s="131">
        <f t="shared" si="4"/>
        <v>0</v>
      </c>
      <c r="AP65" s="131" t="e">
        <f t="shared" si="4"/>
        <v>#N/A</v>
      </c>
      <c r="AU65" s="132"/>
      <c r="AV65" s="133"/>
      <c r="AW65" s="134"/>
      <c r="AX65" s="134">
        <f t="shared" si="8"/>
        <v>0</v>
      </c>
    </row>
    <row r="66" spans="1:52" s="124" customFormat="1" x14ac:dyDescent="0.25">
      <c r="A66" s="128" t="s">
        <v>267</v>
      </c>
      <c r="B66" s="127">
        <v>44320</v>
      </c>
      <c r="C66" s="127">
        <v>44321</v>
      </c>
      <c r="D66" s="128" t="s">
        <v>269</v>
      </c>
      <c r="E66" s="128" t="s">
        <v>33</v>
      </c>
      <c r="F66" s="124">
        <v>1</v>
      </c>
      <c r="G66" s="144" t="s">
        <v>281</v>
      </c>
      <c r="J66" s="129" t="e">
        <f>VLOOKUP(G66,'BASE PASAJEROS'!A:E,5,FALSE)</f>
        <v>#N/A</v>
      </c>
      <c r="K66" s="128" t="e">
        <f>VLOOKUP(G66,'BASE PASAJEROS'!A:B,2,FALSE)</f>
        <v>#N/A</v>
      </c>
      <c r="L66" s="128" t="s">
        <v>316</v>
      </c>
      <c r="M66" s="128" t="e">
        <f>VLOOKUP(G66,'BASE PASAJEROS'!A:H,8,FALSE)</f>
        <v>#N/A</v>
      </c>
      <c r="N66" s="128"/>
      <c r="O66" s="128"/>
      <c r="P66" s="128" t="e">
        <f>VLOOKUP(G66,'BASE PASAJEROS'!A:F,6,FALSE)</f>
        <v>#N/A</v>
      </c>
      <c r="Q66" s="128" t="e">
        <f>VLOOKUP(G66,'BASE PASAJEROS'!A:C,3,FALSE)</f>
        <v>#N/A</v>
      </c>
      <c r="R66" s="128" t="e">
        <f>VLOOKUP(G66,'BASE PASAJEROS'!A:G,7,FALSE)</f>
        <v>#N/A</v>
      </c>
      <c r="S66" s="128"/>
      <c r="T66" s="128"/>
      <c r="U66" s="130" t="e">
        <f>VLOOKUP(G66,'BASE PASAJEROS'!A:AG,33,FALSE)</f>
        <v>#N/A</v>
      </c>
      <c r="V66" s="130" t="e">
        <f>VLOOKUP(G66,'BASE PASAJEROS'!A:AH,34,FALSE)</f>
        <v>#N/A</v>
      </c>
      <c r="W66" s="128"/>
      <c r="X66" s="142" t="s">
        <v>313</v>
      </c>
      <c r="Y66" s="128" t="s">
        <v>21</v>
      </c>
      <c r="Z66" s="128" t="s">
        <v>0</v>
      </c>
      <c r="AA66" s="128" t="s">
        <v>319</v>
      </c>
      <c r="AB66" s="128" t="e">
        <f>VLOOKUP(AA66,'BASE BANCOS'!$A$2:$D$202,3,FALSE)</f>
        <v>#N/A</v>
      </c>
      <c r="AC66" s="128"/>
      <c r="AD66" s="129" t="e">
        <f>VLOOKUP(AC66,'BASE CONDUCTORES'!E:G,3,FALSE)</f>
        <v>#N/A</v>
      </c>
      <c r="AE66" s="130"/>
      <c r="AF66" s="131"/>
      <c r="AG66" s="131"/>
      <c r="AH66" s="131">
        <f t="shared" si="6"/>
        <v>0</v>
      </c>
      <c r="AI66" s="131" t="e">
        <f>VLOOKUP(G66,[4]Hoja1!$T:$AL,19,FALSE)</f>
        <v>#N/A</v>
      </c>
      <c r="AJ66" s="128"/>
      <c r="AK66" s="128"/>
      <c r="AL66" s="128"/>
      <c r="AM66" s="128"/>
      <c r="AN66" s="131">
        <f t="shared" si="7"/>
        <v>0</v>
      </c>
      <c r="AO66" s="131">
        <f t="shared" si="4"/>
        <v>0</v>
      </c>
      <c r="AP66" s="131" t="e">
        <f t="shared" si="4"/>
        <v>#N/A</v>
      </c>
      <c r="AU66" s="132"/>
      <c r="AV66" s="133"/>
      <c r="AW66" s="134"/>
      <c r="AX66" s="134">
        <f t="shared" si="8"/>
        <v>0</v>
      </c>
      <c r="AY66" s="121"/>
      <c r="AZ66" s="121"/>
    </row>
    <row r="67" spans="1:52" s="124" customFormat="1" x14ac:dyDescent="0.25">
      <c r="A67" s="128" t="s">
        <v>267</v>
      </c>
      <c r="B67" s="127">
        <v>44320</v>
      </c>
      <c r="C67" s="127">
        <v>44321</v>
      </c>
      <c r="D67" s="128" t="s">
        <v>269</v>
      </c>
      <c r="E67" s="128" t="s">
        <v>33</v>
      </c>
      <c r="F67" s="124">
        <v>1</v>
      </c>
      <c r="G67" s="144" t="s">
        <v>282</v>
      </c>
      <c r="J67" s="129" t="e">
        <f>VLOOKUP(G67,'BASE PASAJEROS'!A:E,5,FALSE)</f>
        <v>#N/A</v>
      </c>
      <c r="K67" s="128" t="e">
        <f>VLOOKUP(G67,'BASE PASAJEROS'!A:B,2,FALSE)</f>
        <v>#N/A</v>
      </c>
      <c r="L67" s="128" t="s">
        <v>316</v>
      </c>
      <c r="M67" s="128" t="e">
        <f>VLOOKUP(G67,'BASE PASAJEROS'!A:H,8,FALSE)</f>
        <v>#N/A</v>
      </c>
      <c r="N67" s="128"/>
      <c r="O67" s="128"/>
      <c r="P67" s="128" t="e">
        <f>VLOOKUP(G67,'BASE PASAJEROS'!A:F,6,FALSE)</f>
        <v>#N/A</v>
      </c>
      <c r="Q67" s="128" t="e">
        <f>VLOOKUP(G67,'BASE PASAJEROS'!A:C,3,FALSE)</f>
        <v>#N/A</v>
      </c>
      <c r="R67" s="128" t="e">
        <f>VLOOKUP(G67,'BASE PASAJEROS'!A:G,7,FALSE)</f>
        <v>#N/A</v>
      </c>
      <c r="S67" s="128" t="e">
        <f t="shared" ref="S67:S72" si="10">+Q67</f>
        <v>#N/A</v>
      </c>
      <c r="T67" s="128" t="s">
        <v>320</v>
      </c>
      <c r="U67" s="130" t="e">
        <f>VLOOKUP(G67,'BASE PASAJEROS'!A:AG,33,FALSE)</f>
        <v>#N/A</v>
      </c>
      <c r="V67" s="130" t="e">
        <f>VLOOKUP(G67,'BASE PASAJEROS'!A:AH,34,FALSE)</f>
        <v>#N/A</v>
      </c>
      <c r="W67" s="128"/>
      <c r="X67" s="142" t="s">
        <v>308</v>
      </c>
      <c r="Y67" s="128" t="s">
        <v>32</v>
      </c>
      <c r="Z67" s="128" t="s">
        <v>31</v>
      </c>
      <c r="AA67" s="128" t="s">
        <v>317</v>
      </c>
      <c r="AB67" s="128" t="e">
        <f>VLOOKUP(AA67,'BASE BANCOS'!$A$2:$D$202,3,FALSE)</f>
        <v>#N/A</v>
      </c>
      <c r="AC67" s="128" t="s">
        <v>318</v>
      </c>
      <c r="AD67" s="129" t="e">
        <f>VLOOKUP(AC67,'BASE CONDUCTORES'!E:G,3,FALSE)</f>
        <v>#N/A</v>
      </c>
      <c r="AE67" s="93"/>
      <c r="AF67" s="92"/>
      <c r="AG67" s="92"/>
      <c r="AH67" s="92">
        <f t="shared" si="6"/>
        <v>0</v>
      </c>
      <c r="AI67" s="92" t="e">
        <f>VLOOKUP(G67,[4]Hoja1!$T:$AL,19,FALSE)</f>
        <v>#N/A</v>
      </c>
      <c r="AJ67" s="84"/>
      <c r="AK67" s="128"/>
      <c r="AL67" s="128"/>
      <c r="AM67" s="128"/>
      <c r="AN67" s="131">
        <f t="shared" si="7"/>
        <v>0</v>
      </c>
      <c r="AO67" s="131">
        <f t="shared" si="4"/>
        <v>0</v>
      </c>
      <c r="AP67" s="131" t="e">
        <f t="shared" si="4"/>
        <v>#N/A</v>
      </c>
      <c r="AU67" s="132"/>
      <c r="AV67" s="133"/>
      <c r="AW67" s="134"/>
      <c r="AX67" s="134">
        <f t="shared" si="8"/>
        <v>0</v>
      </c>
    </row>
    <row r="68" spans="1:52" s="124" customFormat="1" x14ac:dyDescent="0.25">
      <c r="A68" s="128" t="s">
        <v>267</v>
      </c>
      <c r="B68" s="127">
        <v>44320</v>
      </c>
      <c r="C68" s="127">
        <v>44321</v>
      </c>
      <c r="D68" s="128" t="s">
        <v>269</v>
      </c>
      <c r="E68" s="128" t="s">
        <v>33</v>
      </c>
      <c r="F68" s="124">
        <v>1</v>
      </c>
      <c r="G68" s="144" t="s">
        <v>283</v>
      </c>
      <c r="J68" s="129" t="e">
        <f>VLOOKUP(G68,'BASE PASAJEROS'!A:E,5,FALSE)</f>
        <v>#N/A</v>
      </c>
      <c r="K68" s="128" t="e">
        <f>VLOOKUP(G68,'BASE PASAJEROS'!A:B,2,FALSE)</f>
        <v>#N/A</v>
      </c>
      <c r="L68" s="128" t="s">
        <v>316</v>
      </c>
      <c r="M68" s="128" t="e">
        <f>VLOOKUP(G68,'BASE PASAJEROS'!A:H,8,FALSE)</f>
        <v>#N/A</v>
      </c>
      <c r="N68" s="128"/>
      <c r="O68" s="128"/>
      <c r="P68" s="128" t="e">
        <f>VLOOKUP(G68,'BASE PASAJEROS'!A:F,6,FALSE)</f>
        <v>#N/A</v>
      </c>
      <c r="Q68" s="128" t="e">
        <f>VLOOKUP(G68,'BASE PASAJEROS'!A:C,3,FALSE)</f>
        <v>#N/A</v>
      </c>
      <c r="R68" s="128" t="e">
        <f>VLOOKUP(G68,'BASE PASAJEROS'!A:G,7,FALSE)</f>
        <v>#N/A</v>
      </c>
      <c r="S68" s="128" t="e">
        <f t="shared" si="10"/>
        <v>#N/A</v>
      </c>
      <c r="T68" s="128" t="s">
        <v>320</v>
      </c>
      <c r="U68" s="130" t="e">
        <f>VLOOKUP(G68,'BASE PASAJEROS'!A:AG,33,FALSE)</f>
        <v>#N/A</v>
      </c>
      <c r="V68" s="130" t="e">
        <f>VLOOKUP(G68,'BASE PASAJEROS'!A:AH,34,FALSE)</f>
        <v>#N/A</v>
      </c>
      <c r="W68" s="128"/>
      <c r="X68" s="142" t="s">
        <v>307</v>
      </c>
      <c r="Y68" s="128" t="s">
        <v>38</v>
      </c>
      <c r="Z68" s="128" t="s">
        <v>43</v>
      </c>
      <c r="AA68" s="128" t="s">
        <v>317</v>
      </c>
      <c r="AB68" s="128" t="e">
        <f>VLOOKUP(AA68,'BASE BANCOS'!$A$2:$D$202,3,FALSE)</f>
        <v>#N/A</v>
      </c>
      <c r="AC68" s="128" t="s">
        <v>318</v>
      </c>
      <c r="AD68" s="129" t="e">
        <f>VLOOKUP(AC68,'BASE CONDUCTORES'!E:G,3,FALSE)</f>
        <v>#N/A</v>
      </c>
      <c r="AE68" s="93"/>
      <c r="AF68" s="92"/>
      <c r="AG68" s="92"/>
      <c r="AH68" s="92">
        <f t="shared" si="6"/>
        <v>0</v>
      </c>
      <c r="AI68" s="92" t="e">
        <f>VLOOKUP(G68,[4]Hoja1!$T:$AL,19,FALSE)</f>
        <v>#N/A</v>
      </c>
      <c r="AJ68" s="84"/>
      <c r="AK68" s="128"/>
      <c r="AL68" s="128"/>
      <c r="AM68" s="128"/>
      <c r="AN68" s="131">
        <f t="shared" si="7"/>
        <v>0</v>
      </c>
      <c r="AO68" s="131">
        <f t="shared" si="4"/>
        <v>0</v>
      </c>
      <c r="AP68" s="131" t="e">
        <f t="shared" si="4"/>
        <v>#N/A</v>
      </c>
      <c r="AU68" s="132"/>
      <c r="AV68" s="133"/>
      <c r="AW68" s="134"/>
      <c r="AX68" s="134">
        <f t="shared" si="8"/>
        <v>0</v>
      </c>
    </row>
    <row r="69" spans="1:52" s="124" customFormat="1" x14ac:dyDescent="0.25">
      <c r="A69" s="128" t="s">
        <v>267</v>
      </c>
      <c r="B69" s="127">
        <v>44320</v>
      </c>
      <c r="C69" s="127">
        <v>44321</v>
      </c>
      <c r="D69" s="128" t="s">
        <v>269</v>
      </c>
      <c r="E69" s="128" t="s">
        <v>33</v>
      </c>
      <c r="F69" s="124">
        <v>1</v>
      </c>
      <c r="G69" s="144" t="s">
        <v>284</v>
      </c>
      <c r="J69" s="129" t="e">
        <f>VLOOKUP(G69,'BASE PASAJEROS'!A:E,5,FALSE)</f>
        <v>#N/A</v>
      </c>
      <c r="K69" s="128" t="e">
        <f>VLOOKUP(G69,'BASE PASAJEROS'!A:B,2,FALSE)</f>
        <v>#N/A</v>
      </c>
      <c r="L69" s="128" t="s">
        <v>316</v>
      </c>
      <c r="M69" s="128" t="e">
        <f>VLOOKUP(G69,'BASE PASAJEROS'!A:H,8,FALSE)</f>
        <v>#N/A</v>
      </c>
      <c r="N69" s="128"/>
      <c r="O69" s="128"/>
      <c r="P69" s="128" t="e">
        <f>VLOOKUP(G69,'BASE PASAJEROS'!A:F,6,FALSE)</f>
        <v>#N/A</v>
      </c>
      <c r="Q69" s="128" t="e">
        <f>VLOOKUP(G69,'BASE PASAJEROS'!A:C,3,FALSE)</f>
        <v>#N/A</v>
      </c>
      <c r="R69" s="128" t="e">
        <f>VLOOKUP(G69,'BASE PASAJEROS'!A:G,7,FALSE)</f>
        <v>#N/A</v>
      </c>
      <c r="S69" s="128" t="e">
        <f t="shared" si="10"/>
        <v>#N/A</v>
      </c>
      <c r="T69" s="128" t="s">
        <v>320</v>
      </c>
      <c r="U69" s="130" t="e">
        <f>VLOOKUP(G69,'BASE PASAJEROS'!A:AG,33,FALSE)</f>
        <v>#N/A</v>
      </c>
      <c r="V69" s="130" t="e">
        <f>VLOOKUP(G69,'BASE PASAJEROS'!A:AH,34,FALSE)</f>
        <v>#N/A</v>
      </c>
      <c r="W69" s="128"/>
      <c r="X69" s="142" t="s">
        <v>308</v>
      </c>
      <c r="Y69" s="128" t="s">
        <v>32</v>
      </c>
      <c r="Z69" s="128" t="s">
        <v>31</v>
      </c>
      <c r="AA69" s="128" t="s">
        <v>317</v>
      </c>
      <c r="AB69" s="128" t="e">
        <f>VLOOKUP(AA69,'BASE BANCOS'!$A$2:$D$202,3,FALSE)</f>
        <v>#N/A</v>
      </c>
      <c r="AC69" s="128" t="s">
        <v>318</v>
      </c>
      <c r="AD69" s="129" t="e">
        <f>VLOOKUP(AC69,'BASE CONDUCTORES'!E:G,3,FALSE)</f>
        <v>#N/A</v>
      </c>
      <c r="AE69" s="93"/>
      <c r="AF69" s="92"/>
      <c r="AG69" s="92"/>
      <c r="AH69" s="92">
        <f t="shared" si="6"/>
        <v>0</v>
      </c>
      <c r="AI69" s="92" t="e">
        <f>VLOOKUP(G69,[4]Hoja1!$T:$AL,19,FALSE)</f>
        <v>#N/A</v>
      </c>
      <c r="AJ69" s="84"/>
      <c r="AK69" s="128"/>
      <c r="AL69" s="128"/>
      <c r="AM69" s="128"/>
      <c r="AN69" s="131">
        <f t="shared" si="7"/>
        <v>0</v>
      </c>
      <c r="AO69" s="131">
        <f t="shared" si="4"/>
        <v>0</v>
      </c>
      <c r="AP69" s="131" t="e">
        <f t="shared" si="4"/>
        <v>#N/A</v>
      </c>
      <c r="AU69" s="132"/>
      <c r="AV69" s="133"/>
      <c r="AW69" s="134"/>
      <c r="AX69" s="134">
        <f t="shared" si="8"/>
        <v>0</v>
      </c>
    </row>
    <row r="70" spans="1:52" s="124" customFormat="1" x14ac:dyDescent="0.25">
      <c r="A70" s="128" t="s">
        <v>267</v>
      </c>
      <c r="B70" s="127">
        <v>44320</v>
      </c>
      <c r="C70" s="127">
        <v>44321</v>
      </c>
      <c r="D70" s="128" t="s">
        <v>269</v>
      </c>
      <c r="E70" s="128" t="s">
        <v>33</v>
      </c>
      <c r="F70" s="124">
        <v>1</v>
      </c>
      <c r="G70" s="144" t="s">
        <v>285</v>
      </c>
      <c r="J70" s="129" t="e">
        <f>VLOOKUP(G70,'BASE PASAJEROS'!A:E,5,FALSE)</f>
        <v>#N/A</v>
      </c>
      <c r="K70" s="128" t="e">
        <f>VLOOKUP(G70,'BASE PASAJEROS'!A:B,2,FALSE)</f>
        <v>#N/A</v>
      </c>
      <c r="L70" s="128" t="s">
        <v>316</v>
      </c>
      <c r="M70" s="128" t="e">
        <f>VLOOKUP(G70,'BASE PASAJEROS'!A:H,8,FALSE)</f>
        <v>#N/A</v>
      </c>
      <c r="N70" s="128"/>
      <c r="O70" s="128"/>
      <c r="P70" s="128" t="e">
        <f>VLOOKUP(G70,'BASE PASAJEROS'!A:F,6,FALSE)</f>
        <v>#N/A</v>
      </c>
      <c r="Q70" s="128" t="e">
        <f>VLOOKUP(G70,'BASE PASAJEROS'!A:C,3,FALSE)</f>
        <v>#N/A</v>
      </c>
      <c r="R70" s="128" t="e">
        <f>VLOOKUP(G70,'BASE PASAJEROS'!A:G,7,FALSE)</f>
        <v>#N/A</v>
      </c>
      <c r="S70" s="128" t="e">
        <f t="shared" si="10"/>
        <v>#N/A</v>
      </c>
      <c r="T70" s="128" t="s">
        <v>320</v>
      </c>
      <c r="U70" s="130" t="e">
        <f>VLOOKUP(G70,'BASE PASAJEROS'!A:AG,33,FALSE)</f>
        <v>#N/A</v>
      </c>
      <c r="V70" s="130" t="e">
        <f>VLOOKUP(G70,'BASE PASAJEROS'!A:AH,34,FALSE)</f>
        <v>#N/A</v>
      </c>
      <c r="W70" s="128"/>
      <c r="X70" s="142" t="s">
        <v>307</v>
      </c>
      <c r="Y70" s="128" t="s">
        <v>38</v>
      </c>
      <c r="Z70" s="128" t="s">
        <v>43</v>
      </c>
      <c r="AA70" s="128" t="s">
        <v>317</v>
      </c>
      <c r="AB70" s="128" t="e">
        <f>VLOOKUP(AA70,'BASE BANCOS'!$A$2:$D$202,3,FALSE)</f>
        <v>#N/A</v>
      </c>
      <c r="AC70" s="128" t="s">
        <v>318</v>
      </c>
      <c r="AD70" s="129" t="e">
        <f>VLOOKUP(AC70,'BASE CONDUCTORES'!E:G,3,FALSE)</f>
        <v>#N/A</v>
      </c>
      <c r="AE70" s="93"/>
      <c r="AF70" s="92"/>
      <c r="AG70" s="92"/>
      <c r="AH70" s="92">
        <f t="shared" si="6"/>
        <v>0</v>
      </c>
      <c r="AI70" s="92" t="e">
        <f>VLOOKUP(G70,[4]Hoja1!$T:$AL,19,FALSE)</f>
        <v>#N/A</v>
      </c>
      <c r="AJ70" s="84"/>
      <c r="AK70" s="128"/>
      <c r="AL70" s="128"/>
      <c r="AM70" s="128"/>
      <c r="AN70" s="131">
        <f t="shared" si="7"/>
        <v>0</v>
      </c>
      <c r="AO70" s="131">
        <f t="shared" si="4"/>
        <v>0</v>
      </c>
      <c r="AP70" s="131" t="e">
        <f t="shared" si="4"/>
        <v>#N/A</v>
      </c>
      <c r="AU70" s="132"/>
      <c r="AV70" s="133"/>
      <c r="AW70" s="134"/>
      <c r="AX70" s="134">
        <f t="shared" si="8"/>
        <v>0</v>
      </c>
    </row>
    <row r="71" spans="1:52" s="124" customFormat="1" x14ac:dyDescent="0.25">
      <c r="A71" s="128" t="s">
        <v>267</v>
      </c>
      <c r="B71" s="127">
        <v>44320</v>
      </c>
      <c r="C71" s="127">
        <v>44321</v>
      </c>
      <c r="D71" s="128" t="s">
        <v>269</v>
      </c>
      <c r="E71" s="128" t="s">
        <v>33</v>
      </c>
      <c r="F71" s="124">
        <v>1</v>
      </c>
      <c r="G71" s="144" t="s">
        <v>286</v>
      </c>
      <c r="J71" s="129" t="e">
        <f>VLOOKUP(G71,'BASE PASAJEROS'!A:E,5,FALSE)</f>
        <v>#N/A</v>
      </c>
      <c r="K71" s="128" t="e">
        <f>VLOOKUP(G71,'BASE PASAJEROS'!A:B,2,FALSE)</f>
        <v>#N/A</v>
      </c>
      <c r="L71" s="128" t="s">
        <v>316</v>
      </c>
      <c r="M71" s="128" t="e">
        <f>VLOOKUP(G71,'BASE PASAJEROS'!A:H,8,FALSE)</f>
        <v>#N/A</v>
      </c>
      <c r="N71" s="128"/>
      <c r="O71" s="128"/>
      <c r="P71" s="128" t="e">
        <f>VLOOKUP(G71,'BASE PASAJEROS'!A:F,6,FALSE)</f>
        <v>#N/A</v>
      </c>
      <c r="Q71" s="128" t="e">
        <f>VLOOKUP(G71,'BASE PASAJEROS'!A:C,3,FALSE)</f>
        <v>#N/A</v>
      </c>
      <c r="R71" s="128" t="e">
        <f>VLOOKUP(G71,'BASE PASAJEROS'!A:G,7,FALSE)</f>
        <v>#N/A</v>
      </c>
      <c r="S71" s="128" t="e">
        <f t="shared" si="10"/>
        <v>#N/A</v>
      </c>
      <c r="T71" s="128" t="s">
        <v>320</v>
      </c>
      <c r="U71" s="130" t="e">
        <f>VLOOKUP(G71,'BASE PASAJEROS'!A:AG,33,FALSE)</f>
        <v>#N/A</v>
      </c>
      <c r="V71" s="130" t="e">
        <f>VLOOKUP(G71,'BASE PASAJEROS'!A:AH,34,FALSE)</f>
        <v>#N/A</v>
      </c>
      <c r="W71" s="128"/>
      <c r="X71" s="142" t="s">
        <v>306</v>
      </c>
      <c r="Y71" s="128" t="s">
        <v>27</v>
      </c>
      <c r="Z71" s="128" t="s">
        <v>26</v>
      </c>
      <c r="AA71" s="128" t="s">
        <v>317</v>
      </c>
      <c r="AB71" s="128" t="e">
        <f>VLOOKUP(AA71,'BASE BANCOS'!$A$2:$D$202,3,FALSE)</f>
        <v>#N/A</v>
      </c>
      <c r="AC71" s="128" t="s">
        <v>318</v>
      </c>
      <c r="AD71" s="129" t="e">
        <f>VLOOKUP(AC71,'BASE CONDUCTORES'!E:G,3,FALSE)</f>
        <v>#N/A</v>
      </c>
      <c r="AE71" s="93"/>
      <c r="AF71" s="92"/>
      <c r="AG71" s="92"/>
      <c r="AH71" s="92">
        <f t="shared" si="6"/>
        <v>0</v>
      </c>
      <c r="AI71" s="92" t="e">
        <f>VLOOKUP(G71,[4]Hoja1!$T:$AL,19,FALSE)</f>
        <v>#N/A</v>
      </c>
      <c r="AJ71" s="84"/>
      <c r="AK71" s="128"/>
      <c r="AL71" s="128"/>
      <c r="AM71" s="128"/>
      <c r="AN71" s="131">
        <f t="shared" si="7"/>
        <v>0</v>
      </c>
      <c r="AO71" s="131">
        <f t="shared" si="4"/>
        <v>0</v>
      </c>
      <c r="AP71" s="131" t="e">
        <f t="shared" si="4"/>
        <v>#N/A</v>
      </c>
      <c r="AU71" s="132"/>
      <c r="AV71" s="133"/>
      <c r="AW71" s="134"/>
      <c r="AX71" s="134">
        <f t="shared" si="8"/>
        <v>0</v>
      </c>
    </row>
    <row r="72" spans="1:52" s="124" customFormat="1" x14ac:dyDescent="0.25">
      <c r="A72" s="128" t="s">
        <v>267</v>
      </c>
      <c r="B72" s="127">
        <v>44320</v>
      </c>
      <c r="C72" s="127">
        <v>44321</v>
      </c>
      <c r="D72" s="128" t="s">
        <v>269</v>
      </c>
      <c r="E72" s="128" t="s">
        <v>33</v>
      </c>
      <c r="F72" s="124">
        <v>1</v>
      </c>
      <c r="G72" s="144" t="s">
        <v>121</v>
      </c>
      <c r="J72" s="129" t="e">
        <f>VLOOKUP(G72,'BASE PASAJEROS'!A:E,5,FALSE)</f>
        <v>#N/A</v>
      </c>
      <c r="K72" s="128" t="e">
        <f>VLOOKUP(G72,'BASE PASAJEROS'!A:B,2,FALSE)</f>
        <v>#N/A</v>
      </c>
      <c r="L72" s="128" t="s">
        <v>316</v>
      </c>
      <c r="M72" s="128" t="e">
        <f>VLOOKUP(G72,'BASE PASAJEROS'!A:H,8,FALSE)</f>
        <v>#N/A</v>
      </c>
      <c r="N72" s="128"/>
      <c r="O72" s="128"/>
      <c r="P72" s="128" t="e">
        <f>VLOOKUP(G72,'BASE PASAJEROS'!A:F,6,FALSE)</f>
        <v>#N/A</v>
      </c>
      <c r="Q72" s="128" t="e">
        <f>VLOOKUP(G72,'BASE PASAJEROS'!A:C,3,FALSE)</f>
        <v>#N/A</v>
      </c>
      <c r="R72" s="128" t="e">
        <f>VLOOKUP(G72,'BASE PASAJEROS'!A:G,7,FALSE)</f>
        <v>#N/A</v>
      </c>
      <c r="S72" s="128" t="e">
        <f t="shared" si="10"/>
        <v>#N/A</v>
      </c>
      <c r="T72" s="128" t="s">
        <v>320</v>
      </c>
      <c r="U72" s="130" t="e">
        <f>VLOOKUP(G72,'BASE PASAJEROS'!A:AG,33,FALSE)</f>
        <v>#N/A</v>
      </c>
      <c r="V72" s="130" t="e">
        <f>VLOOKUP(G72,'BASE PASAJEROS'!A:AH,34,FALSE)</f>
        <v>#N/A</v>
      </c>
      <c r="W72" s="128"/>
      <c r="X72" s="142" t="s">
        <v>306</v>
      </c>
      <c r="Y72" s="128" t="s">
        <v>27</v>
      </c>
      <c r="Z72" s="128" t="s">
        <v>26</v>
      </c>
      <c r="AA72" s="128" t="s">
        <v>317</v>
      </c>
      <c r="AB72" s="128" t="e">
        <f>VLOOKUP(AA72,'BASE BANCOS'!$A$2:$D$202,3,FALSE)</f>
        <v>#N/A</v>
      </c>
      <c r="AC72" s="128" t="s">
        <v>318</v>
      </c>
      <c r="AD72" s="129" t="e">
        <f>VLOOKUP(AC72,'BASE CONDUCTORES'!E:G,3,FALSE)</f>
        <v>#N/A</v>
      </c>
      <c r="AE72" s="93"/>
      <c r="AF72" s="92"/>
      <c r="AG72" s="92"/>
      <c r="AH72" s="92">
        <f t="shared" si="6"/>
        <v>0</v>
      </c>
      <c r="AI72" s="92">
        <f>VLOOKUP(G72,[4]Hoja1!$T:$AL,19,FALSE)</f>
        <v>17460</v>
      </c>
      <c r="AJ72" s="84"/>
      <c r="AK72" s="128"/>
      <c r="AL72" s="128"/>
      <c r="AM72" s="128"/>
      <c r="AN72" s="131">
        <f t="shared" si="7"/>
        <v>0</v>
      </c>
      <c r="AO72" s="131">
        <f t="shared" si="4"/>
        <v>0</v>
      </c>
      <c r="AP72" s="131">
        <f t="shared" si="4"/>
        <v>17460</v>
      </c>
      <c r="AU72" s="132"/>
      <c r="AV72" s="133"/>
      <c r="AW72" s="134"/>
      <c r="AX72" s="134">
        <f t="shared" si="8"/>
        <v>0</v>
      </c>
    </row>
    <row r="73" spans="1:52" s="124" customFormat="1" x14ac:dyDescent="0.25">
      <c r="A73" s="128" t="s">
        <v>267</v>
      </c>
      <c r="B73" s="127">
        <v>44320</v>
      </c>
      <c r="C73" s="127">
        <v>44321</v>
      </c>
      <c r="D73" s="128" t="s">
        <v>269</v>
      </c>
      <c r="E73" s="128" t="s">
        <v>33</v>
      </c>
      <c r="F73" s="124">
        <v>1</v>
      </c>
      <c r="G73" s="144" t="s">
        <v>287</v>
      </c>
      <c r="J73" s="129" t="e">
        <f>VLOOKUP(G73,'BASE PASAJEROS'!A:E,5,FALSE)</f>
        <v>#N/A</v>
      </c>
      <c r="K73" s="128" t="e">
        <f>VLOOKUP(G73,'BASE PASAJEROS'!A:B,2,FALSE)</f>
        <v>#N/A</v>
      </c>
      <c r="L73" s="128" t="s">
        <v>316</v>
      </c>
      <c r="M73" s="128" t="e">
        <f>VLOOKUP(G73,'BASE PASAJEROS'!A:H,8,FALSE)</f>
        <v>#N/A</v>
      </c>
      <c r="N73" s="128"/>
      <c r="O73" s="128"/>
      <c r="P73" s="128" t="e">
        <f>VLOOKUP(G73,'BASE PASAJEROS'!A:F,6,FALSE)</f>
        <v>#N/A</v>
      </c>
      <c r="Q73" s="128" t="e">
        <f>VLOOKUP(G73,'BASE PASAJEROS'!A:C,3,FALSE)</f>
        <v>#N/A</v>
      </c>
      <c r="R73" s="128" t="e">
        <f>VLOOKUP(G73,'BASE PASAJEROS'!A:G,7,FALSE)</f>
        <v>#N/A</v>
      </c>
      <c r="S73" s="128"/>
      <c r="T73" s="128"/>
      <c r="U73" s="130" t="e">
        <f>VLOOKUP(G73,'BASE PASAJEROS'!A:AG,33,FALSE)</f>
        <v>#N/A</v>
      </c>
      <c r="V73" s="130" t="e">
        <f>VLOOKUP(G73,'BASE PASAJEROS'!A:AH,34,FALSE)</f>
        <v>#N/A</v>
      </c>
      <c r="W73" s="128"/>
      <c r="X73" s="145" t="s">
        <v>314</v>
      </c>
      <c r="Y73" s="128" t="s">
        <v>21</v>
      </c>
      <c r="Z73" s="128" t="s">
        <v>0</v>
      </c>
      <c r="AA73" s="128" t="s">
        <v>319</v>
      </c>
      <c r="AB73" s="128" t="e">
        <f>VLOOKUP(AA73,'BASE BANCOS'!$A$2:$D$202,3,FALSE)</f>
        <v>#N/A</v>
      </c>
      <c r="AC73" s="128"/>
      <c r="AD73" s="129" t="e">
        <f>VLOOKUP(AC73,'BASE CONDUCTORES'!E:G,3,FALSE)</f>
        <v>#N/A</v>
      </c>
      <c r="AE73" s="130"/>
      <c r="AF73" s="131"/>
      <c r="AG73" s="131"/>
      <c r="AH73" s="131">
        <f t="shared" si="6"/>
        <v>0</v>
      </c>
      <c r="AI73" s="131" t="e">
        <f>VLOOKUP(G73,[4]Hoja1!$T:$AL,19,FALSE)</f>
        <v>#N/A</v>
      </c>
      <c r="AJ73" s="128"/>
      <c r="AK73" s="128" t="s">
        <v>371</v>
      </c>
      <c r="AL73" s="128"/>
      <c r="AM73" s="128"/>
      <c r="AN73" s="131">
        <f t="shared" si="7"/>
        <v>0</v>
      </c>
      <c r="AO73" s="131">
        <f t="shared" si="4"/>
        <v>0</v>
      </c>
      <c r="AP73" s="131" t="e">
        <f t="shared" si="4"/>
        <v>#N/A</v>
      </c>
      <c r="AU73" s="132"/>
      <c r="AV73" s="133"/>
      <c r="AW73" s="134"/>
      <c r="AX73" s="134">
        <f t="shared" si="8"/>
        <v>0</v>
      </c>
      <c r="AY73" s="121"/>
      <c r="AZ73" s="121"/>
    </row>
    <row r="74" spans="1:52" s="124" customFormat="1" x14ac:dyDescent="0.25">
      <c r="A74" s="128" t="s">
        <v>267</v>
      </c>
      <c r="B74" s="127">
        <v>44320</v>
      </c>
      <c r="C74" s="127">
        <v>44321</v>
      </c>
      <c r="D74" s="128" t="s">
        <v>269</v>
      </c>
      <c r="E74" s="128" t="s">
        <v>33</v>
      </c>
      <c r="F74" s="124">
        <v>1</v>
      </c>
      <c r="G74" s="135" t="s">
        <v>321</v>
      </c>
      <c r="J74" s="129" t="e">
        <f>VLOOKUP(G74,'BASE PASAJEROS'!A:E,5,FALSE)</f>
        <v>#N/A</v>
      </c>
      <c r="K74" s="128" t="e">
        <f>VLOOKUP(G74,'BASE PASAJEROS'!A:B,2,FALSE)</f>
        <v>#N/A</v>
      </c>
      <c r="L74" s="128" t="s">
        <v>316</v>
      </c>
      <c r="M74" s="128" t="e">
        <f>VLOOKUP(G74,'BASE PASAJEROS'!A:H,8,FALSE)</f>
        <v>#N/A</v>
      </c>
      <c r="N74" s="128"/>
      <c r="O74" s="128"/>
      <c r="P74" s="128" t="e">
        <f>VLOOKUP(G74,'BASE PASAJEROS'!A:F,6,FALSE)</f>
        <v>#N/A</v>
      </c>
      <c r="Q74" s="128" t="e">
        <f>VLOOKUP(G74,'BASE PASAJEROS'!A:C,3,FALSE)</f>
        <v>#N/A</v>
      </c>
      <c r="R74" s="128" t="e">
        <f>VLOOKUP(G74,'BASE PASAJEROS'!A:G,7,FALSE)</f>
        <v>#N/A</v>
      </c>
      <c r="S74" s="128"/>
      <c r="T74" s="128"/>
      <c r="U74" s="130" t="e">
        <f>VLOOKUP(G74,'BASE PASAJEROS'!A:AG,33,FALSE)</f>
        <v>#N/A</v>
      </c>
      <c r="V74" s="130" t="e">
        <f>VLOOKUP(G74,'BASE PASAJEROS'!A:AH,34,FALSE)</f>
        <v>#N/A</v>
      </c>
      <c r="W74" s="128"/>
      <c r="X74" s="145" t="s">
        <v>312</v>
      </c>
      <c r="Y74" s="128" t="s">
        <v>21</v>
      </c>
      <c r="Z74" s="128" t="s">
        <v>0</v>
      </c>
      <c r="AA74" s="128" t="s">
        <v>319</v>
      </c>
      <c r="AB74" s="128" t="e">
        <f>VLOOKUP(AA74,'BASE BANCOS'!$A$2:$D$202,3,FALSE)</f>
        <v>#N/A</v>
      </c>
      <c r="AC74" s="128"/>
      <c r="AD74" s="129" t="e">
        <f>VLOOKUP(AC74,'BASE CONDUCTORES'!E:G,3,FALSE)</f>
        <v>#N/A</v>
      </c>
      <c r="AE74" s="93"/>
      <c r="AF74" s="92"/>
      <c r="AG74" s="92"/>
      <c r="AH74" s="92">
        <f t="shared" si="6"/>
        <v>0</v>
      </c>
      <c r="AI74" s="92" t="e">
        <f>VLOOKUP(G74,[4]Hoja1!$T:$AL,19,FALSE)</f>
        <v>#N/A</v>
      </c>
      <c r="AJ74" s="84"/>
      <c r="AK74" s="128"/>
      <c r="AL74" s="128"/>
      <c r="AM74" s="128"/>
      <c r="AN74" s="131">
        <f t="shared" si="7"/>
        <v>0</v>
      </c>
      <c r="AO74" s="131">
        <f t="shared" si="4"/>
        <v>0</v>
      </c>
      <c r="AP74" s="131" t="e">
        <f t="shared" si="4"/>
        <v>#N/A</v>
      </c>
      <c r="AU74" s="132"/>
      <c r="AV74" s="133"/>
      <c r="AW74" s="134"/>
      <c r="AX74" s="134">
        <f t="shared" si="8"/>
        <v>0</v>
      </c>
    </row>
    <row r="75" spans="1:52" s="124" customFormat="1" x14ac:dyDescent="0.25">
      <c r="A75" s="128" t="s">
        <v>267</v>
      </c>
      <c r="B75" s="127">
        <v>44320</v>
      </c>
      <c r="C75" s="127">
        <v>44321</v>
      </c>
      <c r="D75" s="128" t="s">
        <v>269</v>
      </c>
      <c r="E75" s="128" t="s">
        <v>33</v>
      </c>
      <c r="F75" s="124">
        <v>1</v>
      </c>
      <c r="G75" s="144" t="s">
        <v>288</v>
      </c>
      <c r="J75" s="129" t="e">
        <f>VLOOKUP(G75,'BASE PASAJEROS'!A:E,5,FALSE)</f>
        <v>#N/A</v>
      </c>
      <c r="K75" s="128" t="e">
        <f>VLOOKUP(G75,'BASE PASAJEROS'!A:B,2,FALSE)</f>
        <v>#N/A</v>
      </c>
      <c r="L75" s="128" t="s">
        <v>316</v>
      </c>
      <c r="M75" s="128" t="e">
        <f>VLOOKUP(G75,'BASE PASAJEROS'!A:H,8,FALSE)</f>
        <v>#N/A</v>
      </c>
      <c r="N75" s="128"/>
      <c r="O75" s="128"/>
      <c r="P75" s="128" t="e">
        <f>VLOOKUP(G75,'BASE PASAJEROS'!A:F,6,FALSE)</f>
        <v>#N/A</v>
      </c>
      <c r="Q75" s="128" t="e">
        <f>VLOOKUP(G75,'BASE PASAJEROS'!A:C,3,FALSE)</f>
        <v>#N/A</v>
      </c>
      <c r="R75" s="128" t="e">
        <f>VLOOKUP(G75,'BASE PASAJEROS'!A:G,7,FALSE)</f>
        <v>#N/A</v>
      </c>
      <c r="S75" s="128"/>
      <c r="T75" s="128"/>
      <c r="U75" s="130" t="e">
        <f>VLOOKUP(G75,'BASE PASAJEROS'!A:AG,33,FALSE)</f>
        <v>#N/A</v>
      </c>
      <c r="V75" s="130" t="e">
        <f>VLOOKUP(G75,'BASE PASAJEROS'!A:AH,34,FALSE)</f>
        <v>#N/A</v>
      </c>
      <c r="W75" s="128"/>
      <c r="X75" s="142" t="s">
        <v>309</v>
      </c>
      <c r="Y75" s="128" t="s">
        <v>21</v>
      </c>
      <c r="Z75" s="128" t="s">
        <v>0</v>
      </c>
      <c r="AA75" s="128" t="s">
        <v>319</v>
      </c>
      <c r="AB75" s="128" t="e">
        <f>VLOOKUP(AA75,'BASE BANCOS'!$A$2:$D$202,3,FALSE)</f>
        <v>#N/A</v>
      </c>
      <c r="AC75" s="128"/>
      <c r="AD75" s="129" t="e">
        <f>VLOOKUP(AC75,'BASE CONDUCTORES'!E:G,3,FALSE)</f>
        <v>#N/A</v>
      </c>
      <c r="AE75" s="130"/>
      <c r="AF75" s="131"/>
      <c r="AG75" s="131"/>
      <c r="AH75" s="131">
        <f t="shared" si="6"/>
        <v>0</v>
      </c>
      <c r="AI75" s="131" t="e">
        <f>VLOOKUP(G75,[4]Hoja1!$T:$AL,19,FALSE)</f>
        <v>#N/A</v>
      </c>
      <c r="AJ75" s="128"/>
      <c r="AK75" s="128"/>
      <c r="AL75" s="128"/>
      <c r="AM75" s="128"/>
      <c r="AN75" s="131">
        <f t="shared" si="7"/>
        <v>0</v>
      </c>
      <c r="AO75" s="131">
        <f t="shared" si="4"/>
        <v>0</v>
      </c>
      <c r="AP75" s="131" t="e">
        <f t="shared" si="4"/>
        <v>#N/A</v>
      </c>
      <c r="AU75" s="132"/>
      <c r="AV75" s="133"/>
      <c r="AW75" s="134"/>
      <c r="AX75" s="134">
        <f t="shared" si="8"/>
        <v>0</v>
      </c>
      <c r="AY75" s="121"/>
      <c r="AZ75" s="121"/>
    </row>
    <row r="76" spans="1:52" s="124" customFormat="1" x14ac:dyDescent="0.25">
      <c r="B76" s="127">
        <v>44320</v>
      </c>
      <c r="C76" s="127">
        <v>44321</v>
      </c>
      <c r="D76" s="128" t="s">
        <v>269</v>
      </c>
      <c r="E76" s="128" t="s">
        <v>33</v>
      </c>
      <c r="F76" s="124">
        <v>1</v>
      </c>
      <c r="G76" s="144" t="s">
        <v>289</v>
      </c>
      <c r="J76" s="149"/>
      <c r="K76" s="128" t="e">
        <f>VLOOKUP(G76,'BASE PASAJEROS'!A:B,2,FALSE)</f>
        <v>#N/A</v>
      </c>
      <c r="L76" s="128" t="s">
        <v>316</v>
      </c>
      <c r="M76" s="128" t="e">
        <f>VLOOKUP(G76,'BASE PASAJEROS'!A:H,8,FALSE)</f>
        <v>#N/A</v>
      </c>
      <c r="N76" s="128"/>
      <c r="O76" s="128"/>
      <c r="P76" s="128" t="e">
        <f>VLOOKUP(G76,'BASE PASAJEROS'!A:F,6,FALSE)</f>
        <v>#N/A</v>
      </c>
      <c r="Q76" s="128" t="e">
        <f>VLOOKUP(G76,'BASE PASAJEROS'!A:C,3,FALSE)</f>
        <v>#N/A</v>
      </c>
      <c r="R76" s="128" t="e">
        <f>VLOOKUP(G76,'BASE PASAJEROS'!A:G,7,FALSE)</f>
        <v>#N/A</v>
      </c>
      <c r="S76" s="128"/>
      <c r="T76" s="128"/>
      <c r="U76" s="130" t="e">
        <f>VLOOKUP(G76,'BASE PASAJEROS'!A:AG,33,FALSE)</f>
        <v>#N/A</v>
      </c>
      <c r="V76" s="130" t="e">
        <f>VLOOKUP(G76,'BASE PASAJEROS'!A:AH,34,FALSE)</f>
        <v>#N/A</v>
      </c>
      <c r="W76" s="128"/>
      <c r="X76" s="142" t="s">
        <v>319</v>
      </c>
      <c r="Y76" s="128" t="s">
        <v>21</v>
      </c>
      <c r="Z76" s="128" t="s">
        <v>0</v>
      </c>
      <c r="AA76" s="128" t="s">
        <v>319</v>
      </c>
      <c r="AB76" s="128" t="e">
        <f>VLOOKUP(AA76,'BASE BANCOS'!$A$2:$D$202,3,FALSE)</f>
        <v>#N/A</v>
      </c>
      <c r="AC76" s="128"/>
      <c r="AD76" s="129" t="e">
        <f>VLOOKUP(AC76,'BASE CONDUCTORES'!E:G,3,FALSE)</f>
        <v>#N/A</v>
      </c>
      <c r="AE76" s="130"/>
      <c r="AF76" s="131"/>
      <c r="AG76" s="131"/>
      <c r="AH76" s="131">
        <f t="shared" si="6"/>
        <v>0</v>
      </c>
      <c r="AI76" s="131" t="e">
        <f>VLOOKUP(G76,[4]Hoja1!$T:$AL,19,FALSE)</f>
        <v>#N/A</v>
      </c>
      <c r="AJ76" s="128"/>
      <c r="AK76" s="128"/>
      <c r="AL76" s="128"/>
      <c r="AM76" s="128"/>
      <c r="AN76" s="131">
        <f t="shared" si="7"/>
        <v>0</v>
      </c>
      <c r="AO76" s="131">
        <f t="shared" si="4"/>
        <v>0</v>
      </c>
      <c r="AP76" s="131" t="e">
        <f t="shared" si="4"/>
        <v>#N/A</v>
      </c>
      <c r="AU76" s="132"/>
      <c r="AV76" s="133"/>
      <c r="AW76" s="134"/>
      <c r="AX76" s="134">
        <f t="shared" si="8"/>
        <v>0</v>
      </c>
      <c r="AY76" s="121"/>
      <c r="AZ76" s="121"/>
    </row>
    <row r="77" spans="1:52" s="124" customFormat="1" x14ac:dyDescent="0.25">
      <c r="B77" s="127">
        <v>44320</v>
      </c>
      <c r="C77" s="127">
        <v>44321</v>
      </c>
      <c r="D77" s="128" t="s">
        <v>269</v>
      </c>
      <c r="E77" s="128" t="s">
        <v>33</v>
      </c>
      <c r="F77" s="124">
        <v>1</v>
      </c>
      <c r="G77" s="144" t="s">
        <v>290</v>
      </c>
      <c r="J77" s="149"/>
      <c r="K77" s="128" t="s">
        <v>115</v>
      </c>
      <c r="L77" s="128" t="s">
        <v>316</v>
      </c>
      <c r="M77" s="128" t="s">
        <v>268</v>
      </c>
      <c r="N77" s="128"/>
      <c r="O77" s="128"/>
      <c r="P77" s="128">
        <v>0</v>
      </c>
      <c r="Q77" s="128" t="s">
        <v>304</v>
      </c>
      <c r="R77" s="128">
        <v>0</v>
      </c>
      <c r="S77" s="128" t="s">
        <v>304</v>
      </c>
      <c r="T77" s="128" t="s">
        <v>320</v>
      </c>
      <c r="U77" s="130">
        <v>11.4</v>
      </c>
      <c r="V77" s="130">
        <v>40</v>
      </c>
      <c r="W77" s="128"/>
      <c r="X77" s="142" t="s">
        <v>310</v>
      </c>
      <c r="Y77" s="124" t="s">
        <v>38</v>
      </c>
      <c r="Z77" s="124" t="s">
        <v>328</v>
      </c>
      <c r="AA77" s="128" t="s">
        <v>325</v>
      </c>
      <c r="AB77" s="128" t="e">
        <f>VLOOKUP(AA77,'BASE BANCOS'!$A$2:$D$202,3,FALSE)</f>
        <v>#N/A</v>
      </c>
      <c r="AC77" s="128" t="s">
        <v>326</v>
      </c>
      <c r="AD77" s="129" t="e">
        <f>VLOOKUP(AC77,'BASE CONDUCTORES'!E:G,3,FALSE)</f>
        <v>#N/A</v>
      </c>
      <c r="AH77" s="150"/>
      <c r="AI77" s="150"/>
      <c r="AN77" s="151"/>
      <c r="AO77" s="133"/>
    </row>
    <row r="78" spans="1:52" s="124" customFormat="1" x14ac:dyDescent="0.25">
      <c r="B78" s="127">
        <v>44320</v>
      </c>
      <c r="C78" s="127">
        <v>44321</v>
      </c>
      <c r="D78" s="128" t="s">
        <v>269</v>
      </c>
      <c r="E78" s="128" t="s">
        <v>33</v>
      </c>
      <c r="F78" s="124">
        <v>1</v>
      </c>
      <c r="G78" s="144" t="s">
        <v>290</v>
      </c>
      <c r="J78" s="149"/>
      <c r="K78" s="128" t="e">
        <f>VLOOKUP(G78,'BASE PASAJEROS'!A:B,2,FALSE)</f>
        <v>#N/A</v>
      </c>
      <c r="L78" s="128" t="s">
        <v>316</v>
      </c>
      <c r="M78" s="128" t="e">
        <f>VLOOKUP(G78,'BASE PASAJEROS'!A:H,8,FALSE)</f>
        <v>#N/A</v>
      </c>
      <c r="N78" s="128"/>
      <c r="O78" s="128"/>
      <c r="P78" s="128" t="e">
        <f>VLOOKUP(G78,'BASE PASAJEROS'!A:F,6,FALSE)</f>
        <v>#N/A</v>
      </c>
      <c r="Q78" s="128" t="e">
        <f>VLOOKUP(G78,'BASE PASAJEROS'!A:C,3,FALSE)</f>
        <v>#N/A</v>
      </c>
      <c r="R78" s="128" t="e">
        <f>VLOOKUP(G78,'BASE PASAJEROS'!A:G,7,FALSE)</f>
        <v>#N/A</v>
      </c>
      <c r="S78" s="128" t="s">
        <v>304</v>
      </c>
      <c r="T78" s="128" t="s">
        <v>320</v>
      </c>
      <c r="U78" s="130" t="e">
        <f>VLOOKUP(G78,'BASE PASAJEROS'!A:AG,33,FALSE)</f>
        <v>#N/A</v>
      </c>
      <c r="V78" s="130" t="e">
        <f>VLOOKUP(G78,'BASE PASAJEROS'!A:AH,34,FALSE)</f>
        <v>#N/A</v>
      </c>
      <c r="W78" s="128"/>
      <c r="X78" s="142" t="s">
        <v>310</v>
      </c>
      <c r="Y78" s="124" t="s">
        <v>327</v>
      </c>
      <c r="Z78" s="124" t="s">
        <v>328</v>
      </c>
      <c r="AA78" s="128" t="s">
        <v>317</v>
      </c>
      <c r="AB78" s="128" t="e">
        <f>VLOOKUP(AA78,'BASE BANCOS'!$A$2:$D$202,3,FALSE)</f>
        <v>#N/A</v>
      </c>
      <c r="AC78" s="128" t="s">
        <v>318</v>
      </c>
      <c r="AD78" s="129" t="e">
        <f>VLOOKUP(AC78,'BASE CONDUCTORES'!E:G,3,FALSE)</f>
        <v>#N/A</v>
      </c>
      <c r="AE78" s="24"/>
      <c r="AF78" s="75"/>
      <c r="AG78" s="75"/>
      <c r="AH78" s="75"/>
      <c r="AI78" s="75"/>
      <c r="AJ78" s="79"/>
      <c r="AO78" s="150"/>
      <c r="AP78" s="150"/>
      <c r="AU78" s="151"/>
      <c r="AV78" s="133"/>
    </row>
    <row r="79" spans="1:52" s="124" customFormat="1" x14ac:dyDescent="0.25">
      <c r="B79" s="127">
        <v>44320</v>
      </c>
      <c r="C79" s="127">
        <v>44321</v>
      </c>
      <c r="D79" s="128" t="s">
        <v>269</v>
      </c>
      <c r="E79" s="128" t="s">
        <v>33</v>
      </c>
      <c r="F79" s="124">
        <v>1</v>
      </c>
      <c r="G79" s="144" t="s">
        <v>291</v>
      </c>
      <c r="J79" s="149"/>
      <c r="K79" s="128" t="e">
        <f>VLOOKUP(G79,'BASE PASAJEROS'!A:B,2,FALSE)</f>
        <v>#N/A</v>
      </c>
      <c r="L79" s="128" t="s">
        <v>316</v>
      </c>
      <c r="M79" s="128" t="e">
        <f>VLOOKUP(G79,'BASE PASAJEROS'!A:H,8,FALSE)</f>
        <v>#N/A</v>
      </c>
      <c r="N79" s="128"/>
      <c r="O79" s="128"/>
      <c r="P79" s="128" t="e">
        <f>VLOOKUP(G79,'BASE PASAJEROS'!A:F,6,FALSE)</f>
        <v>#N/A</v>
      </c>
      <c r="Q79" s="128" t="e">
        <f>VLOOKUP(G79,'BASE PASAJEROS'!A:C,3,FALSE)</f>
        <v>#N/A</v>
      </c>
      <c r="R79" s="128" t="e">
        <f>VLOOKUP(G79,'BASE PASAJEROS'!A:G,7,FALSE)</f>
        <v>#N/A</v>
      </c>
      <c r="S79" s="128"/>
      <c r="T79" s="128"/>
      <c r="U79" s="130" t="e">
        <f>VLOOKUP(G79,'BASE PASAJEROS'!A:AG,33,FALSE)</f>
        <v>#N/A</v>
      </c>
      <c r="V79" s="130" t="e">
        <f>VLOOKUP(G79,'BASE PASAJEROS'!A:AH,34,FALSE)</f>
        <v>#N/A</v>
      </c>
      <c r="W79" s="128"/>
      <c r="X79" s="142" t="s">
        <v>319</v>
      </c>
      <c r="Y79" s="128" t="s">
        <v>21</v>
      </c>
      <c r="Z79" s="128" t="s">
        <v>0</v>
      </c>
      <c r="AA79" s="128" t="s">
        <v>319</v>
      </c>
      <c r="AB79" s="128" t="e">
        <f>VLOOKUP(AA79,'BASE BANCOS'!$A$2:$D$202,3,FALSE)</f>
        <v>#N/A</v>
      </c>
      <c r="AC79" s="128"/>
      <c r="AD79" s="129" t="e">
        <f>VLOOKUP(AC79,'BASE CONDUCTORES'!E:G,3,FALSE)</f>
        <v>#N/A</v>
      </c>
      <c r="AE79" s="130"/>
      <c r="AF79" s="131"/>
      <c r="AG79" s="131"/>
      <c r="AH79" s="131">
        <f>+AF79-AG79</f>
        <v>0</v>
      </c>
      <c r="AI79" s="131" t="e">
        <f>VLOOKUP(G79,[4]Hoja1!$T:$AL,19,FALSE)</f>
        <v>#N/A</v>
      </c>
      <c r="AJ79" s="128"/>
      <c r="AK79" s="128"/>
      <c r="AL79" s="128"/>
      <c r="AM79" s="128"/>
      <c r="AN79" s="131">
        <f>+AM79*1.5</f>
        <v>0</v>
      </c>
      <c r="AO79" s="131">
        <f>+AH79+AM79</f>
        <v>0</v>
      </c>
      <c r="AP79" s="131" t="e">
        <f>+AI79+AN79</f>
        <v>#N/A</v>
      </c>
      <c r="AU79" s="132"/>
      <c r="AV79" s="133"/>
      <c r="AW79" s="134"/>
      <c r="AX79" s="134">
        <f>AO79-AW79</f>
        <v>0</v>
      </c>
      <c r="AY79" s="121"/>
      <c r="AZ79" s="121"/>
    </row>
    <row r="80" spans="1:52" s="124" customFormat="1" x14ac:dyDescent="0.25">
      <c r="B80" s="127">
        <v>44321</v>
      </c>
      <c r="C80" s="127">
        <v>44322</v>
      </c>
      <c r="D80" s="128" t="s">
        <v>269</v>
      </c>
      <c r="E80" s="128" t="s">
        <v>33</v>
      </c>
      <c r="F80" s="124">
        <v>1</v>
      </c>
      <c r="G80" s="144" t="s">
        <v>275</v>
      </c>
      <c r="J80" s="149"/>
      <c r="K80" s="128" t="e">
        <f>VLOOKUP(G80,'BASE PASAJEROS'!A:B,2,FALSE)</f>
        <v>#N/A</v>
      </c>
      <c r="L80" s="128" t="s">
        <v>316</v>
      </c>
      <c r="M80" s="128" t="e">
        <f>VLOOKUP(G80,'BASE PASAJEROS'!A:H,8,FALSE)</f>
        <v>#N/A</v>
      </c>
      <c r="N80" s="128"/>
      <c r="O80" s="128"/>
      <c r="P80" s="128" t="e">
        <f>VLOOKUP(G80,'BASE PASAJEROS'!A:F,6,FALSE)</f>
        <v>#N/A</v>
      </c>
      <c r="Q80" s="128" t="e">
        <f>VLOOKUP(G80,'BASE PASAJEROS'!A:C,3,FALSE)</f>
        <v>#N/A</v>
      </c>
      <c r="R80" s="128" t="e">
        <f>VLOOKUP(G80,'BASE PASAJEROS'!A:G,7,FALSE)</f>
        <v>#N/A</v>
      </c>
      <c r="S80" s="128" t="e">
        <f t="shared" ref="S80:S87" si="11">+Q80</f>
        <v>#N/A</v>
      </c>
      <c r="T80" s="128" t="s">
        <v>320</v>
      </c>
      <c r="U80" s="130" t="e">
        <f>VLOOKUP(G80,'BASE PASAJEROS'!A:AG,33,FALSE)</f>
        <v>#N/A</v>
      </c>
      <c r="V80" s="130" t="e">
        <f>VLOOKUP(G80,'BASE PASAJEROS'!A:AH,34,FALSE)</f>
        <v>#N/A</v>
      </c>
      <c r="W80" s="128"/>
      <c r="X80" s="142" t="s">
        <v>306</v>
      </c>
      <c r="Y80" s="128" t="s">
        <v>27</v>
      </c>
      <c r="Z80" s="128" t="s">
        <v>26</v>
      </c>
      <c r="AA80" s="128" t="s">
        <v>317</v>
      </c>
      <c r="AB80" s="128" t="e">
        <f>VLOOKUP(AA80,'BASE BANCOS'!$A$2:$D$202,3,FALSE)</f>
        <v>#N/A</v>
      </c>
      <c r="AC80" s="128" t="s">
        <v>318</v>
      </c>
      <c r="AD80" s="129" t="e">
        <f>VLOOKUP(AC80,'BASE CONDUCTORES'!E:G,3,FALSE)</f>
        <v>#N/A</v>
      </c>
      <c r="AE80" s="24"/>
      <c r="AF80" s="75"/>
      <c r="AG80" s="75"/>
      <c r="AH80" s="75"/>
      <c r="AI80" s="75"/>
      <c r="AJ80" s="79"/>
      <c r="AO80" s="150"/>
      <c r="AP80" s="150"/>
      <c r="AU80" s="151"/>
      <c r="AV80" s="133"/>
    </row>
    <row r="81" spans="2:52" s="124" customFormat="1" x14ac:dyDescent="0.25">
      <c r="B81" s="127">
        <v>44321</v>
      </c>
      <c r="C81" s="127">
        <v>44322</v>
      </c>
      <c r="D81" s="128" t="s">
        <v>269</v>
      </c>
      <c r="E81" s="128" t="s">
        <v>33</v>
      </c>
      <c r="F81" s="124">
        <v>1</v>
      </c>
      <c r="G81" s="144" t="s">
        <v>276</v>
      </c>
      <c r="J81" s="149"/>
      <c r="K81" s="128" t="e">
        <f>VLOOKUP(G81,'BASE PASAJEROS'!A:B,2,FALSE)</f>
        <v>#N/A</v>
      </c>
      <c r="L81" s="128" t="s">
        <v>316</v>
      </c>
      <c r="M81" s="128" t="e">
        <f>VLOOKUP(G81,'BASE PASAJEROS'!A:H,8,FALSE)</f>
        <v>#N/A</v>
      </c>
      <c r="N81" s="128"/>
      <c r="O81" s="128"/>
      <c r="P81" s="128" t="e">
        <f>VLOOKUP(G81,'BASE PASAJEROS'!A:F,6,FALSE)</f>
        <v>#N/A</v>
      </c>
      <c r="Q81" s="128" t="e">
        <f>VLOOKUP(G81,'BASE PASAJEROS'!A:C,3,FALSE)</f>
        <v>#N/A</v>
      </c>
      <c r="R81" s="128" t="e">
        <f>VLOOKUP(G81,'BASE PASAJEROS'!A:G,7,FALSE)</f>
        <v>#N/A</v>
      </c>
      <c r="S81" s="128" t="e">
        <f t="shared" si="11"/>
        <v>#N/A</v>
      </c>
      <c r="T81" s="128" t="s">
        <v>320</v>
      </c>
      <c r="U81" s="130" t="e">
        <f>VLOOKUP(G81,'BASE PASAJEROS'!A:AG,33,FALSE)</f>
        <v>#N/A</v>
      </c>
      <c r="V81" s="130" t="e">
        <f>VLOOKUP(G81,'BASE PASAJEROS'!A:AH,34,FALSE)</f>
        <v>#N/A</v>
      </c>
      <c r="W81" s="128"/>
      <c r="X81" s="142" t="s">
        <v>306</v>
      </c>
      <c r="Y81" s="128" t="s">
        <v>27</v>
      </c>
      <c r="Z81" s="128" t="s">
        <v>26</v>
      </c>
      <c r="AA81" s="128" t="s">
        <v>317</v>
      </c>
      <c r="AB81" s="128" t="e">
        <f>VLOOKUP(AA81,'BASE BANCOS'!$A$2:$D$202,3,FALSE)</f>
        <v>#N/A</v>
      </c>
      <c r="AC81" s="128" t="s">
        <v>318</v>
      </c>
      <c r="AD81" s="129" t="e">
        <f>VLOOKUP(AC81,'BASE CONDUCTORES'!E:G,3,FALSE)</f>
        <v>#N/A</v>
      </c>
      <c r="AE81" s="24"/>
      <c r="AF81" s="75"/>
      <c r="AG81" s="75"/>
      <c r="AH81" s="75"/>
      <c r="AI81" s="75"/>
      <c r="AJ81" s="79"/>
      <c r="AO81" s="150"/>
      <c r="AP81" s="150"/>
      <c r="AU81" s="151"/>
      <c r="AV81" s="133"/>
    </row>
    <row r="82" spans="2:52" s="124" customFormat="1" x14ac:dyDescent="0.25">
      <c r="B82" s="127">
        <v>44321</v>
      </c>
      <c r="C82" s="127">
        <v>44322</v>
      </c>
      <c r="D82" s="128" t="s">
        <v>269</v>
      </c>
      <c r="E82" s="128" t="s">
        <v>33</v>
      </c>
      <c r="F82" s="124">
        <v>1</v>
      </c>
      <c r="G82" s="144" t="s">
        <v>277</v>
      </c>
      <c r="J82" s="149"/>
      <c r="K82" s="128" t="e">
        <f>VLOOKUP(G82,'BASE PASAJEROS'!A:B,2,FALSE)</f>
        <v>#N/A</v>
      </c>
      <c r="L82" s="128" t="s">
        <v>316</v>
      </c>
      <c r="M82" s="128" t="e">
        <f>VLOOKUP(G82,'BASE PASAJEROS'!A:H,8,FALSE)</f>
        <v>#N/A</v>
      </c>
      <c r="N82" s="128"/>
      <c r="O82" s="128"/>
      <c r="P82" s="128" t="e">
        <f>VLOOKUP(G82,'BASE PASAJEROS'!A:F,6,FALSE)</f>
        <v>#N/A</v>
      </c>
      <c r="Q82" s="128" t="e">
        <f>VLOOKUP(G82,'BASE PASAJEROS'!A:C,3,FALSE)</f>
        <v>#N/A</v>
      </c>
      <c r="R82" s="128" t="e">
        <f>VLOOKUP(G82,'BASE PASAJEROS'!A:G,7,FALSE)</f>
        <v>#N/A</v>
      </c>
      <c r="S82" s="128" t="e">
        <f t="shared" si="11"/>
        <v>#N/A</v>
      </c>
      <c r="T82" s="128" t="s">
        <v>320</v>
      </c>
      <c r="U82" s="130" t="e">
        <f>VLOOKUP(G82,'BASE PASAJEROS'!A:AG,33,FALSE)</f>
        <v>#N/A</v>
      </c>
      <c r="V82" s="130" t="e">
        <f>VLOOKUP(G82,'BASE PASAJEROS'!A:AH,34,FALSE)</f>
        <v>#N/A</v>
      </c>
      <c r="W82" s="128"/>
      <c r="X82" s="142" t="s">
        <v>307</v>
      </c>
      <c r="Y82" s="128" t="s">
        <v>38</v>
      </c>
      <c r="Z82" s="128" t="s">
        <v>43</v>
      </c>
      <c r="AA82" s="128" t="s">
        <v>317</v>
      </c>
      <c r="AB82" s="128" t="e">
        <f>VLOOKUP(AA82,'BASE BANCOS'!$A$2:$D$202,3,FALSE)</f>
        <v>#N/A</v>
      </c>
      <c r="AC82" s="128" t="s">
        <v>318</v>
      </c>
      <c r="AD82" s="129" t="e">
        <f>VLOOKUP(AC82,'BASE CONDUCTORES'!E:G,3,FALSE)</f>
        <v>#N/A</v>
      </c>
      <c r="AE82" s="24"/>
      <c r="AF82" s="75"/>
      <c r="AG82" s="75"/>
      <c r="AH82" s="75"/>
      <c r="AI82" s="75"/>
      <c r="AJ82" s="79"/>
      <c r="AO82" s="150"/>
      <c r="AP82" s="150"/>
      <c r="AU82" s="151"/>
      <c r="AV82" s="133"/>
    </row>
    <row r="83" spans="2:52" s="124" customFormat="1" x14ac:dyDescent="0.25">
      <c r="B83" s="127">
        <v>44321</v>
      </c>
      <c r="C83" s="127">
        <v>44322</v>
      </c>
      <c r="D83" s="128" t="s">
        <v>269</v>
      </c>
      <c r="E83" s="128" t="s">
        <v>33</v>
      </c>
      <c r="F83" s="124">
        <v>1</v>
      </c>
      <c r="G83" s="153" t="s">
        <v>278</v>
      </c>
      <c r="J83" s="149"/>
      <c r="K83" s="128" t="e">
        <f>VLOOKUP(G83,'BASE PASAJEROS'!A:B,2,FALSE)</f>
        <v>#N/A</v>
      </c>
      <c r="L83" s="128" t="s">
        <v>316</v>
      </c>
      <c r="M83" s="128" t="e">
        <f>VLOOKUP(G83,'BASE PASAJEROS'!A:H,8,FALSE)</f>
        <v>#N/A</v>
      </c>
      <c r="N83" s="128"/>
      <c r="O83" s="128"/>
      <c r="P83" s="128" t="e">
        <f>VLOOKUP(G83,'BASE PASAJEROS'!A:F,6,FALSE)</f>
        <v>#N/A</v>
      </c>
      <c r="Q83" s="128" t="e">
        <f>VLOOKUP(G83,'BASE PASAJEROS'!A:C,3,FALSE)</f>
        <v>#N/A</v>
      </c>
      <c r="R83" s="128" t="e">
        <f>VLOOKUP(G83,'BASE PASAJEROS'!A:G,7,FALSE)</f>
        <v>#N/A</v>
      </c>
      <c r="S83" s="128" t="e">
        <f t="shared" si="11"/>
        <v>#N/A</v>
      </c>
      <c r="T83" s="128" t="s">
        <v>320</v>
      </c>
      <c r="U83" s="130" t="e">
        <f>VLOOKUP(G83,'BASE PASAJEROS'!A:AG,33,FALSE)</f>
        <v>#N/A</v>
      </c>
      <c r="V83" s="130" t="e">
        <f>VLOOKUP(G83,'BASE PASAJEROS'!A:AH,34,FALSE)</f>
        <v>#N/A</v>
      </c>
      <c r="W83" s="128"/>
      <c r="X83" s="142" t="s">
        <v>307</v>
      </c>
      <c r="Y83" s="128" t="s">
        <v>38</v>
      </c>
      <c r="Z83" s="128" t="s">
        <v>43</v>
      </c>
      <c r="AA83" s="128" t="s">
        <v>317</v>
      </c>
      <c r="AB83" s="128" t="e">
        <f>VLOOKUP(AA83,'BASE BANCOS'!$A$2:$D$202,3,FALSE)</f>
        <v>#N/A</v>
      </c>
      <c r="AC83" s="128" t="s">
        <v>318</v>
      </c>
      <c r="AD83" s="129" t="e">
        <f>VLOOKUP(AC83,'BASE CONDUCTORES'!E:G,3,FALSE)</f>
        <v>#N/A</v>
      </c>
      <c r="AE83" s="24"/>
      <c r="AF83" s="75"/>
      <c r="AG83" s="75"/>
      <c r="AH83" s="75"/>
      <c r="AI83" s="75"/>
      <c r="AJ83" s="79"/>
      <c r="AO83" s="150"/>
      <c r="AP83" s="150"/>
      <c r="AU83" s="151"/>
      <c r="AV83" s="133"/>
    </row>
    <row r="84" spans="2:52" s="124" customFormat="1" x14ac:dyDescent="0.25">
      <c r="B84" s="127">
        <v>44321</v>
      </c>
      <c r="C84" s="127">
        <v>44322</v>
      </c>
      <c r="D84" s="128" t="s">
        <v>269</v>
      </c>
      <c r="E84" s="128" t="s">
        <v>33</v>
      </c>
      <c r="F84" s="124">
        <v>1</v>
      </c>
      <c r="G84" s="153" t="s">
        <v>279</v>
      </c>
      <c r="J84" s="149"/>
      <c r="K84" s="128" t="e">
        <f>VLOOKUP(G84,'BASE PASAJEROS'!A:B,2,FALSE)</f>
        <v>#N/A</v>
      </c>
      <c r="L84" s="128" t="s">
        <v>316</v>
      </c>
      <c r="M84" s="128" t="e">
        <f>VLOOKUP(G84,'BASE PASAJEROS'!A:H,8,FALSE)</f>
        <v>#N/A</v>
      </c>
      <c r="N84" s="128"/>
      <c r="O84" s="128"/>
      <c r="P84" s="128" t="e">
        <f>VLOOKUP(G84,'BASE PASAJEROS'!A:F,6,FALSE)</f>
        <v>#N/A</v>
      </c>
      <c r="Q84" s="128" t="e">
        <f>VLOOKUP(G84,'BASE PASAJEROS'!A:C,3,FALSE)</f>
        <v>#N/A</v>
      </c>
      <c r="R84" s="128" t="e">
        <f>VLOOKUP(G84,'BASE PASAJEROS'!A:G,7,FALSE)</f>
        <v>#N/A</v>
      </c>
      <c r="S84" s="128" t="e">
        <f t="shared" si="11"/>
        <v>#N/A</v>
      </c>
      <c r="T84" s="128" t="s">
        <v>320</v>
      </c>
      <c r="U84" s="130" t="e">
        <f>VLOOKUP(G84,'BASE PASAJEROS'!A:AG,33,FALSE)</f>
        <v>#N/A</v>
      </c>
      <c r="V84" s="130" t="e">
        <f>VLOOKUP(G84,'BASE PASAJEROS'!A:AH,34,FALSE)</f>
        <v>#N/A</v>
      </c>
      <c r="W84" s="128"/>
      <c r="X84" s="142" t="s">
        <v>307</v>
      </c>
      <c r="Y84" s="128" t="s">
        <v>38</v>
      </c>
      <c r="Z84" s="128" t="s">
        <v>43</v>
      </c>
      <c r="AA84" s="128" t="s">
        <v>317</v>
      </c>
      <c r="AB84" s="128" t="e">
        <f>VLOOKUP(AA84,'BASE BANCOS'!$A$2:$D$202,3,FALSE)</f>
        <v>#N/A</v>
      </c>
      <c r="AC84" s="128" t="s">
        <v>318</v>
      </c>
      <c r="AD84" s="129" t="e">
        <f>VLOOKUP(AC84,'BASE CONDUCTORES'!E:G,3,FALSE)</f>
        <v>#N/A</v>
      </c>
      <c r="AE84" s="24"/>
      <c r="AF84" s="75"/>
      <c r="AG84" s="75"/>
      <c r="AH84" s="75"/>
      <c r="AI84" s="75"/>
      <c r="AJ84" s="79"/>
      <c r="AO84" s="150"/>
      <c r="AP84" s="150"/>
      <c r="AU84" s="151"/>
      <c r="AV84" s="133"/>
    </row>
    <row r="85" spans="2:52" s="124" customFormat="1" x14ac:dyDescent="0.25">
      <c r="B85" s="127">
        <v>44321</v>
      </c>
      <c r="C85" s="127">
        <v>44322</v>
      </c>
      <c r="D85" s="128" t="s">
        <v>269</v>
      </c>
      <c r="E85" s="128" t="s">
        <v>33</v>
      </c>
      <c r="F85" s="124">
        <v>1</v>
      </c>
      <c r="G85" s="144" t="s">
        <v>280</v>
      </c>
      <c r="J85" s="149"/>
      <c r="K85" s="128" t="e">
        <f>VLOOKUP(G85,'BASE PASAJEROS'!A:B,2,FALSE)</f>
        <v>#N/A</v>
      </c>
      <c r="L85" s="128" t="s">
        <v>316</v>
      </c>
      <c r="M85" s="128" t="e">
        <f>VLOOKUP(G85,'BASE PASAJEROS'!A:H,8,FALSE)</f>
        <v>#N/A</v>
      </c>
      <c r="N85" s="128"/>
      <c r="O85" s="128"/>
      <c r="P85" s="128" t="e">
        <f>VLOOKUP(G85,'BASE PASAJEROS'!A:F,6,FALSE)</f>
        <v>#N/A</v>
      </c>
      <c r="Q85" s="128" t="e">
        <f>VLOOKUP(G85,'BASE PASAJEROS'!A:C,3,FALSE)</f>
        <v>#N/A</v>
      </c>
      <c r="R85" s="128" t="e">
        <f>VLOOKUP(G85,'BASE PASAJEROS'!A:G,7,FALSE)</f>
        <v>#N/A</v>
      </c>
      <c r="S85" s="128" t="e">
        <f t="shared" si="11"/>
        <v>#N/A</v>
      </c>
      <c r="T85" s="128" t="s">
        <v>320</v>
      </c>
      <c r="U85" s="130" t="e">
        <f>VLOOKUP(G85,'BASE PASAJEROS'!A:AG,33,FALSE)</f>
        <v>#N/A</v>
      </c>
      <c r="V85" s="130" t="e">
        <f>VLOOKUP(G85,'BASE PASAJEROS'!A:AH,34,FALSE)</f>
        <v>#N/A</v>
      </c>
      <c r="W85" s="128"/>
      <c r="X85" s="142" t="s">
        <v>308</v>
      </c>
      <c r="Y85" s="128" t="s">
        <v>32</v>
      </c>
      <c r="Z85" s="128" t="s">
        <v>31</v>
      </c>
      <c r="AA85" s="128" t="s">
        <v>317</v>
      </c>
      <c r="AB85" s="128" t="e">
        <f>VLOOKUP(AA85,'BASE BANCOS'!$A$2:$D$202,3,FALSE)</f>
        <v>#N/A</v>
      </c>
      <c r="AC85" s="128" t="s">
        <v>318</v>
      </c>
      <c r="AD85" s="129" t="e">
        <f>VLOOKUP(AC85,'BASE CONDUCTORES'!E:G,3,FALSE)</f>
        <v>#N/A</v>
      </c>
      <c r="AE85" s="24"/>
      <c r="AF85" s="75"/>
      <c r="AG85" s="75"/>
      <c r="AH85" s="75"/>
      <c r="AI85" s="75"/>
      <c r="AJ85" s="79"/>
      <c r="AO85" s="150"/>
      <c r="AP85" s="150"/>
      <c r="AU85" s="151"/>
      <c r="AV85" s="133"/>
    </row>
    <row r="86" spans="2:52" s="124" customFormat="1" x14ac:dyDescent="0.25">
      <c r="B86" s="127">
        <v>44321</v>
      </c>
      <c r="C86" s="127">
        <v>44322</v>
      </c>
      <c r="D86" s="128" t="s">
        <v>269</v>
      </c>
      <c r="E86" s="128" t="s">
        <v>33</v>
      </c>
      <c r="F86" s="124">
        <v>1</v>
      </c>
      <c r="G86" s="144" t="s">
        <v>281</v>
      </c>
      <c r="J86" s="149"/>
      <c r="K86" s="128" t="e">
        <f>VLOOKUP(G86,'BASE PASAJEROS'!A:B,2,FALSE)</f>
        <v>#N/A</v>
      </c>
      <c r="L86" s="128" t="s">
        <v>316</v>
      </c>
      <c r="M86" s="128" t="e">
        <f>VLOOKUP(G86,'BASE PASAJEROS'!A:H,8,FALSE)</f>
        <v>#N/A</v>
      </c>
      <c r="N86" s="128"/>
      <c r="O86" s="128"/>
      <c r="P86" s="128" t="e">
        <f>VLOOKUP(G86,'BASE PASAJEROS'!A:F,6,FALSE)</f>
        <v>#N/A</v>
      </c>
      <c r="Q86" s="128" t="e">
        <f>VLOOKUP(G86,'BASE PASAJEROS'!A:C,3,FALSE)</f>
        <v>#N/A</v>
      </c>
      <c r="R86" s="128" t="e">
        <f>VLOOKUP(G86,'BASE PASAJEROS'!A:G,7,FALSE)</f>
        <v>#N/A</v>
      </c>
      <c r="S86" s="128" t="e">
        <f t="shared" si="11"/>
        <v>#N/A</v>
      </c>
      <c r="T86" s="128" t="s">
        <v>320</v>
      </c>
      <c r="U86" s="130" t="e">
        <f>VLOOKUP(G86,'BASE PASAJEROS'!A:AG,33,FALSE)</f>
        <v>#N/A</v>
      </c>
      <c r="V86" s="130" t="e">
        <f>VLOOKUP(G86,'BASE PASAJEROS'!A:AH,34,FALSE)</f>
        <v>#N/A</v>
      </c>
      <c r="W86" s="128"/>
      <c r="X86" s="142" t="s">
        <v>308</v>
      </c>
      <c r="Y86" s="128" t="s">
        <v>32</v>
      </c>
      <c r="Z86" s="128" t="s">
        <v>31</v>
      </c>
      <c r="AA86" s="128" t="s">
        <v>317</v>
      </c>
      <c r="AB86" s="128" t="e">
        <f>VLOOKUP(AA86,'BASE BANCOS'!$A$2:$D$202,3,FALSE)</f>
        <v>#N/A</v>
      </c>
      <c r="AC86" s="128" t="s">
        <v>318</v>
      </c>
      <c r="AD86" s="129" t="e">
        <f>VLOOKUP(AC86,'BASE CONDUCTORES'!E:G,3,FALSE)</f>
        <v>#N/A</v>
      </c>
      <c r="AE86" s="24"/>
      <c r="AF86" s="75"/>
      <c r="AG86" s="75"/>
      <c r="AH86" s="75"/>
      <c r="AI86" s="75"/>
      <c r="AJ86" s="79"/>
      <c r="AO86" s="150"/>
      <c r="AP86" s="150"/>
      <c r="AU86" s="151"/>
      <c r="AV86" s="133"/>
    </row>
    <row r="87" spans="2:52" s="124" customFormat="1" x14ac:dyDescent="0.25">
      <c r="B87" s="127">
        <v>44321</v>
      </c>
      <c r="C87" s="127">
        <v>44322</v>
      </c>
      <c r="D87" s="128" t="s">
        <v>269</v>
      </c>
      <c r="E87" s="128" t="s">
        <v>33</v>
      </c>
      <c r="F87" s="124">
        <v>1</v>
      </c>
      <c r="G87" s="144" t="s">
        <v>282</v>
      </c>
      <c r="J87" s="149"/>
      <c r="K87" s="128" t="e">
        <f>VLOOKUP(G87,'BASE PASAJEROS'!A:B,2,FALSE)</f>
        <v>#N/A</v>
      </c>
      <c r="L87" s="128" t="s">
        <v>316</v>
      </c>
      <c r="M87" s="128" t="e">
        <f>VLOOKUP(G87,'BASE PASAJEROS'!A:H,8,FALSE)</f>
        <v>#N/A</v>
      </c>
      <c r="N87" s="128"/>
      <c r="O87" s="128"/>
      <c r="P87" s="128" t="e">
        <f>VLOOKUP(G87,'BASE PASAJEROS'!A:F,6,FALSE)</f>
        <v>#N/A</v>
      </c>
      <c r="Q87" s="128" t="e">
        <f>VLOOKUP(G87,'BASE PASAJEROS'!A:C,3,FALSE)</f>
        <v>#N/A</v>
      </c>
      <c r="R87" s="128" t="e">
        <f>VLOOKUP(G87,'BASE PASAJEROS'!A:G,7,FALSE)</f>
        <v>#N/A</v>
      </c>
      <c r="S87" s="128" t="e">
        <f t="shared" si="11"/>
        <v>#N/A</v>
      </c>
      <c r="T87" s="128" t="s">
        <v>320</v>
      </c>
      <c r="U87" s="130" t="e">
        <f>VLOOKUP(G87,'BASE PASAJEROS'!A:AG,33,FALSE)</f>
        <v>#N/A</v>
      </c>
      <c r="V87" s="130" t="e">
        <f>VLOOKUP(G87,'BASE PASAJEROS'!A:AH,34,FALSE)</f>
        <v>#N/A</v>
      </c>
      <c r="W87" s="128"/>
      <c r="X87" s="142" t="s">
        <v>308</v>
      </c>
      <c r="Y87" s="128" t="s">
        <v>32</v>
      </c>
      <c r="Z87" s="128" t="s">
        <v>31</v>
      </c>
      <c r="AA87" s="128" t="s">
        <v>317</v>
      </c>
      <c r="AB87" s="128" t="e">
        <f>VLOOKUP(AA87,'BASE BANCOS'!$A$2:$D$202,3,FALSE)</f>
        <v>#N/A</v>
      </c>
      <c r="AC87" s="128" t="s">
        <v>318</v>
      </c>
      <c r="AD87" s="129" t="e">
        <f>VLOOKUP(AC87,'BASE CONDUCTORES'!E:G,3,FALSE)</f>
        <v>#N/A</v>
      </c>
      <c r="AE87" s="24"/>
      <c r="AF87" s="75"/>
      <c r="AG87" s="75"/>
      <c r="AH87" s="75"/>
      <c r="AI87" s="75"/>
      <c r="AJ87" s="79"/>
      <c r="AO87" s="150"/>
      <c r="AP87" s="150"/>
      <c r="AU87" s="151"/>
      <c r="AV87" s="133"/>
    </row>
    <row r="88" spans="2:52" s="124" customFormat="1" x14ac:dyDescent="0.25">
      <c r="B88" s="127">
        <v>44321</v>
      </c>
      <c r="C88" s="127">
        <v>44322</v>
      </c>
      <c r="D88" s="128" t="s">
        <v>269</v>
      </c>
      <c r="E88" s="128" t="s">
        <v>33</v>
      </c>
      <c r="F88" s="124">
        <v>1</v>
      </c>
      <c r="G88" s="153" t="s">
        <v>283</v>
      </c>
      <c r="J88" s="149"/>
      <c r="K88" s="128" t="e">
        <f>VLOOKUP(G88,'BASE PASAJEROS'!A:B,2,FALSE)</f>
        <v>#N/A</v>
      </c>
      <c r="L88" s="128" t="s">
        <v>316</v>
      </c>
      <c r="M88" s="128" t="e">
        <f>VLOOKUP(G88,'BASE PASAJEROS'!A:H,8,FALSE)</f>
        <v>#N/A</v>
      </c>
      <c r="N88" s="128"/>
      <c r="O88" s="128"/>
      <c r="P88" s="128" t="e">
        <f>VLOOKUP(G88,'BASE PASAJEROS'!A:F,6,FALSE)</f>
        <v>#N/A</v>
      </c>
      <c r="Q88" s="128" t="e">
        <f>VLOOKUP(G88,'BASE PASAJEROS'!A:C,3,FALSE)</f>
        <v>#N/A</v>
      </c>
      <c r="R88" s="128" t="e">
        <f>VLOOKUP(G88,'BASE PASAJEROS'!A:G,7,FALSE)</f>
        <v>#N/A</v>
      </c>
      <c r="S88" s="128" t="e">
        <f>+Q88</f>
        <v>#N/A</v>
      </c>
      <c r="T88" s="128" t="s">
        <v>320</v>
      </c>
      <c r="U88" s="130" t="e">
        <f>VLOOKUP(G88,'BASE PASAJEROS'!A:AG,33,FALSE)</f>
        <v>#N/A</v>
      </c>
      <c r="V88" s="130" t="e">
        <f>VLOOKUP(G88,'BASE PASAJEROS'!A:AH,34,FALSE)</f>
        <v>#N/A</v>
      </c>
      <c r="W88" s="128"/>
      <c r="X88" s="142" t="s">
        <v>307</v>
      </c>
      <c r="Y88" s="128" t="s">
        <v>38</v>
      </c>
      <c r="Z88" s="128" t="s">
        <v>43</v>
      </c>
      <c r="AA88" s="128" t="s">
        <v>317</v>
      </c>
      <c r="AB88" s="128" t="e">
        <f>VLOOKUP(AA88,'BASE BANCOS'!$A$2:$D$202,3,FALSE)</f>
        <v>#N/A</v>
      </c>
      <c r="AC88" s="128" t="s">
        <v>318</v>
      </c>
      <c r="AD88" s="129" t="e">
        <f>VLOOKUP(AC88,'BASE CONDUCTORES'!E:G,3,FALSE)</f>
        <v>#N/A</v>
      </c>
      <c r="AE88" s="24"/>
      <c r="AF88" s="75"/>
      <c r="AG88" s="75"/>
      <c r="AH88" s="75"/>
      <c r="AI88" s="75"/>
      <c r="AJ88" s="79"/>
      <c r="AO88" s="150"/>
      <c r="AP88" s="150"/>
      <c r="AU88" s="151"/>
      <c r="AV88" s="133"/>
    </row>
    <row r="89" spans="2:52" s="124" customFormat="1" x14ac:dyDescent="0.25">
      <c r="B89" s="127">
        <v>44321</v>
      </c>
      <c r="C89" s="127">
        <v>44322</v>
      </c>
      <c r="D89" s="128" t="s">
        <v>269</v>
      </c>
      <c r="E89" s="128" t="s">
        <v>33</v>
      </c>
      <c r="F89" s="124">
        <v>1</v>
      </c>
      <c r="G89" s="153" t="s">
        <v>284</v>
      </c>
      <c r="J89" s="149"/>
      <c r="K89" s="128" t="e">
        <f>VLOOKUP(G89,'BASE PASAJEROS'!A:B,2,FALSE)</f>
        <v>#N/A</v>
      </c>
      <c r="L89" s="128" t="s">
        <v>316</v>
      </c>
      <c r="M89" s="128" t="e">
        <f>VLOOKUP(G89,'BASE PASAJEROS'!A:H,8,FALSE)</f>
        <v>#N/A</v>
      </c>
      <c r="N89" s="128"/>
      <c r="O89" s="128"/>
      <c r="P89" s="128" t="e">
        <f>VLOOKUP(G89,'BASE PASAJEROS'!A:F,6,FALSE)</f>
        <v>#N/A</v>
      </c>
      <c r="Q89" s="128" t="e">
        <f>VLOOKUP(G89,'BASE PASAJEROS'!A:C,3,FALSE)</f>
        <v>#N/A</v>
      </c>
      <c r="R89" s="128" t="e">
        <f>VLOOKUP(G89,'BASE PASAJEROS'!A:G,7,FALSE)</f>
        <v>#N/A</v>
      </c>
      <c r="S89" s="128" t="e">
        <f>+Q89</f>
        <v>#N/A</v>
      </c>
      <c r="T89" s="128" t="s">
        <v>320</v>
      </c>
      <c r="U89" s="130" t="e">
        <f>VLOOKUP(G89,'BASE PASAJEROS'!A:AG,33,FALSE)</f>
        <v>#N/A</v>
      </c>
      <c r="V89" s="130" t="e">
        <f>VLOOKUP(G89,'BASE PASAJEROS'!A:AH,34,FALSE)</f>
        <v>#N/A</v>
      </c>
      <c r="W89" s="128"/>
      <c r="X89" s="142" t="s">
        <v>308</v>
      </c>
      <c r="Y89" s="128" t="s">
        <v>32</v>
      </c>
      <c r="Z89" s="128" t="s">
        <v>31</v>
      </c>
      <c r="AA89" s="128" t="s">
        <v>317</v>
      </c>
      <c r="AB89" s="128" t="e">
        <f>VLOOKUP(AA89,'BASE BANCOS'!$A$2:$D$202,3,FALSE)</f>
        <v>#N/A</v>
      </c>
      <c r="AC89" s="128" t="s">
        <v>318</v>
      </c>
      <c r="AD89" s="129" t="e">
        <f>VLOOKUP(AC89,'BASE CONDUCTORES'!E:G,3,FALSE)</f>
        <v>#N/A</v>
      </c>
      <c r="AE89" s="24"/>
      <c r="AF89" s="75"/>
      <c r="AG89" s="75"/>
      <c r="AH89" s="75"/>
      <c r="AI89" s="75"/>
      <c r="AJ89" s="79"/>
      <c r="AO89" s="150"/>
      <c r="AP89" s="150"/>
      <c r="AU89" s="151"/>
      <c r="AV89" s="133"/>
    </row>
    <row r="90" spans="2:52" s="124" customFormat="1" x14ac:dyDescent="0.25">
      <c r="B90" s="127">
        <v>44321</v>
      </c>
      <c r="C90" s="127">
        <v>44322</v>
      </c>
      <c r="D90" s="128" t="s">
        <v>269</v>
      </c>
      <c r="E90" s="128" t="s">
        <v>33</v>
      </c>
      <c r="F90" s="124">
        <v>1</v>
      </c>
      <c r="G90" s="153" t="s">
        <v>285</v>
      </c>
      <c r="J90" s="149"/>
      <c r="K90" s="128" t="e">
        <f>VLOOKUP(G90,'BASE PASAJEROS'!A:B,2,FALSE)</f>
        <v>#N/A</v>
      </c>
      <c r="L90" s="128" t="s">
        <v>316</v>
      </c>
      <c r="M90" s="128" t="e">
        <f>VLOOKUP(G90,'BASE PASAJEROS'!A:H,8,FALSE)</f>
        <v>#N/A</v>
      </c>
      <c r="N90" s="128"/>
      <c r="O90" s="128"/>
      <c r="P90" s="128" t="e">
        <f>VLOOKUP(G90,'BASE PASAJEROS'!A:F,6,FALSE)</f>
        <v>#N/A</v>
      </c>
      <c r="Q90" s="128" t="e">
        <f>VLOOKUP(G90,'BASE PASAJEROS'!A:C,3,FALSE)</f>
        <v>#N/A</v>
      </c>
      <c r="R90" s="128" t="e">
        <f>VLOOKUP(G90,'BASE PASAJEROS'!A:G,7,FALSE)</f>
        <v>#N/A</v>
      </c>
      <c r="S90" s="128" t="e">
        <f>+Q90</f>
        <v>#N/A</v>
      </c>
      <c r="T90" s="128" t="s">
        <v>320</v>
      </c>
      <c r="U90" s="130" t="e">
        <f>VLOOKUP(G90,'BASE PASAJEROS'!A:AG,33,FALSE)</f>
        <v>#N/A</v>
      </c>
      <c r="V90" s="130" t="e">
        <f>VLOOKUP(G90,'BASE PASAJEROS'!A:AH,34,FALSE)</f>
        <v>#N/A</v>
      </c>
      <c r="W90" s="128"/>
      <c r="X90" s="142" t="s">
        <v>307</v>
      </c>
      <c r="Y90" s="128" t="s">
        <v>38</v>
      </c>
      <c r="Z90" s="128" t="s">
        <v>43</v>
      </c>
      <c r="AA90" s="128" t="s">
        <v>317</v>
      </c>
      <c r="AB90" s="128" t="e">
        <f>VLOOKUP(AA90,'BASE BANCOS'!$A$2:$D$202,3,FALSE)</f>
        <v>#N/A</v>
      </c>
      <c r="AC90" s="128" t="s">
        <v>318</v>
      </c>
      <c r="AD90" s="129" t="e">
        <f>VLOOKUP(AC90,'BASE CONDUCTORES'!E:G,3,FALSE)</f>
        <v>#N/A</v>
      </c>
      <c r="AE90" s="24"/>
      <c r="AF90" s="75"/>
      <c r="AG90" s="75"/>
      <c r="AH90" s="75"/>
      <c r="AI90" s="75"/>
      <c r="AJ90" s="79"/>
      <c r="AO90" s="150"/>
      <c r="AP90" s="150"/>
      <c r="AU90" s="151"/>
      <c r="AV90" s="133"/>
    </row>
    <row r="91" spans="2:52" s="124" customFormat="1" x14ac:dyDescent="0.25">
      <c r="B91" s="127">
        <v>44321</v>
      </c>
      <c r="C91" s="127">
        <v>44322</v>
      </c>
      <c r="D91" s="128" t="s">
        <v>269</v>
      </c>
      <c r="E91" s="128" t="s">
        <v>33</v>
      </c>
      <c r="F91" s="124">
        <v>1</v>
      </c>
      <c r="G91" s="144" t="s">
        <v>286</v>
      </c>
      <c r="J91" s="149"/>
      <c r="K91" s="128" t="e">
        <f>VLOOKUP(G91,'BASE PASAJEROS'!A:B,2,FALSE)</f>
        <v>#N/A</v>
      </c>
      <c r="L91" s="128" t="s">
        <v>316</v>
      </c>
      <c r="M91" s="128" t="e">
        <f>VLOOKUP(G91,'BASE PASAJEROS'!A:H,8,FALSE)</f>
        <v>#N/A</v>
      </c>
      <c r="N91" s="128"/>
      <c r="O91" s="128"/>
      <c r="P91" s="128" t="e">
        <f>VLOOKUP(G91,'BASE PASAJEROS'!A:F,6,FALSE)</f>
        <v>#N/A</v>
      </c>
      <c r="Q91" s="128" t="e">
        <f>VLOOKUP(G91,'BASE PASAJEROS'!A:C,3,FALSE)</f>
        <v>#N/A</v>
      </c>
      <c r="R91" s="128" t="e">
        <f>VLOOKUP(G91,'BASE PASAJEROS'!A:G,7,FALSE)</f>
        <v>#N/A</v>
      </c>
      <c r="S91" s="128" t="e">
        <f>+Q91</f>
        <v>#N/A</v>
      </c>
      <c r="T91" s="128" t="s">
        <v>320</v>
      </c>
      <c r="U91" s="130" t="e">
        <f>VLOOKUP(G91,'BASE PASAJEROS'!A:AG,33,FALSE)</f>
        <v>#N/A</v>
      </c>
      <c r="V91" s="130" t="e">
        <f>VLOOKUP(G91,'BASE PASAJEROS'!A:AH,34,FALSE)</f>
        <v>#N/A</v>
      </c>
      <c r="W91" s="128"/>
      <c r="X91" s="142" t="s">
        <v>306</v>
      </c>
      <c r="Y91" s="128" t="s">
        <v>27</v>
      </c>
      <c r="Z91" s="128" t="s">
        <v>26</v>
      </c>
      <c r="AA91" s="128" t="s">
        <v>317</v>
      </c>
      <c r="AB91" s="128" t="e">
        <f>VLOOKUP(AA91,'BASE BANCOS'!$A$2:$D$202,3,FALSE)</f>
        <v>#N/A</v>
      </c>
      <c r="AC91" s="128" t="s">
        <v>318</v>
      </c>
      <c r="AD91" s="129" t="e">
        <f>VLOOKUP(AC91,'BASE CONDUCTORES'!E:G,3,FALSE)</f>
        <v>#N/A</v>
      </c>
      <c r="AE91" s="24"/>
      <c r="AF91" s="75"/>
      <c r="AG91" s="75"/>
      <c r="AH91" s="75"/>
      <c r="AI91" s="75"/>
      <c r="AJ91" s="79"/>
      <c r="AO91" s="150"/>
      <c r="AP91" s="150"/>
      <c r="AU91" s="151"/>
      <c r="AV91" s="133"/>
    </row>
    <row r="92" spans="2:52" s="124" customFormat="1" x14ac:dyDescent="0.25">
      <c r="B92" s="127">
        <v>44321</v>
      </c>
      <c r="C92" s="127">
        <v>44322</v>
      </c>
      <c r="D92" s="128" t="s">
        <v>269</v>
      </c>
      <c r="E92" s="128" t="s">
        <v>33</v>
      </c>
      <c r="F92" s="124">
        <v>1</v>
      </c>
      <c r="G92" s="144" t="s">
        <v>121</v>
      </c>
      <c r="J92" s="149"/>
      <c r="K92" s="128" t="e">
        <f>VLOOKUP(G92,'BASE PASAJEROS'!A:B,2,FALSE)</f>
        <v>#N/A</v>
      </c>
      <c r="L92" s="128" t="s">
        <v>316</v>
      </c>
      <c r="M92" s="128" t="e">
        <f>VLOOKUP(G92,'BASE PASAJEROS'!A:H,8,FALSE)</f>
        <v>#N/A</v>
      </c>
      <c r="N92" s="128"/>
      <c r="O92" s="128"/>
      <c r="P92" s="128" t="e">
        <f>VLOOKUP(G92,'BASE PASAJEROS'!A:F,6,FALSE)</f>
        <v>#N/A</v>
      </c>
      <c r="Q92" s="128" t="e">
        <f>VLOOKUP(G92,'BASE PASAJEROS'!A:C,3,FALSE)</f>
        <v>#N/A</v>
      </c>
      <c r="R92" s="128" t="e">
        <f>VLOOKUP(G92,'BASE PASAJEROS'!A:G,7,FALSE)</f>
        <v>#N/A</v>
      </c>
      <c r="S92" s="128" t="e">
        <f>+Q92</f>
        <v>#N/A</v>
      </c>
      <c r="T92" s="128" t="s">
        <v>320</v>
      </c>
      <c r="U92" s="130" t="e">
        <f>VLOOKUP(G92,'BASE PASAJEROS'!A:AG,33,FALSE)</f>
        <v>#N/A</v>
      </c>
      <c r="V92" s="130" t="e">
        <f>VLOOKUP(G92,'BASE PASAJEROS'!A:AH,34,FALSE)</f>
        <v>#N/A</v>
      </c>
      <c r="W92" s="128"/>
      <c r="X92" s="142" t="s">
        <v>306</v>
      </c>
      <c r="Y92" s="128" t="s">
        <v>27</v>
      </c>
      <c r="Z92" s="128" t="s">
        <v>26</v>
      </c>
      <c r="AA92" s="128" t="s">
        <v>317</v>
      </c>
      <c r="AB92" s="128" t="e">
        <f>VLOOKUP(AA92,'BASE BANCOS'!$A$2:$D$202,3,FALSE)</f>
        <v>#N/A</v>
      </c>
      <c r="AC92" s="128" t="s">
        <v>318</v>
      </c>
      <c r="AD92" s="129" t="e">
        <f>VLOOKUP(AC92,'BASE CONDUCTORES'!E:G,3,FALSE)</f>
        <v>#N/A</v>
      </c>
      <c r="AE92" s="24"/>
      <c r="AF92" s="75"/>
      <c r="AG92" s="75"/>
      <c r="AH92" s="75"/>
      <c r="AI92" s="75"/>
      <c r="AJ92" s="79"/>
      <c r="AO92" s="150"/>
      <c r="AP92" s="150"/>
      <c r="AU92" s="151"/>
      <c r="AV92" s="133"/>
    </row>
    <row r="93" spans="2:52" s="124" customFormat="1" x14ac:dyDescent="0.25">
      <c r="B93" s="127">
        <v>44321</v>
      </c>
      <c r="C93" s="127">
        <v>44322</v>
      </c>
      <c r="D93" s="128" t="s">
        <v>269</v>
      </c>
      <c r="E93" s="128" t="s">
        <v>33</v>
      </c>
      <c r="F93" s="124">
        <v>1</v>
      </c>
      <c r="G93" s="144" t="s">
        <v>287</v>
      </c>
      <c r="J93" s="149"/>
      <c r="K93" s="128" t="e">
        <f>VLOOKUP(G93,'BASE PASAJEROS'!A:B,2,FALSE)</f>
        <v>#N/A</v>
      </c>
      <c r="L93" s="128" t="s">
        <v>316</v>
      </c>
      <c r="M93" s="128" t="e">
        <f>VLOOKUP(G93,'BASE PASAJEROS'!A:H,8,FALSE)</f>
        <v>#N/A</v>
      </c>
      <c r="N93" s="128"/>
      <c r="O93" s="128"/>
      <c r="P93" s="128" t="e">
        <f>VLOOKUP(G93,'BASE PASAJEROS'!A:F,6,FALSE)</f>
        <v>#N/A</v>
      </c>
      <c r="Q93" s="128" t="e">
        <f>VLOOKUP(G93,'BASE PASAJEROS'!A:C,3,FALSE)</f>
        <v>#N/A</v>
      </c>
      <c r="R93" s="128" t="e">
        <f>VLOOKUP(G93,'BASE PASAJEROS'!A:G,7,FALSE)</f>
        <v>#N/A</v>
      </c>
      <c r="S93" s="128"/>
      <c r="T93" s="128"/>
      <c r="U93" s="130" t="e">
        <f>VLOOKUP(G93,'BASE PASAJEROS'!A:AG,33,FALSE)</f>
        <v>#N/A</v>
      </c>
      <c r="V93" s="130" t="e">
        <f>VLOOKUP(G93,'BASE PASAJEROS'!A:AH,34,FALSE)</f>
        <v>#N/A</v>
      </c>
      <c r="W93" s="128"/>
      <c r="X93" s="155" t="s">
        <v>314</v>
      </c>
      <c r="Y93" s="128" t="s">
        <v>21</v>
      </c>
      <c r="Z93" s="128" t="s">
        <v>0</v>
      </c>
      <c r="AA93" s="128" t="s">
        <v>319</v>
      </c>
      <c r="AB93" s="128" t="e">
        <f>VLOOKUP(AA93,'BASE BANCOS'!$A$2:$D$202,3,FALSE)</f>
        <v>#N/A</v>
      </c>
      <c r="AC93" s="128"/>
      <c r="AD93" s="129" t="e">
        <f>VLOOKUP(AC93,'BASE CONDUCTORES'!E:G,3,FALSE)</f>
        <v>#N/A</v>
      </c>
      <c r="AE93" s="130"/>
      <c r="AF93" s="131"/>
      <c r="AG93" s="131"/>
      <c r="AH93" s="131">
        <f>+AF93-AG93</f>
        <v>0</v>
      </c>
      <c r="AI93" s="131" t="e">
        <f>VLOOKUP(G93,[4]Hoja1!$T:$AL,19,FALSE)</f>
        <v>#N/A</v>
      </c>
      <c r="AJ93" s="128"/>
      <c r="AK93" s="128" t="s">
        <v>370</v>
      </c>
      <c r="AL93" s="128"/>
      <c r="AM93" s="128"/>
      <c r="AN93" s="131">
        <f>+AM93*1.5</f>
        <v>0</v>
      </c>
      <c r="AO93" s="131">
        <f>+AH93+AM93</f>
        <v>0</v>
      </c>
      <c r="AP93" s="131" t="e">
        <f>+AI93+AN93</f>
        <v>#N/A</v>
      </c>
      <c r="AU93" s="132"/>
      <c r="AV93" s="133"/>
      <c r="AW93" s="134"/>
      <c r="AX93" s="134">
        <f>AO93-AW93</f>
        <v>0</v>
      </c>
      <c r="AY93" s="121"/>
      <c r="AZ93" s="121"/>
    </row>
    <row r="94" spans="2:52" s="124" customFormat="1" x14ac:dyDescent="0.25">
      <c r="B94" s="127">
        <v>44321</v>
      </c>
      <c r="C94" s="127">
        <v>44322</v>
      </c>
      <c r="D94" s="128" t="s">
        <v>269</v>
      </c>
      <c r="E94" s="128" t="s">
        <v>33</v>
      </c>
      <c r="F94" s="124">
        <v>1</v>
      </c>
      <c r="G94" s="135" t="s">
        <v>321</v>
      </c>
      <c r="J94" s="149"/>
      <c r="K94" s="128" t="e">
        <f>VLOOKUP(G94,'BASE PASAJEROS'!A:B,2,FALSE)</f>
        <v>#N/A</v>
      </c>
      <c r="L94" s="128" t="s">
        <v>316</v>
      </c>
      <c r="M94" s="128" t="e">
        <f>VLOOKUP(G94,'BASE PASAJEROS'!A:H,8,FALSE)</f>
        <v>#N/A</v>
      </c>
      <c r="N94" s="128"/>
      <c r="O94" s="128"/>
      <c r="P94" s="128" t="e">
        <f>VLOOKUP(G94,'BASE PASAJEROS'!A:F,6,FALSE)</f>
        <v>#N/A</v>
      </c>
      <c r="Q94" s="128" t="e">
        <f>VLOOKUP(G94,'BASE PASAJEROS'!A:C,3,FALSE)</f>
        <v>#N/A</v>
      </c>
      <c r="R94" s="128" t="e">
        <f>VLOOKUP(G94,'BASE PASAJEROS'!A:G,7,FALSE)</f>
        <v>#N/A</v>
      </c>
      <c r="S94" s="128"/>
      <c r="T94" s="128"/>
      <c r="U94" s="130" t="e">
        <f>VLOOKUP(G94,'BASE PASAJEROS'!A:AG,33,FALSE)</f>
        <v>#N/A</v>
      </c>
      <c r="V94" s="130" t="e">
        <f>VLOOKUP(G94,'BASE PASAJEROS'!A:AH,34,FALSE)</f>
        <v>#N/A</v>
      </c>
      <c r="W94" s="128"/>
      <c r="X94" s="145" t="s">
        <v>312</v>
      </c>
      <c r="Y94" s="128" t="s">
        <v>21</v>
      </c>
      <c r="Z94" s="128" t="s">
        <v>0</v>
      </c>
      <c r="AA94" s="128" t="s">
        <v>319</v>
      </c>
      <c r="AB94" s="128" t="e">
        <f>VLOOKUP(AA94,'BASE BANCOS'!$A$2:$D$202,3,FALSE)</f>
        <v>#N/A</v>
      </c>
      <c r="AC94" s="128"/>
      <c r="AD94" s="129" t="e">
        <f>VLOOKUP(AC94,'BASE CONDUCTORES'!E:G,3,FALSE)</f>
        <v>#N/A</v>
      </c>
      <c r="AE94" s="24"/>
      <c r="AF94" s="75"/>
      <c r="AG94" s="75"/>
      <c r="AH94" s="75"/>
      <c r="AI94" s="75"/>
      <c r="AJ94" s="79"/>
      <c r="AO94" s="150"/>
      <c r="AP94" s="150"/>
      <c r="AU94" s="151"/>
      <c r="AV94" s="133"/>
    </row>
    <row r="95" spans="2:52" s="124" customFormat="1" x14ac:dyDescent="0.25">
      <c r="B95" s="127">
        <v>44321</v>
      </c>
      <c r="C95" s="127">
        <v>44322</v>
      </c>
      <c r="D95" s="128" t="s">
        <v>269</v>
      </c>
      <c r="E95" s="128" t="s">
        <v>33</v>
      </c>
      <c r="F95" s="124">
        <v>1</v>
      </c>
      <c r="G95" s="144" t="s">
        <v>288</v>
      </c>
      <c r="J95" s="149"/>
      <c r="K95" s="128" t="e">
        <f>VLOOKUP(G95,'BASE PASAJEROS'!A:B,2,FALSE)</f>
        <v>#N/A</v>
      </c>
      <c r="L95" s="128" t="s">
        <v>316</v>
      </c>
      <c r="M95" s="128" t="e">
        <f>VLOOKUP(G95,'BASE PASAJEROS'!A:H,8,FALSE)</f>
        <v>#N/A</v>
      </c>
      <c r="N95" s="128"/>
      <c r="O95" s="128"/>
      <c r="P95" s="128" t="e">
        <f>VLOOKUP(G95,'BASE PASAJEROS'!A:F,6,FALSE)</f>
        <v>#N/A</v>
      </c>
      <c r="Q95" s="128" t="e">
        <f>VLOOKUP(G95,'BASE PASAJEROS'!A:C,3,FALSE)</f>
        <v>#N/A</v>
      </c>
      <c r="R95" s="128" t="e">
        <f>VLOOKUP(G95,'BASE PASAJEROS'!A:G,7,FALSE)</f>
        <v>#N/A</v>
      </c>
      <c r="S95" s="128"/>
      <c r="T95" s="128"/>
      <c r="U95" s="130" t="e">
        <f>VLOOKUP(G95,'BASE PASAJEROS'!A:AG,33,FALSE)</f>
        <v>#N/A</v>
      </c>
      <c r="V95" s="130" t="e">
        <f>VLOOKUP(G95,'BASE PASAJEROS'!A:AH,34,FALSE)</f>
        <v>#N/A</v>
      </c>
      <c r="W95" s="128"/>
      <c r="X95" s="155" t="s">
        <v>309</v>
      </c>
      <c r="Y95" s="128" t="s">
        <v>21</v>
      </c>
      <c r="Z95" s="128" t="s">
        <v>0</v>
      </c>
      <c r="AA95" s="128" t="s">
        <v>319</v>
      </c>
      <c r="AB95" s="128" t="e">
        <f>VLOOKUP(AA95,'BASE BANCOS'!$A$2:$D$202,3,FALSE)</f>
        <v>#N/A</v>
      </c>
      <c r="AC95" s="128"/>
      <c r="AD95" s="129" t="e">
        <f>VLOOKUP(AC95,'BASE CONDUCTORES'!E:G,3,FALSE)</f>
        <v>#N/A</v>
      </c>
      <c r="AE95" s="130"/>
      <c r="AF95" s="131"/>
      <c r="AG95" s="131"/>
      <c r="AH95" s="131">
        <f>+AF95-AG95</f>
        <v>0</v>
      </c>
      <c r="AI95" s="131" t="e">
        <f>VLOOKUP(G95,[4]Hoja1!$T:$AL,19,FALSE)</f>
        <v>#N/A</v>
      </c>
      <c r="AJ95" s="128"/>
      <c r="AK95" s="128"/>
      <c r="AL95" s="128"/>
      <c r="AM95" s="128"/>
      <c r="AN95" s="131">
        <f>+AM95*1.5</f>
        <v>0</v>
      </c>
      <c r="AO95" s="131">
        <f>+AH95+AM95</f>
        <v>0</v>
      </c>
      <c r="AP95" s="131" t="e">
        <f>+AI95+AN95</f>
        <v>#N/A</v>
      </c>
      <c r="AU95" s="132"/>
      <c r="AV95" s="133"/>
      <c r="AW95" s="134"/>
      <c r="AX95" s="134">
        <f>AO95-AW95</f>
        <v>0</v>
      </c>
      <c r="AY95" s="121"/>
      <c r="AZ95" s="121"/>
    </row>
    <row r="96" spans="2:52" s="124" customFormat="1" x14ac:dyDescent="0.25">
      <c r="B96" s="127">
        <v>44321</v>
      </c>
      <c r="C96" s="127">
        <v>44322</v>
      </c>
      <c r="D96" s="128" t="s">
        <v>269</v>
      </c>
      <c r="E96" s="128" t="s">
        <v>33</v>
      </c>
      <c r="F96" s="124">
        <v>1</v>
      </c>
      <c r="G96" s="144" t="s">
        <v>289</v>
      </c>
      <c r="J96" s="149"/>
      <c r="K96" s="128" t="e">
        <f>VLOOKUP(G96,'BASE PASAJEROS'!A:B,2,FALSE)</f>
        <v>#N/A</v>
      </c>
      <c r="L96" s="128" t="s">
        <v>316</v>
      </c>
      <c r="M96" s="128" t="e">
        <f>VLOOKUP(G96,'BASE PASAJEROS'!A:H,8,FALSE)</f>
        <v>#N/A</v>
      </c>
      <c r="N96" s="128"/>
      <c r="O96" s="128"/>
      <c r="P96" s="128" t="e">
        <f>VLOOKUP(G96,'BASE PASAJEROS'!A:F,6,FALSE)</f>
        <v>#N/A</v>
      </c>
      <c r="Q96" s="128" t="e">
        <f>VLOOKUP(G96,'BASE PASAJEROS'!A:C,3,FALSE)</f>
        <v>#N/A</v>
      </c>
      <c r="R96" s="128" t="e">
        <f>VLOOKUP(G96,'BASE PASAJEROS'!A:G,7,FALSE)</f>
        <v>#N/A</v>
      </c>
      <c r="S96" s="128"/>
      <c r="T96" s="128"/>
      <c r="U96" s="130" t="e">
        <f>VLOOKUP(G96,'BASE PASAJEROS'!A:AG,33,FALSE)</f>
        <v>#N/A</v>
      </c>
      <c r="V96" s="130" t="e">
        <f>VLOOKUP(G96,'BASE PASAJEROS'!A:AH,34,FALSE)</f>
        <v>#N/A</v>
      </c>
      <c r="W96" s="128"/>
      <c r="X96" s="155" t="s">
        <v>319</v>
      </c>
      <c r="Y96" s="128" t="s">
        <v>21</v>
      </c>
      <c r="Z96" s="128" t="s">
        <v>0</v>
      </c>
      <c r="AA96" s="128" t="s">
        <v>319</v>
      </c>
      <c r="AB96" s="128" t="e">
        <f>VLOOKUP(AA96,'BASE BANCOS'!$A$2:$D$202,3,FALSE)</f>
        <v>#N/A</v>
      </c>
      <c r="AC96" s="128"/>
      <c r="AD96" s="129" t="e">
        <f>VLOOKUP(AC96,'BASE CONDUCTORES'!E:G,3,FALSE)</f>
        <v>#N/A</v>
      </c>
      <c r="AE96" s="130"/>
      <c r="AF96" s="131"/>
      <c r="AG96" s="131"/>
      <c r="AH96" s="131">
        <f>+AF96-AG96</f>
        <v>0</v>
      </c>
      <c r="AI96" s="131" t="e">
        <f>VLOOKUP(G96,[4]Hoja1!$T:$AL,19,FALSE)</f>
        <v>#N/A</v>
      </c>
      <c r="AJ96" s="128"/>
      <c r="AK96" s="128"/>
      <c r="AL96" s="128"/>
      <c r="AM96" s="128"/>
      <c r="AN96" s="131">
        <f>+AM96*1.5</f>
        <v>0</v>
      </c>
      <c r="AO96" s="131">
        <f>+AH96+AM96</f>
        <v>0</v>
      </c>
      <c r="AP96" s="131" t="e">
        <f>+AI96+AN96</f>
        <v>#N/A</v>
      </c>
      <c r="AU96" s="132"/>
      <c r="AV96" s="133"/>
      <c r="AW96" s="134"/>
      <c r="AX96" s="134">
        <f>AO96-AW96</f>
        <v>0</v>
      </c>
      <c r="AY96" s="121"/>
      <c r="AZ96" s="121"/>
    </row>
    <row r="97" spans="2:48" s="124" customFormat="1" x14ac:dyDescent="0.25">
      <c r="B97" s="127">
        <v>44321</v>
      </c>
      <c r="C97" s="127">
        <v>44322</v>
      </c>
      <c r="D97" s="128" t="s">
        <v>269</v>
      </c>
      <c r="E97" s="128" t="s">
        <v>33</v>
      </c>
      <c r="F97" s="124">
        <v>1</v>
      </c>
      <c r="G97" s="144" t="s">
        <v>290</v>
      </c>
      <c r="J97" s="149"/>
      <c r="K97" s="128" t="s">
        <v>115</v>
      </c>
      <c r="L97" s="128" t="s">
        <v>316</v>
      </c>
      <c r="M97" s="128" t="s">
        <v>268</v>
      </c>
      <c r="N97" s="128"/>
      <c r="O97" s="128"/>
      <c r="P97" s="128">
        <v>0</v>
      </c>
      <c r="Q97" s="128" t="s">
        <v>304</v>
      </c>
      <c r="R97" s="128">
        <v>0</v>
      </c>
      <c r="S97" s="128" t="s">
        <v>304</v>
      </c>
      <c r="T97" s="128" t="s">
        <v>320</v>
      </c>
      <c r="U97" s="130">
        <v>11.4</v>
      </c>
      <c r="V97" s="130">
        <v>40</v>
      </c>
      <c r="W97" s="128"/>
      <c r="X97" s="142" t="s">
        <v>310</v>
      </c>
      <c r="Y97" s="128" t="s">
        <v>38</v>
      </c>
      <c r="AA97" s="128" t="s">
        <v>325</v>
      </c>
      <c r="AB97" s="128" t="e">
        <f>VLOOKUP(AA97,'BASE BANCOS'!$A$2:$D$202,3,FALSE)</f>
        <v>#N/A</v>
      </c>
      <c r="AC97" s="128" t="s">
        <v>326</v>
      </c>
      <c r="AD97" s="129" t="e">
        <f>VLOOKUP(AC97,'BASE CONDUCTORES'!E:G,3,FALSE)</f>
        <v>#N/A</v>
      </c>
      <c r="AH97" s="150"/>
      <c r="AI97" s="150"/>
      <c r="AN97" s="151"/>
      <c r="AO97" s="133"/>
    </row>
    <row r="98" spans="2:48" s="124" customFormat="1" x14ac:dyDescent="0.25">
      <c r="B98" s="127">
        <v>44321</v>
      </c>
      <c r="C98" s="127">
        <v>44322</v>
      </c>
      <c r="D98" s="128" t="s">
        <v>269</v>
      </c>
      <c r="E98" s="128" t="s">
        <v>33</v>
      </c>
      <c r="F98" s="124">
        <v>1</v>
      </c>
      <c r="G98" s="144" t="s">
        <v>290</v>
      </c>
      <c r="J98" s="149"/>
      <c r="K98" s="128" t="e">
        <f>VLOOKUP(G98,'BASE PASAJEROS'!A:B,2,FALSE)</f>
        <v>#N/A</v>
      </c>
      <c r="L98" s="128" t="s">
        <v>316</v>
      </c>
      <c r="M98" s="128" t="e">
        <f>VLOOKUP(G98,'BASE PASAJEROS'!A:H,8,FALSE)</f>
        <v>#N/A</v>
      </c>
      <c r="N98" s="128"/>
      <c r="O98" s="128"/>
      <c r="P98" s="128" t="e">
        <f>VLOOKUP(G98,'BASE PASAJEROS'!A:F,6,FALSE)</f>
        <v>#N/A</v>
      </c>
      <c r="Q98" s="128" t="e">
        <f>VLOOKUP(G98,'BASE PASAJEROS'!A:C,3,FALSE)</f>
        <v>#N/A</v>
      </c>
      <c r="R98" s="128" t="e">
        <f>VLOOKUP(G98,'BASE PASAJEROS'!A:G,7,FALSE)</f>
        <v>#N/A</v>
      </c>
      <c r="S98" s="128" t="s">
        <v>304</v>
      </c>
      <c r="T98" s="128" t="s">
        <v>320</v>
      </c>
      <c r="U98" s="130" t="e">
        <f>VLOOKUP(G98,'BASE PASAJEROS'!A:AG,33,FALSE)</f>
        <v>#N/A</v>
      </c>
      <c r="V98" s="130" t="e">
        <f>VLOOKUP(G98,'BASE PASAJEROS'!A:AH,34,FALSE)</f>
        <v>#N/A</v>
      </c>
      <c r="W98" s="128"/>
      <c r="X98" s="142" t="s">
        <v>310</v>
      </c>
      <c r="Y98" s="128" t="s">
        <v>32</v>
      </c>
      <c r="Z98" s="128" t="s">
        <v>31</v>
      </c>
      <c r="AA98" s="128" t="s">
        <v>317</v>
      </c>
      <c r="AB98" s="128" t="e">
        <f>VLOOKUP(AA98,'BASE BANCOS'!$A$2:$D$202,3,FALSE)</f>
        <v>#N/A</v>
      </c>
      <c r="AC98" s="128" t="s">
        <v>318</v>
      </c>
      <c r="AD98" s="129" t="e">
        <f>VLOOKUP(AC98,'BASE CONDUCTORES'!E:G,3,FALSE)</f>
        <v>#N/A</v>
      </c>
      <c r="AE98" s="24"/>
      <c r="AF98" s="75"/>
      <c r="AG98" s="75"/>
      <c r="AH98" s="75"/>
      <c r="AI98" s="75"/>
      <c r="AJ98" s="79"/>
      <c r="AO98" s="150"/>
      <c r="AP98" s="150"/>
      <c r="AU98" s="151"/>
      <c r="AV98" s="133"/>
    </row>
    <row r="99" spans="2:48" s="124" customFormat="1" x14ac:dyDescent="0.25">
      <c r="B99" s="127">
        <v>44321</v>
      </c>
      <c r="C99" s="127">
        <v>44322</v>
      </c>
      <c r="D99" s="128" t="s">
        <v>269</v>
      </c>
      <c r="E99" s="128" t="s">
        <v>33</v>
      </c>
      <c r="F99" s="124">
        <v>1</v>
      </c>
      <c r="G99" s="144" t="s">
        <v>291</v>
      </c>
      <c r="J99" s="149"/>
      <c r="K99" s="128" t="e">
        <f>VLOOKUP(G99,'BASE PASAJEROS'!A:B,2,FALSE)</f>
        <v>#N/A</v>
      </c>
      <c r="L99" s="128" t="s">
        <v>316</v>
      </c>
      <c r="M99" s="128" t="e">
        <f>VLOOKUP(G99,'BASE PASAJEROS'!A:H,8,FALSE)</f>
        <v>#N/A</v>
      </c>
      <c r="N99" s="128"/>
      <c r="O99" s="128"/>
      <c r="P99" s="128" t="e">
        <f>VLOOKUP(G99,'BASE PASAJEROS'!A:F,6,FALSE)</f>
        <v>#N/A</v>
      </c>
      <c r="Q99" s="128" t="e">
        <f>VLOOKUP(G99,'BASE PASAJEROS'!A:C,3,FALSE)</f>
        <v>#N/A</v>
      </c>
      <c r="R99" s="128" t="e">
        <f>VLOOKUP(G99,'BASE PASAJEROS'!A:G,7,FALSE)</f>
        <v>#N/A</v>
      </c>
      <c r="S99" s="128" t="e">
        <f>+Q99</f>
        <v>#N/A</v>
      </c>
      <c r="T99" s="128" t="s">
        <v>320</v>
      </c>
      <c r="U99" s="130" t="e">
        <f>VLOOKUP(G99,'BASE PASAJEROS'!A:AG,33,FALSE)</f>
        <v>#N/A</v>
      </c>
      <c r="V99" s="130" t="e">
        <f>VLOOKUP(G99,'BASE PASAJEROS'!A:AH,34,FALSE)</f>
        <v>#N/A</v>
      </c>
      <c r="W99" s="128"/>
      <c r="X99" s="142" t="s">
        <v>307</v>
      </c>
      <c r="Y99" s="128" t="s">
        <v>38</v>
      </c>
      <c r="Z99" s="128" t="s">
        <v>43</v>
      </c>
      <c r="AA99" s="128" t="s">
        <v>317</v>
      </c>
      <c r="AB99" s="128" t="e">
        <f>VLOOKUP(AA99,'BASE BANCOS'!$A$2:$D$202,3,FALSE)</f>
        <v>#N/A</v>
      </c>
      <c r="AC99" s="128" t="s">
        <v>318</v>
      </c>
      <c r="AD99" s="129" t="e">
        <f>VLOOKUP(AC99,'BASE CONDUCTORES'!E:G,3,FALSE)</f>
        <v>#N/A</v>
      </c>
      <c r="AE99" s="24"/>
      <c r="AF99" s="75"/>
      <c r="AG99" s="75"/>
      <c r="AH99" s="75"/>
      <c r="AI99" s="75"/>
      <c r="AJ99" s="79"/>
      <c r="AO99" s="150"/>
      <c r="AP99" s="150"/>
      <c r="AU99" s="151"/>
      <c r="AV99" s="133"/>
    </row>
    <row r="100" spans="2:48" s="124" customFormat="1" x14ac:dyDescent="0.25">
      <c r="B100" s="127">
        <v>44322</v>
      </c>
      <c r="C100" s="127">
        <v>44323</v>
      </c>
      <c r="D100" s="128" t="s">
        <v>269</v>
      </c>
      <c r="E100" s="128" t="s">
        <v>33</v>
      </c>
      <c r="F100" s="124">
        <v>1</v>
      </c>
      <c r="G100" s="144" t="s">
        <v>275</v>
      </c>
      <c r="J100" s="149"/>
      <c r="K100" s="128" t="e">
        <f>VLOOKUP(G100,'BASE PASAJEROS'!A:B,2,FALSE)</f>
        <v>#N/A</v>
      </c>
      <c r="L100" s="128" t="s">
        <v>316</v>
      </c>
      <c r="M100" s="128" t="e">
        <f>VLOOKUP(G100,'BASE PASAJEROS'!A:H,8,FALSE)</f>
        <v>#N/A</v>
      </c>
      <c r="N100" s="128"/>
      <c r="O100" s="128"/>
      <c r="P100" s="128" t="e">
        <f>VLOOKUP(G100,'BASE PASAJEROS'!A:F,6,FALSE)</f>
        <v>#N/A</v>
      </c>
      <c r="Q100" s="128" t="e">
        <f>VLOOKUP(G100,'BASE PASAJEROS'!A:C,3,FALSE)</f>
        <v>#N/A</v>
      </c>
      <c r="R100" s="128" t="e">
        <f>VLOOKUP(G100,'BASE PASAJEROS'!A:G,7,FALSE)</f>
        <v>#N/A</v>
      </c>
      <c r="S100" s="128" t="e">
        <f t="shared" ref="S100:S106" si="12">+Q100</f>
        <v>#N/A</v>
      </c>
      <c r="T100" s="128" t="s">
        <v>320</v>
      </c>
      <c r="U100" s="130" t="e">
        <f>VLOOKUP(G100,'BASE PASAJEROS'!A:AG,33,FALSE)</f>
        <v>#N/A</v>
      </c>
      <c r="V100" s="130" t="e">
        <f>VLOOKUP(G100,'BASE PASAJEROS'!A:AH,34,FALSE)</f>
        <v>#N/A</v>
      </c>
      <c r="W100" s="128"/>
      <c r="X100" s="142" t="s">
        <v>306</v>
      </c>
      <c r="Y100" s="128" t="s">
        <v>27</v>
      </c>
      <c r="Z100" s="128" t="s">
        <v>26</v>
      </c>
      <c r="AA100" s="128" t="s">
        <v>317</v>
      </c>
      <c r="AB100" s="128" t="e">
        <f>VLOOKUP(AA100,'BASE BANCOS'!$A$2:$D$202,3,FALSE)</f>
        <v>#N/A</v>
      </c>
      <c r="AC100" s="128" t="s">
        <v>318</v>
      </c>
      <c r="AD100" s="129" t="e">
        <f>VLOOKUP(AC100,'BASE CONDUCTORES'!E:G,3,FALSE)</f>
        <v>#N/A</v>
      </c>
      <c r="AE100" s="24"/>
      <c r="AF100" s="75"/>
      <c r="AG100" s="75"/>
      <c r="AH100" s="75"/>
      <c r="AI100" s="75"/>
      <c r="AJ100" s="79"/>
      <c r="AO100" s="150"/>
      <c r="AP100" s="150"/>
      <c r="AU100" s="151"/>
      <c r="AV100" s="133"/>
    </row>
    <row r="101" spans="2:48" s="124" customFormat="1" x14ac:dyDescent="0.25">
      <c r="B101" s="127">
        <v>44322</v>
      </c>
      <c r="C101" s="127">
        <v>44323</v>
      </c>
      <c r="D101" s="128" t="s">
        <v>269</v>
      </c>
      <c r="E101" s="128" t="s">
        <v>33</v>
      </c>
      <c r="F101" s="124">
        <v>1</v>
      </c>
      <c r="G101" s="144" t="s">
        <v>276</v>
      </c>
      <c r="J101" s="149"/>
      <c r="K101" s="128" t="e">
        <f>VLOOKUP(G101,'BASE PASAJEROS'!A:B,2,FALSE)</f>
        <v>#N/A</v>
      </c>
      <c r="L101" s="128" t="s">
        <v>316</v>
      </c>
      <c r="M101" s="128" t="e">
        <f>VLOOKUP(G101,'BASE PASAJEROS'!A:H,8,FALSE)</f>
        <v>#N/A</v>
      </c>
      <c r="N101" s="128"/>
      <c r="O101" s="128"/>
      <c r="P101" s="128" t="e">
        <f>VLOOKUP(G101,'BASE PASAJEROS'!A:F,6,FALSE)</f>
        <v>#N/A</v>
      </c>
      <c r="Q101" s="128" t="e">
        <f>VLOOKUP(G101,'BASE PASAJEROS'!A:C,3,FALSE)</f>
        <v>#N/A</v>
      </c>
      <c r="R101" s="128" t="e">
        <f>VLOOKUP(G101,'BASE PASAJEROS'!A:G,7,FALSE)</f>
        <v>#N/A</v>
      </c>
      <c r="S101" s="128" t="e">
        <f t="shared" si="12"/>
        <v>#N/A</v>
      </c>
      <c r="T101" s="128" t="s">
        <v>320</v>
      </c>
      <c r="U101" s="130" t="e">
        <f>VLOOKUP(G101,'BASE PASAJEROS'!A:AG,33,FALSE)</f>
        <v>#N/A</v>
      </c>
      <c r="V101" s="130" t="e">
        <f>VLOOKUP(G101,'BASE PASAJEROS'!A:AH,34,FALSE)</f>
        <v>#N/A</v>
      </c>
      <c r="W101" s="128"/>
      <c r="X101" s="142" t="s">
        <v>306</v>
      </c>
      <c r="Y101" s="128" t="s">
        <v>27</v>
      </c>
      <c r="Z101" s="128" t="s">
        <v>26</v>
      </c>
      <c r="AA101" s="128" t="s">
        <v>317</v>
      </c>
      <c r="AB101" s="128" t="e">
        <f>VLOOKUP(AA101,'BASE BANCOS'!$A$2:$D$202,3,FALSE)</f>
        <v>#N/A</v>
      </c>
      <c r="AC101" s="128" t="s">
        <v>318</v>
      </c>
      <c r="AD101" s="129" t="e">
        <f>VLOOKUP(AC101,'BASE CONDUCTORES'!E:G,3,FALSE)</f>
        <v>#N/A</v>
      </c>
      <c r="AE101" s="24"/>
      <c r="AF101" s="75"/>
      <c r="AG101" s="75"/>
      <c r="AH101" s="75"/>
      <c r="AI101" s="75"/>
      <c r="AJ101" s="79"/>
      <c r="AO101" s="150"/>
      <c r="AP101" s="150"/>
      <c r="AU101" s="151"/>
      <c r="AV101" s="133"/>
    </row>
    <row r="102" spans="2:48" s="124" customFormat="1" x14ac:dyDescent="0.25">
      <c r="B102" s="127">
        <v>44322</v>
      </c>
      <c r="C102" s="127">
        <v>44323</v>
      </c>
      <c r="D102" s="128" t="s">
        <v>269</v>
      </c>
      <c r="E102" s="128" t="s">
        <v>33</v>
      </c>
      <c r="F102" s="124">
        <v>1</v>
      </c>
      <c r="G102" s="144" t="s">
        <v>277</v>
      </c>
      <c r="J102" s="149"/>
      <c r="K102" s="128" t="e">
        <f>VLOOKUP(G102,'BASE PASAJEROS'!A:B,2,FALSE)</f>
        <v>#N/A</v>
      </c>
      <c r="L102" s="128" t="s">
        <v>316</v>
      </c>
      <c r="M102" s="128" t="e">
        <f>VLOOKUP(G102,'BASE PASAJEROS'!A:H,8,FALSE)</f>
        <v>#N/A</v>
      </c>
      <c r="N102" s="128"/>
      <c r="O102" s="128"/>
      <c r="P102" s="128" t="e">
        <f>VLOOKUP(G102,'BASE PASAJEROS'!A:F,6,FALSE)</f>
        <v>#N/A</v>
      </c>
      <c r="Q102" s="128" t="e">
        <f>VLOOKUP(G102,'BASE PASAJEROS'!A:C,3,FALSE)</f>
        <v>#N/A</v>
      </c>
      <c r="R102" s="128" t="e">
        <f>VLOOKUP(G102,'BASE PASAJEROS'!A:G,7,FALSE)</f>
        <v>#N/A</v>
      </c>
      <c r="S102" s="128" t="e">
        <f t="shared" si="12"/>
        <v>#N/A</v>
      </c>
      <c r="T102" s="128" t="s">
        <v>320</v>
      </c>
      <c r="U102" s="130" t="e">
        <f>VLOOKUP(G102,'BASE PASAJEROS'!A:AG,33,FALSE)</f>
        <v>#N/A</v>
      </c>
      <c r="V102" s="130" t="e">
        <f>VLOOKUP(G102,'BASE PASAJEROS'!A:AH,34,FALSE)</f>
        <v>#N/A</v>
      </c>
      <c r="W102" s="128"/>
      <c r="X102" s="156" t="s">
        <v>307</v>
      </c>
      <c r="Y102" s="128" t="s">
        <v>38</v>
      </c>
      <c r="Z102" s="128" t="s">
        <v>43</v>
      </c>
      <c r="AA102" s="128" t="s">
        <v>317</v>
      </c>
      <c r="AB102" s="128" t="e">
        <f>VLOOKUP(AA102,'BASE BANCOS'!$A$2:$D$202,3,FALSE)</f>
        <v>#N/A</v>
      </c>
      <c r="AC102" s="128" t="s">
        <v>318</v>
      </c>
      <c r="AD102" s="129" t="e">
        <f>VLOOKUP(AC102,'BASE CONDUCTORES'!E:G,3,FALSE)</f>
        <v>#N/A</v>
      </c>
      <c r="AE102" s="24"/>
      <c r="AF102" s="75"/>
      <c r="AG102" s="75"/>
      <c r="AH102" s="75"/>
      <c r="AI102" s="75"/>
      <c r="AJ102" s="79"/>
      <c r="AO102" s="150"/>
      <c r="AP102" s="150"/>
      <c r="AU102" s="151"/>
      <c r="AV102" s="133"/>
    </row>
    <row r="103" spans="2:48" s="124" customFormat="1" x14ac:dyDescent="0.25">
      <c r="B103" s="127">
        <v>44322</v>
      </c>
      <c r="C103" s="127">
        <v>44323</v>
      </c>
      <c r="D103" s="128" t="s">
        <v>269</v>
      </c>
      <c r="E103" s="128" t="s">
        <v>33</v>
      </c>
      <c r="F103" s="124">
        <v>1</v>
      </c>
      <c r="G103" s="144" t="s">
        <v>278</v>
      </c>
      <c r="J103" s="149"/>
      <c r="K103" s="128" t="e">
        <f>VLOOKUP(G103,'BASE PASAJEROS'!A:B,2,FALSE)</f>
        <v>#N/A</v>
      </c>
      <c r="L103" s="128" t="s">
        <v>316</v>
      </c>
      <c r="M103" s="128" t="e">
        <f>VLOOKUP(G103,'BASE PASAJEROS'!A:H,8,FALSE)</f>
        <v>#N/A</v>
      </c>
      <c r="N103" s="128"/>
      <c r="O103" s="128"/>
      <c r="P103" s="128" t="e">
        <f>VLOOKUP(G103,'BASE PASAJEROS'!A:F,6,FALSE)</f>
        <v>#N/A</v>
      </c>
      <c r="Q103" s="128" t="e">
        <f>VLOOKUP(G103,'BASE PASAJEROS'!A:C,3,FALSE)</f>
        <v>#N/A</v>
      </c>
      <c r="R103" s="128" t="e">
        <f>VLOOKUP(G103,'BASE PASAJEROS'!A:G,7,FALSE)</f>
        <v>#N/A</v>
      </c>
      <c r="S103" s="128" t="e">
        <f t="shared" si="12"/>
        <v>#N/A</v>
      </c>
      <c r="T103" s="128" t="s">
        <v>320</v>
      </c>
      <c r="U103" s="130" t="e">
        <f>VLOOKUP(G103,'BASE PASAJEROS'!A:AG,33,FALSE)</f>
        <v>#N/A</v>
      </c>
      <c r="V103" s="130" t="e">
        <f>VLOOKUP(G103,'BASE PASAJEROS'!A:AH,34,FALSE)</f>
        <v>#N/A</v>
      </c>
      <c r="W103" s="128"/>
      <c r="X103" s="156" t="s">
        <v>307</v>
      </c>
      <c r="Y103" s="128" t="s">
        <v>38</v>
      </c>
      <c r="Z103" s="128" t="s">
        <v>43</v>
      </c>
      <c r="AA103" s="128" t="s">
        <v>317</v>
      </c>
      <c r="AB103" s="128" t="e">
        <f>VLOOKUP(AA103,'BASE BANCOS'!$A$2:$D$202,3,FALSE)</f>
        <v>#N/A</v>
      </c>
      <c r="AC103" s="128" t="s">
        <v>318</v>
      </c>
      <c r="AD103" s="129" t="e">
        <f>VLOOKUP(AC103,'BASE CONDUCTORES'!E:G,3,FALSE)</f>
        <v>#N/A</v>
      </c>
      <c r="AE103" s="24"/>
      <c r="AF103" s="75"/>
      <c r="AG103" s="75"/>
      <c r="AH103" s="75"/>
      <c r="AI103" s="75"/>
      <c r="AJ103" s="79"/>
      <c r="AO103" s="150"/>
      <c r="AP103" s="150"/>
      <c r="AU103" s="151"/>
      <c r="AV103" s="133"/>
    </row>
    <row r="104" spans="2:48" s="124" customFormat="1" x14ac:dyDescent="0.25">
      <c r="B104" s="127">
        <v>44322</v>
      </c>
      <c r="C104" s="127">
        <v>44323</v>
      </c>
      <c r="D104" s="128" t="s">
        <v>269</v>
      </c>
      <c r="E104" s="128" t="s">
        <v>33</v>
      </c>
      <c r="F104" s="124">
        <v>1</v>
      </c>
      <c r="G104" s="144" t="s">
        <v>279</v>
      </c>
      <c r="J104" s="149"/>
      <c r="K104" s="128" t="e">
        <f>VLOOKUP(G104,'BASE PASAJEROS'!A:B,2,FALSE)</f>
        <v>#N/A</v>
      </c>
      <c r="L104" s="128" t="s">
        <v>316</v>
      </c>
      <c r="M104" s="128" t="e">
        <f>VLOOKUP(G104,'BASE PASAJEROS'!A:H,8,FALSE)</f>
        <v>#N/A</v>
      </c>
      <c r="N104" s="128"/>
      <c r="O104" s="128"/>
      <c r="P104" s="128" t="e">
        <f>VLOOKUP(G104,'BASE PASAJEROS'!A:F,6,FALSE)</f>
        <v>#N/A</v>
      </c>
      <c r="Q104" s="128" t="e">
        <f>VLOOKUP(G104,'BASE PASAJEROS'!A:C,3,FALSE)</f>
        <v>#N/A</v>
      </c>
      <c r="R104" s="128" t="e">
        <f>VLOOKUP(G104,'BASE PASAJEROS'!A:G,7,FALSE)</f>
        <v>#N/A</v>
      </c>
      <c r="S104" s="128" t="e">
        <f t="shared" si="12"/>
        <v>#N/A</v>
      </c>
      <c r="T104" s="128" t="s">
        <v>320</v>
      </c>
      <c r="U104" s="130" t="e">
        <f>VLOOKUP(G104,'BASE PASAJEROS'!A:AG,33,FALSE)</f>
        <v>#N/A</v>
      </c>
      <c r="V104" s="130" t="e">
        <f>VLOOKUP(G104,'BASE PASAJEROS'!A:AH,34,FALSE)</f>
        <v>#N/A</v>
      </c>
      <c r="W104" s="128"/>
      <c r="X104" s="156" t="s">
        <v>307</v>
      </c>
      <c r="Y104" s="128" t="s">
        <v>38</v>
      </c>
      <c r="Z104" s="128" t="s">
        <v>43</v>
      </c>
      <c r="AA104" s="128" t="s">
        <v>317</v>
      </c>
      <c r="AB104" s="128" t="e">
        <f>VLOOKUP(AA104,'BASE BANCOS'!$A$2:$D$202,3,FALSE)</f>
        <v>#N/A</v>
      </c>
      <c r="AC104" s="128" t="s">
        <v>318</v>
      </c>
      <c r="AD104" s="129" t="e">
        <f>VLOOKUP(AC104,'BASE CONDUCTORES'!E:G,3,FALSE)</f>
        <v>#N/A</v>
      </c>
      <c r="AE104" s="24"/>
      <c r="AF104" s="75"/>
      <c r="AG104" s="75"/>
      <c r="AH104" s="75"/>
      <c r="AI104" s="75"/>
      <c r="AJ104" s="79"/>
      <c r="AO104" s="150"/>
      <c r="AP104" s="150"/>
      <c r="AU104" s="151"/>
      <c r="AV104" s="133"/>
    </row>
    <row r="105" spans="2:48" s="124" customFormat="1" x14ac:dyDescent="0.25">
      <c r="B105" s="127">
        <v>44322</v>
      </c>
      <c r="C105" s="127">
        <v>44323</v>
      </c>
      <c r="D105" s="128" t="s">
        <v>269</v>
      </c>
      <c r="E105" s="128" t="s">
        <v>33</v>
      </c>
      <c r="F105" s="124">
        <v>1</v>
      </c>
      <c r="G105" s="144" t="s">
        <v>280</v>
      </c>
      <c r="J105" s="149"/>
      <c r="K105" s="128" t="e">
        <f>VLOOKUP(G105,'BASE PASAJEROS'!A:B,2,FALSE)</f>
        <v>#N/A</v>
      </c>
      <c r="L105" s="128" t="s">
        <v>316</v>
      </c>
      <c r="M105" s="128" t="e">
        <f>VLOOKUP(G105,'BASE PASAJEROS'!A:H,8,FALSE)</f>
        <v>#N/A</v>
      </c>
      <c r="N105" s="128"/>
      <c r="O105" s="128"/>
      <c r="P105" s="128" t="e">
        <f>VLOOKUP(G105,'BASE PASAJEROS'!A:F,6,FALSE)</f>
        <v>#N/A</v>
      </c>
      <c r="Q105" s="128" t="e">
        <f>VLOOKUP(G105,'BASE PASAJEROS'!A:C,3,FALSE)</f>
        <v>#N/A</v>
      </c>
      <c r="R105" s="128" t="e">
        <f>VLOOKUP(G105,'BASE PASAJEROS'!A:G,7,FALSE)</f>
        <v>#N/A</v>
      </c>
      <c r="S105" s="128" t="e">
        <f t="shared" si="12"/>
        <v>#N/A</v>
      </c>
      <c r="T105" s="128" t="s">
        <v>320</v>
      </c>
      <c r="U105" s="130" t="e">
        <f>VLOOKUP(G105,'BASE PASAJEROS'!A:AG,33,FALSE)</f>
        <v>#N/A</v>
      </c>
      <c r="V105" s="130" t="e">
        <f>VLOOKUP(G105,'BASE PASAJEROS'!A:AH,34,FALSE)</f>
        <v>#N/A</v>
      </c>
      <c r="W105" s="128"/>
      <c r="X105" s="142" t="s">
        <v>308</v>
      </c>
      <c r="Y105" s="128" t="s">
        <v>32</v>
      </c>
      <c r="Z105" s="128" t="s">
        <v>31</v>
      </c>
      <c r="AA105" s="128" t="s">
        <v>317</v>
      </c>
      <c r="AB105" s="128" t="e">
        <f>VLOOKUP(AA105,'BASE BANCOS'!$A$2:$D$202,3,FALSE)</f>
        <v>#N/A</v>
      </c>
      <c r="AC105" s="128" t="s">
        <v>318</v>
      </c>
      <c r="AD105" s="129" t="e">
        <f>VLOOKUP(AC105,'BASE CONDUCTORES'!E:G,3,FALSE)</f>
        <v>#N/A</v>
      </c>
      <c r="AE105" s="24"/>
      <c r="AF105" s="75"/>
      <c r="AG105" s="75"/>
      <c r="AH105" s="75"/>
      <c r="AI105" s="75"/>
      <c r="AJ105" s="79"/>
      <c r="AO105" s="150"/>
      <c r="AP105" s="150"/>
      <c r="AU105" s="151"/>
      <c r="AV105" s="133"/>
    </row>
    <row r="106" spans="2:48" s="124" customFormat="1" x14ac:dyDescent="0.25">
      <c r="B106" s="127">
        <v>44322</v>
      </c>
      <c r="C106" s="127">
        <v>44323</v>
      </c>
      <c r="D106" s="128" t="s">
        <v>269</v>
      </c>
      <c r="E106" s="128" t="s">
        <v>33</v>
      </c>
      <c r="F106" s="124">
        <v>1</v>
      </c>
      <c r="G106" s="144" t="s">
        <v>281</v>
      </c>
      <c r="J106" s="149"/>
      <c r="K106" s="128" t="e">
        <f>VLOOKUP(G106,'BASE PASAJEROS'!A:B,2,FALSE)</f>
        <v>#N/A</v>
      </c>
      <c r="L106" s="128" t="s">
        <v>316</v>
      </c>
      <c r="M106" s="128" t="e">
        <f>VLOOKUP(G106,'BASE PASAJEROS'!A:H,8,FALSE)</f>
        <v>#N/A</v>
      </c>
      <c r="N106" s="128"/>
      <c r="O106" s="128"/>
      <c r="P106" s="128" t="e">
        <f>VLOOKUP(G106,'BASE PASAJEROS'!A:F,6,FALSE)</f>
        <v>#N/A</v>
      </c>
      <c r="Q106" s="128" t="e">
        <f>VLOOKUP(G106,'BASE PASAJEROS'!A:C,3,FALSE)</f>
        <v>#N/A</v>
      </c>
      <c r="R106" s="128" t="e">
        <f>VLOOKUP(G106,'BASE PASAJEROS'!A:G,7,FALSE)</f>
        <v>#N/A</v>
      </c>
      <c r="S106" s="128" t="e">
        <f t="shared" si="12"/>
        <v>#N/A</v>
      </c>
      <c r="T106" s="128" t="s">
        <v>320</v>
      </c>
      <c r="U106" s="130" t="e">
        <f>VLOOKUP(G106,'BASE PASAJEROS'!A:AG,33,FALSE)</f>
        <v>#N/A</v>
      </c>
      <c r="V106" s="130" t="e">
        <f>VLOOKUP(G106,'BASE PASAJEROS'!A:AH,34,FALSE)</f>
        <v>#N/A</v>
      </c>
      <c r="W106" s="128"/>
      <c r="X106" s="142" t="s">
        <v>308</v>
      </c>
      <c r="Y106" s="128" t="s">
        <v>32</v>
      </c>
      <c r="Z106" s="128" t="s">
        <v>31</v>
      </c>
      <c r="AA106" s="128" t="s">
        <v>317</v>
      </c>
      <c r="AB106" s="128" t="e">
        <f>VLOOKUP(AA106,'BASE BANCOS'!$A$2:$D$202,3,FALSE)</f>
        <v>#N/A</v>
      </c>
      <c r="AC106" s="128" t="s">
        <v>318</v>
      </c>
      <c r="AD106" s="129" t="e">
        <f>VLOOKUP(AC106,'BASE CONDUCTORES'!E:G,3,FALSE)</f>
        <v>#N/A</v>
      </c>
      <c r="AE106" s="24"/>
      <c r="AF106" s="75"/>
      <c r="AG106" s="75"/>
      <c r="AH106" s="75"/>
      <c r="AI106" s="75"/>
      <c r="AJ106" s="79"/>
      <c r="AO106" s="150"/>
      <c r="AP106" s="150"/>
      <c r="AU106" s="151"/>
      <c r="AV106" s="133"/>
    </row>
    <row r="107" spans="2:48" s="124" customFormat="1" x14ac:dyDescent="0.25">
      <c r="B107" s="127">
        <v>44322</v>
      </c>
      <c r="C107" s="127">
        <v>44323</v>
      </c>
      <c r="D107" s="128" t="s">
        <v>269</v>
      </c>
      <c r="E107" s="128" t="s">
        <v>33</v>
      </c>
      <c r="F107" s="124">
        <v>1</v>
      </c>
      <c r="G107" s="144" t="s">
        <v>282</v>
      </c>
      <c r="J107" s="149"/>
      <c r="K107" s="128" t="e">
        <f>VLOOKUP(G107,'BASE PASAJEROS'!A:B,2,FALSE)</f>
        <v>#N/A</v>
      </c>
      <c r="L107" s="128" t="s">
        <v>316</v>
      </c>
      <c r="M107" s="128" t="e">
        <f>VLOOKUP(G107,'BASE PASAJEROS'!A:H,8,FALSE)</f>
        <v>#N/A</v>
      </c>
      <c r="N107" s="128"/>
      <c r="O107" s="128"/>
      <c r="P107" s="128" t="e">
        <f>VLOOKUP(G107,'BASE PASAJEROS'!A:F,6,FALSE)</f>
        <v>#N/A</v>
      </c>
      <c r="Q107" s="128" t="e">
        <f>VLOOKUP(G107,'BASE PASAJEROS'!A:C,3,FALSE)</f>
        <v>#N/A</v>
      </c>
      <c r="R107" s="128" t="e">
        <f>VLOOKUP(G107,'BASE PASAJEROS'!A:G,7,FALSE)</f>
        <v>#N/A</v>
      </c>
      <c r="S107" s="128" t="e">
        <f t="shared" ref="S107:S112" si="13">+Q107</f>
        <v>#N/A</v>
      </c>
      <c r="T107" s="128" t="s">
        <v>320</v>
      </c>
      <c r="U107" s="130" t="e">
        <f>VLOOKUP(G107,'BASE PASAJEROS'!A:AG,33,FALSE)</f>
        <v>#N/A</v>
      </c>
      <c r="V107" s="130" t="e">
        <f>VLOOKUP(G107,'BASE PASAJEROS'!A:AH,34,FALSE)</f>
        <v>#N/A</v>
      </c>
      <c r="W107" s="128"/>
      <c r="X107" s="156" t="s">
        <v>307</v>
      </c>
      <c r="Y107" s="128" t="s">
        <v>38</v>
      </c>
      <c r="Z107" s="128" t="s">
        <v>43</v>
      </c>
      <c r="AA107" s="128" t="s">
        <v>317</v>
      </c>
      <c r="AB107" s="128" t="e">
        <f>VLOOKUP(AA107,'BASE BANCOS'!$A$2:$D$202,3,FALSE)</f>
        <v>#N/A</v>
      </c>
      <c r="AC107" s="128" t="s">
        <v>318</v>
      </c>
      <c r="AD107" s="129" t="e">
        <f>VLOOKUP(AC107,'BASE CONDUCTORES'!E:G,3,FALSE)</f>
        <v>#N/A</v>
      </c>
      <c r="AE107" s="24"/>
      <c r="AF107" s="75"/>
      <c r="AG107" s="75"/>
      <c r="AH107" s="75"/>
      <c r="AI107" s="75"/>
      <c r="AJ107" s="79"/>
      <c r="AO107" s="150"/>
      <c r="AP107" s="150"/>
      <c r="AU107" s="151"/>
      <c r="AV107" s="133"/>
    </row>
    <row r="108" spans="2:48" s="124" customFormat="1" x14ac:dyDescent="0.25">
      <c r="B108" s="127">
        <v>44322</v>
      </c>
      <c r="C108" s="127">
        <v>44323</v>
      </c>
      <c r="D108" s="128" t="s">
        <v>269</v>
      </c>
      <c r="E108" s="128" t="s">
        <v>33</v>
      </c>
      <c r="F108" s="124">
        <v>1</v>
      </c>
      <c r="G108" s="144" t="s">
        <v>283</v>
      </c>
      <c r="J108" s="149"/>
      <c r="K108" s="128" t="e">
        <f>VLOOKUP(G108,'BASE PASAJEROS'!A:B,2,FALSE)</f>
        <v>#N/A</v>
      </c>
      <c r="L108" s="128" t="s">
        <v>316</v>
      </c>
      <c r="M108" s="128" t="e">
        <f>VLOOKUP(G108,'BASE PASAJEROS'!A:H,8,FALSE)</f>
        <v>#N/A</v>
      </c>
      <c r="N108" s="128"/>
      <c r="O108" s="128"/>
      <c r="P108" s="128" t="e">
        <f>VLOOKUP(G108,'BASE PASAJEROS'!A:F,6,FALSE)</f>
        <v>#N/A</v>
      </c>
      <c r="Q108" s="128" t="e">
        <f>VLOOKUP(G108,'BASE PASAJEROS'!A:C,3,FALSE)</f>
        <v>#N/A</v>
      </c>
      <c r="R108" s="128" t="e">
        <f>VLOOKUP(G108,'BASE PASAJEROS'!A:G,7,FALSE)</f>
        <v>#N/A</v>
      </c>
      <c r="S108" s="128" t="e">
        <f t="shared" si="13"/>
        <v>#N/A</v>
      </c>
      <c r="T108" s="128" t="s">
        <v>320</v>
      </c>
      <c r="U108" s="130" t="e">
        <f>VLOOKUP(G108,'BASE PASAJEROS'!A:AG,33,FALSE)</f>
        <v>#N/A</v>
      </c>
      <c r="V108" s="130" t="e">
        <f>VLOOKUP(G108,'BASE PASAJEROS'!A:AH,34,FALSE)</f>
        <v>#N/A</v>
      </c>
      <c r="W108" s="128"/>
      <c r="X108" s="142" t="s">
        <v>308</v>
      </c>
      <c r="Y108" s="128" t="s">
        <v>32</v>
      </c>
      <c r="Z108" s="128" t="s">
        <v>31</v>
      </c>
      <c r="AA108" s="128" t="s">
        <v>317</v>
      </c>
      <c r="AB108" s="128" t="e">
        <f>VLOOKUP(AA108,'BASE BANCOS'!$A$2:$D$202,3,FALSE)</f>
        <v>#N/A</v>
      </c>
      <c r="AC108" s="128" t="s">
        <v>318</v>
      </c>
      <c r="AD108" s="129" t="e">
        <f>VLOOKUP(AC108,'BASE CONDUCTORES'!E:G,3,FALSE)</f>
        <v>#N/A</v>
      </c>
      <c r="AE108" s="24"/>
      <c r="AF108" s="75"/>
      <c r="AG108" s="75"/>
      <c r="AH108" s="75"/>
      <c r="AI108" s="75"/>
      <c r="AJ108" s="79"/>
      <c r="AO108" s="150"/>
      <c r="AP108" s="150"/>
      <c r="AU108" s="151"/>
      <c r="AV108" s="133"/>
    </row>
    <row r="109" spans="2:48" s="124" customFormat="1" x14ac:dyDescent="0.25">
      <c r="B109" s="127">
        <v>44322</v>
      </c>
      <c r="C109" s="127">
        <v>44323</v>
      </c>
      <c r="D109" s="128" t="s">
        <v>269</v>
      </c>
      <c r="E109" s="128" t="s">
        <v>33</v>
      </c>
      <c r="F109" s="124">
        <v>1</v>
      </c>
      <c r="G109" s="144" t="s">
        <v>284</v>
      </c>
      <c r="J109" s="149"/>
      <c r="K109" s="128" t="e">
        <f>VLOOKUP(G109,'BASE PASAJEROS'!A:B,2,FALSE)</f>
        <v>#N/A</v>
      </c>
      <c r="L109" s="128" t="s">
        <v>316</v>
      </c>
      <c r="M109" s="128" t="e">
        <f>VLOOKUP(G109,'BASE PASAJEROS'!A:H,8,FALSE)</f>
        <v>#N/A</v>
      </c>
      <c r="N109" s="128"/>
      <c r="O109" s="128"/>
      <c r="P109" s="128" t="e">
        <f>VLOOKUP(G109,'BASE PASAJEROS'!A:F,6,FALSE)</f>
        <v>#N/A</v>
      </c>
      <c r="Q109" s="128" t="e">
        <f>VLOOKUP(G109,'BASE PASAJEROS'!A:C,3,FALSE)</f>
        <v>#N/A</v>
      </c>
      <c r="R109" s="128" t="e">
        <f>VLOOKUP(G109,'BASE PASAJEROS'!A:G,7,FALSE)</f>
        <v>#N/A</v>
      </c>
      <c r="S109" s="128" t="e">
        <f t="shared" si="13"/>
        <v>#N/A</v>
      </c>
      <c r="T109" s="128" t="s">
        <v>320</v>
      </c>
      <c r="U109" s="130" t="e">
        <f>VLOOKUP(G109,'BASE PASAJEROS'!A:AG,33,FALSE)</f>
        <v>#N/A</v>
      </c>
      <c r="V109" s="130" t="e">
        <f>VLOOKUP(G109,'BASE PASAJEROS'!A:AH,34,FALSE)</f>
        <v>#N/A</v>
      </c>
      <c r="W109" s="128"/>
      <c r="X109" s="142" t="s">
        <v>308</v>
      </c>
      <c r="Y109" s="128" t="s">
        <v>32</v>
      </c>
      <c r="Z109" s="128" t="s">
        <v>31</v>
      </c>
      <c r="AA109" s="128" t="s">
        <v>317</v>
      </c>
      <c r="AB109" s="128" t="e">
        <f>VLOOKUP(AA109,'BASE BANCOS'!$A$2:$D$202,3,FALSE)</f>
        <v>#N/A</v>
      </c>
      <c r="AC109" s="128" t="s">
        <v>318</v>
      </c>
      <c r="AD109" s="129" t="e">
        <f>VLOOKUP(AC109,'BASE CONDUCTORES'!E:G,3,FALSE)</f>
        <v>#N/A</v>
      </c>
      <c r="AE109" s="24"/>
      <c r="AF109" s="75"/>
      <c r="AG109" s="75"/>
      <c r="AH109" s="75"/>
      <c r="AI109" s="75"/>
      <c r="AJ109" s="79"/>
      <c r="AO109" s="150"/>
      <c r="AP109" s="150"/>
      <c r="AU109" s="151"/>
      <c r="AV109" s="133"/>
    </row>
    <row r="110" spans="2:48" s="124" customFormat="1" x14ac:dyDescent="0.25">
      <c r="B110" s="127">
        <v>44322</v>
      </c>
      <c r="C110" s="127">
        <v>44323</v>
      </c>
      <c r="D110" s="128" t="s">
        <v>269</v>
      </c>
      <c r="E110" s="128" t="s">
        <v>33</v>
      </c>
      <c r="F110" s="124">
        <v>1</v>
      </c>
      <c r="G110" s="144" t="s">
        <v>285</v>
      </c>
      <c r="J110" s="149"/>
      <c r="K110" s="128" t="e">
        <f>VLOOKUP(G110,'BASE PASAJEROS'!A:B,2,FALSE)</f>
        <v>#N/A</v>
      </c>
      <c r="L110" s="128" t="s">
        <v>316</v>
      </c>
      <c r="M110" s="128" t="e">
        <f>VLOOKUP(G110,'BASE PASAJEROS'!A:H,8,FALSE)</f>
        <v>#N/A</v>
      </c>
      <c r="N110" s="128"/>
      <c r="O110" s="128"/>
      <c r="P110" s="128" t="e">
        <f>VLOOKUP(G110,'BASE PASAJEROS'!A:F,6,FALSE)</f>
        <v>#N/A</v>
      </c>
      <c r="Q110" s="128" t="e">
        <f>VLOOKUP(G110,'BASE PASAJEROS'!A:C,3,FALSE)</f>
        <v>#N/A</v>
      </c>
      <c r="R110" s="128" t="e">
        <f>VLOOKUP(G110,'BASE PASAJEROS'!A:G,7,FALSE)</f>
        <v>#N/A</v>
      </c>
      <c r="S110" s="128" t="e">
        <f t="shared" si="13"/>
        <v>#N/A</v>
      </c>
      <c r="T110" s="128" t="s">
        <v>320</v>
      </c>
      <c r="U110" s="130" t="e">
        <f>VLOOKUP(G110,'BASE PASAJEROS'!A:AG,33,FALSE)</f>
        <v>#N/A</v>
      </c>
      <c r="V110" s="130" t="e">
        <f>VLOOKUP(G110,'BASE PASAJEROS'!A:AH,34,FALSE)</f>
        <v>#N/A</v>
      </c>
      <c r="W110" s="128"/>
      <c r="X110" s="156" t="s">
        <v>307</v>
      </c>
      <c r="Y110" s="128" t="s">
        <v>38</v>
      </c>
      <c r="Z110" s="128" t="s">
        <v>43</v>
      </c>
      <c r="AA110" s="128" t="s">
        <v>317</v>
      </c>
      <c r="AB110" s="128" t="e">
        <f>VLOOKUP(AA110,'BASE BANCOS'!$A$2:$D$202,3,FALSE)</f>
        <v>#N/A</v>
      </c>
      <c r="AC110" s="128" t="s">
        <v>318</v>
      </c>
      <c r="AD110" s="129" t="e">
        <f>VLOOKUP(AC110,'BASE CONDUCTORES'!E:G,3,FALSE)</f>
        <v>#N/A</v>
      </c>
      <c r="AE110" s="24"/>
      <c r="AF110" s="75"/>
      <c r="AG110" s="75"/>
      <c r="AH110" s="75"/>
      <c r="AI110" s="75"/>
      <c r="AJ110" s="79"/>
      <c r="AO110" s="150"/>
      <c r="AP110" s="150"/>
      <c r="AU110" s="151"/>
      <c r="AV110" s="133"/>
    </row>
    <row r="111" spans="2:48" s="124" customFormat="1" x14ac:dyDescent="0.25">
      <c r="B111" s="127">
        <v>44322</v>
      </c>
      <c r="C111" s="127">
        <v>44323</v>
      </c>
      <c r="D111" s="128" t="s">
        <v>269</v>
      </c>
      <c r="E111" s="128" t="s">
        <v>33</v>
      </c>
      <c r="F111" s="124">
        <v>1</v>
      </c>
      <c r="G111" s="144" t="s">
        <v>286</v>
      </c>
      <c r="J111" s="149"/>
      <c r="K111" s="128" t="e">
        <f>VLOOKUP(G111,'BASE PASAJEROS'!A:B,2,FALSE)</f>
        <v>#N/A</v>
      </c>
      <c r="L111" s="128" t="s">
        <v>316</v>
      </c>
      <c r="M111" s="128" t="e">
        <f>VLOOKUP(G111,'BASE PASAJEROS'!A:H,8,FALSE)</f>
        <v>#N/A</v>
      </c>
      <c r="N111" s="128"/>
      <c r="O111" s="128"/>
      <c r="P111" s="128" t="e">
        <f>VLOOKUP(G111,'BASE PASAJEROS'!A:F,6,FALSE)</f>
        <v>#N/A</v>
      </c>
      <c r="Q111" s="128" t="e">
        <f>VLOOKUP(G111,'BASE PASAJEROS'!A:C,3,FALSE)</f>
        <v>#N/A</v>
      </c>
      <c r="R111" s="128" t="e">
        <f>VLOOKUP(G111,'BASE PASAJEROS'!A:G,7,FALSE)</f>
        <v>#N/A</v>
      </c>
      <c r="S111" s="128" t="e">
        <f t="shared" si="13"/>
        <v>#N/A</v>
      </c>
      <c r="T111" s="128" t="s">
        <v>320</v>
      </c>
      <c r="U111" s="130" t="e">
        <f>VLOOKUP(G111,'BASE PASAJEROS'!A:AG,33,FALSE)</f>
        <v>#N/A</v>
      </c>
      <c r="V111" s="130" t="e">
        <f>VLOOKUP(G111,'BASE PASAJEROS'!A:AH,34,FALSE)</f>
        <v>#N/A</v>
      </c>
      <c r="W111" s="128"/>
      <c r="X111" s="142" t="s">
        <v>306</v>
      </c>
      <c r="Y111" s="128" t="s">
        <v>27</v>
      </c>
      <c r="Z111" s="128" t="s">
        <v>26</v>
      </c>
      <c r="AA111" s="128" t="s">
        <v>317</v>
      </c>
      <c r="AB111" s="128" t="e">
        <f>VLOOKUP(AA111,'BASE BANCOS'!$A$2:$D$202,3,FALSE)</f>
        <v>#N/A</v>
      </c>
      <c r="AC111" s="128" t="s">
        <v>318</v>
      </c>
      <c r="AD111" s="129" t="e">
        <f>VLOOKUP(AC111,'BASE CONDUCTORES'!E:G,3,FALSE)</f>
        <v>#N/A</v>
      </c>
      <c r="AE111" s="24"/>
      <c r="AF111" s="75"/>
      <c r="AG111" s="75"/>
      <c r="AH111" s="75"/>
      <c r="AI111" s="75"/>
      <c r="AJ111" s="79"/>
      <c r="AO111" s="150"/>
      <c r="AP111" s="150"/>
      <c r="AU111" s="151"/>
      <c r="AV111" s="133"/>
    </row>
    <row r="112" spans="2:48" s="124" customFormat="1" x14ac:dyDescent="0.25">
      <c r="B112" s="127">
        <v>44322</v>
      </c>
      <c r="C112" s="127">
        <v>44323</v>
      </c>
      <c r="D112" s="128" t="s">
        <v>269</v>
      </c>
      <c r="E112" s="128" t="s">
        <v>33</v>
      </c>
      <c r="F112" s="124">
        <v>1</v>
      </c>
      <c r="G112" s="144" t="s">
        <v>121</v>
      </c>
      <c r="J112" s="149"/>
      <c r="K112" s="128" t="e">
        <f>VLOOKUP(G112,'BASE PASAJEROS'!A:B,2,FALSE)</f>
        <v>#N/A</v>
      </c>
      <c r="L112" s="128" t="s">
        <v>316</v>
      </c>
      <c r="M112" s="128" t="e">
        <f>VLOOKUP(G112,'BASE PASAJEROS'!A:H,8,FALSE)</f>
        <v>#N/A</v>
      </c>
      <c r="N112" s="128"/>
      <c r="O112" s="128"/>
      <c r="P112" s="128" t="e">
        <f>VLOOKUP(G112,'BASE PASAJEROS'!A:F,6,FALSE)</f>
        <v>#N/A</v>
      </c>
      <c r="Q112" s="128" t="e">
        <f>VLOOKUP(G112,'BASE PASAJEROS'!A:C,3,FALSE)</f>
        <v>#N/A</v>
      </c>
      <c r="R112" s="128" t="e">
        <f>VLOOKUP(G112,'BASE PASAJEROS'!A:G,7,FALSE)</f>
        <v>#N/A</v>
      </c>
      <c r="S112" s="128" t="e">
        <f t="shared" si="13"/>
        <v>#N/A</v>
      </c>
      <c r="T112" s="128" t="s">
        <v>320</v>
      </c>
      <c r="U112" s="130" t="e">
        <f>VLOOKUP(G112,'BASE PASAJEROS'!A:AG,33,FALSE)</f>
        <v>#N/A</v>
      </c>
      <c r="V112" s="130" t="e">
        <f>VLOOKUP(G112,'BASE PASAJEROS'!A:AH,34,FALSE)</f>
        <v>#N/A</v>
      </c>
      <c r="W112" s="128"/>
      <c r="X112" s="142" t="s">
        <v>306</v>
      </c>
      <c r="Y112" s="128" t="s">
        <v>27</v>
      </c>
      <c r="Z112" s="128" t="s">
        <v>26</v>
      </c>
      <c r="AA112" s="128" t="s">
        <v>317</v>
      </c>
      <c r="AB112" s="128" t="e">
        <f>VLOOKUP(AA112,'BASE BANCOS'!$A$2:$D$202,3,FALSE)</f>
        <v>#N/A</v>
      </c>
      <c r="AC112" s="128" t="s">
        <v>318</v>
      </c>
      <c r="AD112" s="129" t="e">
        <f>VLOOKUP(AC112,'BASE CONDUCTORES'!E:G,3,FALSE)</f>
        <v>#N/A</v>
      </c>
      <c r="AE112" s="24"/>
      <c r="AF112" s="75"/>
      <c r="AG112" s="75"/>
      <c r="AH112" s="75"/>
      <c r="AI112" s="75"/>
      <c r="AJ112" s="79"/>
      <c r="AO112" s="150"/>
      <c r="AP112" s="150"/>
      <c r="AU112" s="151"/>
      <c r="AV112" s="133"/>
    </row>
    <row r="113" spans="2:52" s="124" customFormat="1" x14ac:dyDescent="0.25">
      <c r="B113" s="127">
        <v>44322</v>
      </c>
      <c r="C113" s="127">
        <v>44323</v>
      </c>
      <c r="D113" s="128" t="s">
        <v>269</v>
      </c>
      <c r="E113" s="128" t="s">
        <v>33</v>
      </c>
      <c r="F113" s="124">
        <v>1</v>
      </c>
      <c r="G113" s="144" t="s">
        <v>287</v>
      </c>
      <c r="J113" s="149"/>
      <c r="K113" s="128" t="e">
        <f>VLOOKUP(G113,'BASE PASAJEROS'!A:B,2,FALSE)</f>
        <v>#N/A</v>
      </c>
      <c r="L113" s="128" t="s">
        <v>316</v>
      </c>
      <c r="M113" s="128" t="e">
        <f>VLOOKUP(G113,'BASE PASAJEROS'!A:H,8,FALSE)</f>
        <v>#N/A</v>
      </c>
      <c r="N113" s="128"/>
      <c r="O113" s="128"/>
      <c r="P113" s="128" t="e">
        <f>VLOOKUP(G113,'BASE PASAJEROS'!A:F,6,FALSE)</f>
        <v>#N/A</v>
      </c>
      <c r="Q113" s="128" t="e">
        <f>VLOOKUP(G113,'BASE PASAJEROS'!A:C,3,FALSE)</f>
        <v>#N/A</v>
      </c>
      <c r="R113" s="128" t="e">
        <f>VLOOKUP(G113,'BASE PASAJEROS'!A:G,7,FALSE)</f>
        <v>#N/A</v>
      </c>
      <c r="S113" s="128"/>
      <c r="T113" s="128"/>
      <c r="U113" s="130" t="e">
        <f>VLOOKUP(G113,'BASE PASAJEROS'!A:AG,33,FALSE)</f>
        <v>#N/A</v>
      </c>
      <c r="V113" s="130" t="e">
        <f>VLOOKUP(G113,'BASE PASAJEROS'!A:AH,34,FALSE)</f>
        <v>#N/A</v>
      </c>
      <c r="W113" s="128"/>
      <c r="X113" s="157" t="s">
        <v>314</v>
      </c>
      <c r="Y113" s="128" t="s">
        <v>21</v>
      </c>
      <c r="Z113" s="128" t="s">
        <v>0</v>
      </c>
      <c r="AA113" s="128" t="s">
        <v>319</v>
      </c>
      <c r="AB113" s="128" t="e">
        <f>VLOOKUP(AA113,'BASE BANCOS'!$A$2:$D$202,3,FALSE)</f>
        <v>#N/A</v>
      </c>
      <c r="AC113" s="128"/>
      <c r="AD113" s="129" t="e">
        <f>VLOOKUP(AC113,'BASE CONDUCTORES'!E:G,3,FALSE)</f>
        <v>#N/A</v>
      </c>
      <c r="AE113" s="130"/>
      <c r="AF113" s="131"/>
      <c r="AG113" s="131"/>
      <c r="AH113" s="131">
        <f>+AF113-AG113</f>
        <v>0</v>
      </c>
      <c r="AI113" s="131" t="e">
        <f>VLOOKUP(G113,[4]Hoja1!$T:$AL,19,FALSE)</f>
        <v>#N/A</v>
      </c>
      <c r="AJ113" s="128"/>
      <c r="AK113" s="128" t="s">
        <v>370</v>
      </c>
      <c r="AL113" s="128"/>
      <c r="AM113" s="128"/>
      <c r="AN113" s="131">
        <f>+AM113*1.5</f>
        <v>0</v>
      </c>
      <c r="AO113" s="131">
        <f>+AH113+AM113</f>
        <v>0</v>
      </c>
      <c r="AP113" s="131" t="e">
        <f>+AI113+AN113</f>
        <v>#N/A</v>
      </c>
      <c r="AU113" s="132"/>
      <c r="AV113" s="133"/>
      <c r="AW113" s="134"/>
      <c r="AX113" s="134">
        <f>AO113-AW113</f>
        <v>0</v>
      </c>
      <c r="AY113" s="121"/>
      <c r="AZ113" s="121"/>
    </row>
    <row r="114" spans="2:52" s="124" customFormat="1" x14ac:dyDescent="0.25">
      <c r="B114" s="127">
        <v>44322</v>
      </c>
      <c r="C114" s="127">
        <v>44323</v>
      </c>
      <c r="D114" s="128" t="s">
        <v>269</v>
      </c>
      <c r="E114" s="128" t="s">
        <v>33</v>
      </c>
      <c r="F114" s="124">
        <v>1</v>
      </c>
      <c r="G114" s="135" t="s">
        <v>321</v>
      </c>
      <c r="J114" s="149"/>
      <c r="K114" s="128" t="e">
        <f>VLOOKUP(G114,'BASE PASAJEROS'!A:B,2,FALSE)</f>
        <v>#N/A</v>
      </c>
      <c r="L114" s="128" t="s">
        <v>316</v>
      </c>
      <c r="M114" s="128" t="e">
        <f>VLOOKUP(G114,'BASE PASAJEROS'!A:H,8,FALSE)</f>
        <v>#N/A</v>
      </c>
      <c r="N114" s="128"/>
      <c r="O114" s="128"/>
      <c r="P114" s="128" t="e">
        <f>VLOOKUP(G114,'BASE PASAJEROS'!A:F,6,FALSE)</f>
        <v>#N/A</v>
      </c>
      <c r="Q114" s="128" t="e">
        <f>VLOOKUP(G114,'BASE PASAJEROS'!A:C,3,FALSE)</f>
        <v>#N/A</v>
      </c>
      <c r="R114" s="128" t="e">
        <f>VLOOKUP(G114,'BASE PASAJEROS'!A:G,7,FALSE)</f>
        <v>#N/A</v>
      </c>
      <c r="S114" s="128"/>
      <c r="T114" s="128"/>
      <c r="U114" s="130" t="e">
        <f>VLOOKUP(G114,'BASE PASAJEROS'!A:AG,33,FALSE)</f>
        <v>#N/A</v>
      </c>
      <c r="V114" s="130" t="e">
        <f>VLOOKUP(G114,'BASE PASAJEROS'!A:AH,34,FALSE)</f>
        <v>#N/A</v>
      </c>
      <c r="W114" s="128"/>
      <c r="X114" s="145" t="s">
        <v>312</v>
      </c>
      <c r="Y114" s="128" t="s">
        <v>21</v>
      </c>
      <c r="Z114" s="128" t="s">
        <v>0</v>
      </c>
      <c r="AA114" s="128" t="s">
        <v>319</v>
      </c>
      <c r="AB114" s="128" t="e">
        <f>VLOOKUP(AA114,'BASE BANCOS'!$A$2:$D$202,3,FALSE)</f>
        <v>#N/A</v>
      </c>
      <c r="AC114" s="128"/>
      <c r="AD114" s="129" t="e">
        <f>VLOOKUP(AC114,'BASE CONDUCTORES'!E:G,3,FALSE)</f>
        <v>#N/A</v>
      </c>
      <c r="AE114" s="24"/>
      <c r="AF114" s="75"/>
      <c r="AG114" s="75"/>
      <c r="AH114" s="75"/>
      <c r="AI114" s="75"/>
      <c r="AJ114" s="79"/>
      <c r="AO114" s="150"/>
      <c r="AP114" s="150"/>
      <c r="AU114" s="151"/>
      <c r="AV114" s="133"/>
    </row>
    <row r="115" spans="2:52" s="124" customFormat="1" x14ac:dyDescent="0.25">
      <c r="B115" s="127">
        <v>44322</v>
      </c>
      <c r="C115" s="127">
        <v>44323</v>
      </c>
      <c r="D115" s="128" t="s">
        <v>269</v>
      </c>
      <c r="E115" s="128" t="s">
        <v>33</v>
      </c>
      <c r="F115" s="124">
        <v>1</v>
      </c>
      <c r="G115" s="144" t="s">
        <v>288</v>
      </c>
      <c r="J115" s="149"/>
      <c r="K115" s="128" t="e">
        <f>VLOOKUP(G115,'BASE PASAJEROS'!A:B,2,FALSE)</f>
        <v>#N/A</v>
      </c>
      <c r="L115" s="128" t="s">
        <v>316</v>
      </c>
      <c r="M115" s="128" t="e">
        <f>VLOOKUP(G115,'BASE PASAJEROS'!A:H,8,FALSE)</f>
        <v>#N/A</v>
      </c>
      <c r="N115" s="128"/>
      <c r="O115" s="128"/>
      <c r="P115" s="128" t="e">
        <f>VLOOKUP(G115,'BASE PASAJEROS'!A:F,6,FALSE)</f>
        <v>#N/A</v>
      </c>
      <c r="Q115" s="128" t="e">
        <f>VLOOKUP(G115,'BASE PASAJEROS'!A:C,3,FALSE)</f>
        <v>#N/A</v>
      </c>
      <c r="R115" s="128" t="e">
        <f>VLOOKUP(G115,'BASE PASAJEROS'!A:G,7,FALSE)</f>
        <v>#N/A</v>
      </c>
      <c r="S115" s="128"/>
      <c r="T115" s="128"/>
      <c r="U115" s="130" t="e">
        <f>VLOOKUP(G115,'BASE PASAJEROS'!A:AG,33,FALSE)</f>
        <v>#N/A</v>
      </c>
      <c r="V115" s="130" t="e">
        <f>VLOOKUP(G115,'BASE PASAJEROS'!A:AH,34,FALSE)</f>
        <v>#N/A</v>
      </c>
      <c r="W115" s="128"/>
      <c r="X115" s="156" t="s">
        <v>309</v>
      </c>
      <c r="Y115" s="128" t="s">
        <v>21</v>
      </c>
      <c r="Z115" s="128" t="s">
        <v>0</v>
      </c>
      <c r="AA115" s="128" t="s">
        <v>319</v>
      </c>
      <c r="AB115" s="128" t="e">
        <f>VLOOKUP(AA115,'BASE BANCOS'!$A$2:$D$202,3,FALSE)</f>
        <v>#N/A</v>
      </c>
      <c r="AC115" s="128"/>
      <c r="AD115" s="129" t="e">
        <f>VLOOKUP(AC115,'BASE CONDUCTORES'!E:G,3,FALSE)</f>
        <v>#N/A</v>
      </c>
      <c r="AE115" s="130"/>
      <c r="AF115" s="131"/>
      <c r="AG115" s="131"/>
      <c r="AH115" s="131">
        <f>+AF115-AG115</f>
        <v>0</v>
      </c>
      <c r="AI115" s="131" t="e">
        <f>VLOOKUP(G115,[4]Hoja1!$T:$AL,19,FALSE)</f>
        <v>#N/A</v>
      </c>
      <c r="AJ115" s="128"/>
      <c r="AK115" s="128"/>
      <c r="AL115" s="128"/>
      <c r="AM115" s="128"/>
      <c r="AN115" s="131">
        <f>+AM115*1.5</f>
        <v>0</v>
      </c>
      <c r="AO115" s="131">
        <f>+AH115+AM115</f>
        <v>0</v>
      </c>
      <c r="AP115" s="131" t="e">
        <f>+AI115+AN115</f>
        <v>#N/A</v>
      </c>
      <c r="AU115" s="132"/>
      <c r="AV115" s="133"/>
      <c r="AW115" s="134"/>
      <c r="AX115" s="134">
        <f>AO115-AW115</f>
        <v>0</v>
      </c>
      <c r="AY115" s="121"/>
      <c r="AZ115" s="121"/>
    </row>
    <row r="116" spans="2:52" s="124" customFormat="1" x14ac:dyDescent="0.25">
      <c r="B116" s="127">
        <v>44322</v>
      </c>
      <c r="C116" s="127">
        <v>44323</v>
      </c>
      <c r="D116" s="128" t="s">
        <v>269</v>
      </c>
      <c r="E116" s="128" t="s">
        <v>33</v>
      </c>
      <c r="F116" s="124">
        <v>1</v>
      </c>
      <c r="G116" s="144" t="s">
        <v>289</v>
      </c>
      <c r="J116" s="149"/>
      <c r="K116" s="128" t="e">
        <f>VLOOKUP(G116,'BASE PASAJEROS'!A:B,2,FALSE)</f>
        <v>#N/A</v>
      </c>
      <c r="L116" s="128" t="s">
        <v>316</v>
      </c>
      <c r="M116" s="128" t="e">
        <f>VLOOKUP(G116,'BASE PASAJEROS'!A:H,8,FALSE)</f>
        <v>#N/A</v>
      </c>
      <c r="N116" s="128"/>
      <c r="O116" s="128"/>
      <c r="P116" s="128" t="e">
        <f>VLOOKUP(G116,'BASE PASAJEROS'!A:F,6,FALSE)</f>
        <v>#N/A</v>
      </c>
      <c r="Q116" s="128" t="e">
        <f>VLOOKUP(G116,'BASE PASAJEROS'!A:C,3,FALSE)</f>
        <v>#N/A</v>
      </c>
      <c r="R116" s="128" t="e">
        <f>VLOOKUP(G116,'BASE PASAJEROS'!A:G,7,FALSE)</f>
        <v>#N/A</v>
      </c>
      <c r="S116" s="128"/>
      <c r="T116" s="128"/>
      <c r="U116" s="130" t="e">
        <f>VLOOKUP(G116,'BASE PASAJEROS'!A:AG,33,FALSE)</f>
        <v>#N/A</v>
      </c>
      <c r="V116" s="130" t="e">
        <f>VLOOKUP(G116,'BASE PASAJEROS'!A:AH,34,FALSE)</f>
        <v>#N/A</v>
      </c>
      <c r="W116" s="128"/>
      <c r="X116" s="156" t="s">
        <v>319</v>
      </c>
      <c r="Y116" s="128" t="s">
        <v>21</v>
      </c>
      <c r="Z116" s="128" t="s">
        <v>0</v>
      </c>
      <c r="AA116" s="128" t="s">
        <v>319</v>
      </c>
      <c r="AB116" s="128" t="e">
        <f>VLOOKUP(AA116,'BASE BANCOS'!$A$2:$D$202,3,FALSE)</f>
        <v>#N/A</v>
      </c>
      <c r="AC116" s="128"/>
      <c r="AD116" s="129" t="e">
        <f>VLOOKUP(AC116,'BASE CONDUCTORES'!E:G,3,FALSE)</f>
        <v>#N/A</v>
      </c>
      <c r="AE116" s="130"/>
      <c r="AF116" s="131"/>
      <c r="AG116" s="131"/>
      <c r="AH116" s="131">
        <f>+AF116-AG116</f>
        <v>0</v>
      </c>
      <c r="AI116" s="131" t="e">
        <f>VLOOKUP(G116,[4]Hoja1!$T:$AL,19,FALSE)</f>
        <v>#N/A</v>
      </c>
      <c r="AJ116" s="128"/>
      <c r="AK116" s="128"/>
      <c r="AL116" s="128"/>
      <c r="AM116" s="128"/>
      <c r="AN116" s="131">
        <f>+AM116*1.5</f>
        <v>0</v>
      </c>
      <c r="AO116" s="131">
        <f>+AH116+AM116</f>
        <v>0</v>
      </c>
      <c r="AP116" s="131" t="e">
        <f>+AI116+AN116</f>
        <v>#N/A</v>
      </c>
      <c r="AU116" s="132"/>
      <c r="AV116" s="133"/>
      <c r="AW116" s="134"/>
      <c r="AX116" s="134">
        <f>AO116-AW116</f>
        <v>0</v>
      </c>
      <c r="AY116" s="121"/>
      <c r="AZ116" s="121"/>
    </row>
    <row r="117" spans="2:52" s="124" customFormat="1" x14ac:dyDescent="0.25">
      <c r="B117" s="127">
        <v>44322</v>
      </c>
      <c r="C117" s="127">
        <v>44323</v>
      </c>
      <c r="D117" s="128" t="s">
        <v>269</v>
      </c>
      <c r="E117" s="128" t="s">
        <v>33</v>
      </c>
      <c r="F117" s="124">
        <v>1</v>
      </c>
      <c r="G117" s="144" t="s">
        <v>290</v>
      </c>
      <c r="J117" s="149"/>
      <c r="K117" s="128" t="s">
        <v>115</v>
      </c>
      <c r="L117" s="128" t="s">
        <v>316</v>
      </c>
      <c r="M117" s="128" t="s">
        <v>268</v>
      </c>
      <c r="N117" s="128"/>
      <c r="O117" s="128"/>
      <c r="P117" s="128">
        <v>0</v>
      </c>
      <c r="Q117" s="128" t="s">
        <v>304</v>
      </c>
      <c r="R117" s="128">
        <v>0</v>
      </c>
      <c r="S117" s="128" t="s">
        <v>304</v>
      </c>
      <c r="T117" s="128" t="s">
        <v>320</v>
      </c>
      <c r="U117" s="130">
        <v>11.4</v>
      </c>
      <c r="V117" s="130">
        <v>40</v>
      </c>
      <c r="W117" s="128"/>
      <c r="X117" s="156" t="s">
        <v>310</v>
      </c>
      <c r="Y117" s="128" t="s">
        <v>38</v>
      </c>
      <c r="Z117" s="124" t="s">
        <v>329</v>
      </c>
      <c r="AA117" s="128" t="s">
        <v>325</v>
      </c>
      <c r="AB117" s="128" t="e">
        <f>VLOOKUP(AA117,'BASE BANCOS'!$A$2:$D$202,3,FALSE)</f>
        <v>#N/A</v>
      </c>
      <c r="AC117" s="128" t="s">
        <v>326</v>
      </c>
      <c r="AD117" s="129" t="e">
        <f>VLOOKUP(AC117,'BASE CONDUCTORES'!E:G,3,FALSE)</f>
        <v>#N/A</v>
      </c>
      <c r="AH117" s="150"/>
      <c r="AI117" s="150"/>
      <c r="AN117" s="151"/>
      <c r="AO117" s="133"/>
    </row>
    <row r="118" spans="2:52" s="124" customFormat="1" x14ac:dyDescent="0.25">
      <c r="B118" s="127">
        <v>44322</v>
      </c>
      <c r="C118" s="127">
        <v>44323</v>
      </c>
      <c r="D118" s="128" t="s">
        <v>269</v>
      </c>
      <c r="E118" s="128" t="s">
        <v>33</v>
      </c>
      <c r="F118" s="124">
        <v>1</v>
      </c>
      <c r="G118" s="144" t="s">
        <v>290</v>
      </c>
      <c r="J118" s="149"/>
      <c r="K118" s="128" t="s">
        <v>115</v>
      </c>
      <c r="L118" s="128" t="s">
        <v>316</v>
      </c>
      <c r="M118" s="128" t="s">
        <v>268</v>
      </c>
      <c r="N118" s="128"/>
      <c r="O118" s="128"/>
      <c r="P118" s="128">
        <v>0</v>
      </c>
      <c r="Q118" s="128" t="s">
        <v>304</v>
      </c>
      <c r="R118" s="128">
        <v>0</v>
      </c>
      <c r="S118" s="128" t="s">
        <v>304</v>
      </c>
      <c r="T118" s="128" t="s">
        <v>320</v>
      </c>
      <c r="U118" s="130">
        <v>11.4</v>
      </c>
      <c r="V118" s="130">
        <v>40</v>
      </c>
      <c r="W118" s="128"/>
      <c r="X118" s="156" t="s">
        <v>310</v>
      </c>
      <c r="Y118" s="128" t="s">
        <v>32</v>
      </c>
      <c r="Z118" s="124" t="s">
        <v>329</v>
      </c>
      <c r="AA118" s="128" t="s">
        <v>317</v>
      </c>
      <c r="AB118" s="128" t="e">
        <f>VLOOKUP(AA118,'BASE BANCOS'!$A$2:$D$202,3,FALSE)</f>
        <v>#N/A</v>
      </c>
      <c r="AC118" s="128" t="s">
        <v>318</v>
      </c>
      <c r="AD118" s="129" t="e">
        <f>VLOOKUP(AC118,'BASE CONDUCTORES'!E:G,3,FALSE)</f>
        <v>#N/A</v>
      </c>
      <c r="AE118" s="24"/>
      <c r="AF118" s="75"/>
      <c r="AG118" s="75"/>
      <c r="AH118" s="75"/>
      <c r="AI118" s="75"/>
      <c r="AJ118" s="79"/>
      <c r="AO118" s="150"/>
      <c r="AP118" s="150"/>
      <c r="AU118" s="151"/>
      <c r="AV118" s="133"/>
    </row>
    <row r="119" spans="2:52" s="124" customFormat="1" x14ac:dyDescent="0.25">
      <c r="B119" s="127">
        <v>44322</v>
      </c>
      <c r="C119" s="127">
        <v>44323</v>
      </c>
      <c r="D119" s="128" t="s">
        <v>269</v>
      </c>
      <c r="E119" s="128" t="s">
        <v>33</v>
      </c>
      <c r="F119" s="124">
        <v>1</v>
      </c>
      <c r="G119" s="144" t="s">
        <v>291</v>
      </c>
      <c r="J119" s="149"/>
      <c r="K119" s="128" t="e">
        <f>VLOOKUP(G119,'BASE PASAJEROS'!A:B,2,FALSE)</f>
        <v>#N/A</v>
      </c>
      <c r="L119" s="128" t="s">
        <v>316</v>
      </c>
      <c r="M119" s="128" t="e">
        <f>VLOOKUP(G119,'BASE PASAJEROS'!A:H,8,FALSE)</f>
        <v>#N/A</v>
      </c>
      <c r="N119" s="128"/>
      <c r="O119" s="128"/>
      <c r="P119" s="128" t="e">
        <f>VLOOKUP(G119,'BASE PASAJEROS'!A:F,6,FALSE)</f>
        <v>#N/A</v>
      </c>
      <c r="Q119" s="128" t="e">
        <f>VLOOKUP(G119,'BASE PASAJEROS'!A:C,3,FALSE)</f>
        <v>#N/A</v>
      </c>
      <c r="R119" s="128" t="e">
        <f>VLOOKUP(G119,'BASE PASAJEROS'!A:G,7,FALSE)</f>
        <v>#N/A</v>
      </c>
      <c r="S119" s="128" t="e">
        <f>+Q119</f>
        <v>#N/A</v>
      </c>
      <c r="T119" s="128" t="s">
        <v>320</v>
      </c>
      <c r="U119" s="130" t="e">
        <f>VLOOKUP(G119,'BASE PASAJEROS'!A:AG,33,FALSE)</f>
        <v>#N/A</v>
      </c>
      <c r="V119" s="130" t="e">
        <f>VLOOKUP(G119,'BASE PASAJEROS'!A:AH,34,FALSE)</f>
        <v>#N/A</v>
      </c>
      <c r="W119" s="128"/>
      <c r="X119" s="142" t="s">
        <v>308</v>
      </c>
      <c r="Y119" s="128" t="s">
        <v>32</v>
      </c>
      <c r="Z119" s="128" t="s">
        <v>31</v>
      </c>
      <c r="AA119" s="128" t="s">
        <v>317</v>
      </c>
      <c r="AB119" s="128" t="e">
        <f>VLOOKUP(AA119,'BASE BANCOS'!$A$2:$D$202,3,FALSE)</f>
        <v>#N/A</v>
      </c>
      <c r="AC119" s="128" t="s">
        <v>318</v>
      </c>
      <c r="AD119" s="129" t="e">
        <f>VLOOKUP(AC119,'BASE CONDUCTORES'!E:G,3,FALSE)</f>
        <v>#N/A</v>
      </c>
      <c r="AE119" s="24"/>
      <c r="AF119" s="75"/>
      <c r="AG119" s="75"/>
      <c r="AH119" s="75"/>
      <c r="AI119" s="75"/>
      <c r="AJ119" s="79"/>
      <c r="AO119" s="150"/>
      <c r="AP119" s="150"/>
      <c r="AU119" s="151"/>
      <c r="AV119" s="133"/>
    </row>
    <row r="120" spans="2:52" s="124" customFormat="1" x14ac:dyDescent="0.25">
      <c r="B120" s="127">
        <v>44323</v>
      </c>
      <c r="C120" s="127">
        <v>44324</v>
      </c>
      <c r="D120" s="128" t="s">
        <v>269</v>
      </c>
      <c r="E120" s="128" t="s">
        <v>33</v>
      </c>
      <c r="F120" s="124">
        <v>1</v>
      </c>
      <c r="G120" s="144" t="s">
        <v>275</v>
      </c>
      <c r="J120" s="149"/>
      <c r="K120" s="128" t="e">
        <f>VLOOKUP(G120,'BASE PASAJEROS'!A:B,2,FALSE)</f>
        <v>#N/A</v>
      </c>
      <c r="L120" s="128" t="s">
        <v>316</v>
      </c>
      <c r="M120" s="128" t="e">
        <f>VLOOKUP(G120,'BASE PASAJEROS'!A:H,8,FALSE)</f>
        <v>#N/A</v>
      </c>
      <c r="N120" s="128"/>
      <c r="O120" s="128"/>
      <c r="P120" s="128" t="e">
        <f>VLOOKUP(G120,'BASE PASAJEROS'!A:F,6,FALSE)</f>
        <v>#N/A</v>
      </c>
      <c r="Q120" s="128" t="e">
        <f>VLOOKUP(G120,'BASE PASAJEROS'!A:C,3,FALSE)</f>
        <v>#N/A</v>
      </c>
      <c r="R120" s="128" t="e">
        <f>VLOOKUP(G120,'BASE PASAJEROS'!A:G,7,FALSE)</f>
        <v>#N/A</v>
      </c>
      <c r="S120" s="128" t="e">
        <f t="shared" ref="S120:S132" si="14">+Q120</f>
        <v>#N/A</v>
      </c>
      <c r="T120" s="128" t="s">
        <v>320</v>
      </c>
      <c r="U120" s="130" t="e">
        <f>VLOOKUP(G120,'BASE PASAJEROS'!A:AG,33,FALSE)</f>
        <v>#N/A</v>
      </c>
      <c r="V120" s="130" t="e">
        <f>VLOOKUP(G120,'BASE PASAJEROS'!A:AH,34,FALSE)</f>
        <v>#N/A</v>
      </c>
      <c r="W120" s="128"/>
      <c r="X120" s="142" t="s">
        <v>306</v>
      </c>
      <c r="Y120" s="128" t="s">
        <v>27</v>
      </c>
      <c r="Z120" s="128" t="s">
        <v>26</v>
      </c>
      <c r="AA120" s="128" t="s">
        <v>317</v>
      </c>
      <c r="AB120" s="128" t="e">
        <f>VLOOKUP(AA120,'BASE BANCOS'!$A$2:$D$202,3,FALSE)</f>
        <v>#N/A</v>
      </c>
      <c r="AC120" s="128" t="s">
        <v>318</v>
      </c>
      <c r="AD120" s="129" t="e">
        <f>VLOOKUP(AC120,'BASE CONDUCTORES'!E:G,3,FALSE)</f>
        <v>#N/A</v>
      </c>
      <c r="AE120" s="24"/>
      <c r="AF120" s="75"/>
      <c r="AG120" s="75"/>
      <c r="AH120" s="75"/>
      <c r="AI120" s="75"/>
      <c r="AJ120" s="79"/>
      <c r="AO120" s="150"/>
      <c r="AP120" s="150"/>
      <c r="AU120" s="151"/>
      <c r="AV120" s="133"/>
    </row>
    <row r="121" spans="2:52" s="124" customFormat="1" x14ac:dyDescent="0.25">
      <c r="B121" s="127">
        <v>44323</v>
      </c>
      <c r="C121" s="127">
        <v>44324</v>
      </c>
      <c r="D121" s="128" t="s">
        <v>269</v>
      </c>
      <c r="E121" s="128" t="s">
        <v>33</v>
      </c>
      <c r="F121" s="124">
        <v>1</v>
      </c>
      <c r="G121" s="144" t="s">
        <v>276</v>
      </c>
      <c r="J121" s="149"/>
      <c r="K121" s="128" t="e">
        <f>VLOOKUP(G121,'BASE PASAJEROS'!A:B,2,FALSE)</f>
        <v>#N/A</v>
      </c>
      <c r="L121" s="128" t="s">
        <v>316</v>
      </c>
      <c r="M121" s="128" t="e">
        <f>VLOOKUP(G121,'BASE PASAJEROS'!A:H,8,FALSE)</f>
        <v>#N/A</v>
      </c>
      <c r="N121" s="128"/>
      <c r="O121" s="128"/>
      <c r="P121" s="128" t="e">
        <f>VLOOKUP(G121,'BASE PASAJEROS'!A:F,6,FALSE)</f>
        <v>#N/A</v>
      </c>
      <c r="Q121" s="128" t="e">
        <f>VLOOKUP(G121,'BASE PASAJEROS'!A:C,3,FALSE)</f>
        <v>#N/A</v>
      </c>
      <c r="R121" s="128" t="e">
        <f>VLOOKUP(G121,'BASE PASAJEROS'!A:G,7,FALSE)</f>
        <v>#N/A</v>
      </c>
      <c r="S121" s="128" t="e">
        <f t="shared" si="14"/>
        <v>#N/A</v>
      </c>
      <c r="T121" s="128" t="s">
        <v>320</v>
      </c>
      <c r="U121" s="130" t="e">
        <f>VLOOKUP(G121,'BASE PASAJEROS'!A:AG,33,FALSE)</f>
        <v>#N/A</v>
      </c>
      <c r="V121" s="130" t="e">
        <f>VLOOKUP(G121,'BASE PASAJEROS'!A:AH,34,FALSE)</f>
        <v>#N/A</v>
      </c>
      <c r="W121" s="128"/>
      <c r="X121" s="142" t="s">
        <v>306</v>
      </c>
      <c r="Y121" s="128" t="s">
        <v>27</v>
      </c>
      <c r="Z121" s="128" t="s">
        <v>26</v>
      </c>
      <c r="AA121" s="128" t="s">
        <v>317</v>
      </c>
      <c r="AB121" s="128" t="e">
        <f>VLOOKUP(AA121,'BASE BANCOS'!$A$2:$D$202,3,FALSE)</f>
        <v>#N/A</v>
      </c>
      <c r="AC121" s="128" t="s">
        <v>318</v>
      </c>
      <c r="AD121" s="129" t="e">
        <f>VLOOKUP(AC121,'BASE CONDUCTORES'!E:G,3,FALSE)</f>
        <v>#N/A</v>
      </c>
      <c r="AE121" s="24"/>
      <c r="AF121" s="75"/>
      <c r="AG121" s="75"/>
      <c r="AH121" s="75"/>
      <c r="AI121" s="75"/>
      <c r="AJ121" s="79"/>
      <c r="AO121" s="150"/>
      <c r="AP121" s="150"/>
      <c r="AU121" s="151"/>
      <c r="AV121" s="133"/>
    </row>
    <row r="122" spans="2:52" s="124" customFormat="1" x14ac:dyDescent="0.25">
      <c r="B122" s="127">
        <v>44323</v>
      </c>
      <c r="C122" s="127">
        <v>44324</v>
      </c>
      <c r="D122" s="128" t="s">
        <v>269</v>
      </c>
      <c r="E122" s="128" t="s">
        <v>33</v>
      </c>
      <c r="F122" s="124">
        <v>1</v>
      </c>
      <c r="G122" s="144" t="s">
        <v>277</v>
      </c>
      <c r="J122" s="149"/>
      <c r="K122" s="128" t="e">
        <f>VLOOKUP(G122,'BASE PASAJEROS'!A:B,2,FALSE)</f>
        <v>#N/A</v>
      </c>
      <c r="L122" s="128" t="s">
        <v>316</v>
      </c>
      <c r="M122" s="128" t="e">
        <f>VLOOKUP(G122,'BASE PASAJEROS'!A:H,8,FALSE)</f>
        <v>#N/A</v>
      </c>
      <c r="N122" s="128"/>
      <c r="O122" s="128"/>
      <c r="P122" s="128" t="e">
        <f>VLOOKUP(G122,'BASE PASAJEROS'!A:F,6,FALSE)</f>
        <v>#N/A</v>
      </c>
      <c r="Q122" s="128" t="e">
        <f>VLOOKUP(G122,'BASE PASAJEROS'!A:C,3,FALSE)</f>
        <v>#N/A</v>
      </c>
      <c r="R122" s="128" t="e">
        <f>VLOOKUP(G122,'BASE PASAJEROS'!A:G,7,FALSE)</f>
        <v>#N/A</v>
      </c>
      <c r="S122" s="128" t="e">
        <f t="shared" si="14"/>
        <v>#N/A</v>
      </c>
      <c r="T122" s="128" t="s">
        <v>320</v>
      </c>
      <c r="U122" s="130" t="e">
        <f>VLOOKUP(G122,'BASE PASAJEROS'!A:AG,33,FALSE)</f>
        <v>#N/A</v>
      </c>
      <c r="V122" s="130" t="e">
        <f>VLOOKUP(G122,'BASE PASAJEROS'!A:AH,34,FALSE)</f>
        <v>#N/A</v>
      </c>
      <c r="W122" s="128"/>
      <c r="X122" s="156" t="s">
        <v>307</v>
      </c>
      <c r="Y122" s="128" t="s">
        <v>38</v>
      </c>
      <c r="Z122" s="128" t="s">
        <v>43</v>
      </c>
      <c r="AA122" s="128" t="s">
        <v>317</v>
      </c>
      <c r="AB122" s="128" t="e">
        <f>VLOOKUP(AA122,'BASE BANCOS'!$A$2:$D$202,3,FALSE)</f>
        <v>#N/A</v>
      </c>
      <c r="AC122" s="128" t="s">
        <v>318</v>
      </c>
      <c r="AD122" s="129" t="e">
        <f>VLOOKUP(AC122,'BASE CONDUCTORES'!E:G,3,FALSE)</f>
        <v>#N/A</v>
      </c>
      <c r="AE122" s="24"/>
      <c r="AF122" s="75"/>
      <c r="AG122" s="75"/>
      <c r="AH122" s="75"/>
      <c r="AI122" s="75"/>
      <c r="AJ122" s="79"/>
      <c r="AO122" s="150"/>
      <c r="AP122" s="150"/>
      <c r="AU122" s="151"/>
      <c r="AV122" s="133"/>
    </row>
    <row r="123" spans="2:52" s="124" customFormat="1" x14ac:dyDescent="0.25">
      <c r="B123" s="127">
        <v>44323</v>
      </c>
      <c r="C123" s="127">
        <v>44324</v>
      </c>
      <c r="D123" s="128" t="s">
        <v>269</v>
      </c>
      <c r="E123" s="128" t="s">
        <v>33</v>
      </c>
      <c r="F123" s="124">
        <v>1</v>
      </c>
      <c r="G123" s="144" t="s">
        <v>278</v>
      </c>
      <c r="J123" s="149"/>
      <c r="K123" s="128" t="e">
        <f>VLOOKUP(G123,'BASE PASAJEROS'!A:B,2,FALSE)</f>
        <v>#N/A</v>
      </c>
      <c r="L123" s="128" t="s">
        <v>316</v>
      </c>
      <c r="M123" s="128" t="e">
        <f>VLOOKUP(G123,'BASE PASAJEROS'!A:H,8,FALSE)</f>
        <v>#N/A</v>
      </c>
      <c r="N123" s="128"/>
      <c r="O123" s="128"/>
      <c r="P123" s="128" t="e">
        <f>VLOOKUP(G123,'BASE PASAJEROS'!A:F,6,FALSE)</f>
        <v>#N/A</v>
      </c>
      <c r="Q123" s="128" t="e">
        <f>VLOOKUP(G123,'BASE PASAJEROS'!A:C,3,FALSE)</f>
        <v>#N/A</v>
      </c>
      <c r="R123" s="128" t="e">
        <f>VLOOKUP(G123,'BASE PASAJEROS'!A:G,7,FALSE)</f>
        <v>#N/A</v>
      </c>
      <c r="S123" s="128" t="e">
        <f t="shared" si="14"/>
        <v>#N/A</v>
      </c>
      <c r="T123" s="128" t="s">
        <v>320</v>
      </c>
      <c r="U123" s="130" t="e">
        <f>VLOOKUP(G123,'BASE PASAJEROS'!A:AG,33,FALSE)</f>
        <v>#N/A</v>
      </c>
      <c r="V123" s="130" t="e">
        <f>VLOOKUP(G123,'BASE PASAJEROS'!A:AH,34,FALSE)</f>
        <v>#N/A</v>
      </c>
      <c r="W123" s="128"/>
      <c r="X123" s="142" t="s">
        <v>308</v>
      </c>
      <c r="Y123" s="128" t="s">
        <v>32</v>
      </c>
      <c r="Z123" s="128" t="s">
        <v>31</v>
      </c>
      <c r="AA123" s="128" t="s">
        <v>317</v>
      </c>
      <c r="AB123" s="128" t="e">
        <f>VLOOKUP(AA123,'BASE BANCOS'!$A$2:$D$202,3,FALSE)</f>
        <v>#N/A</v>
      </c>
      <c r="AC123" s="128" t="s">
        <v>318</v>
      </c>
      <c r="AD123" s="129" t="e">
        <f>VLOOKUP(AC123,'BASE CONDUCTORES'!E:G,3,FALSE)</f>
        <v>#N/A</v>
      </c>
      <c r="AE123" s="24"/>
      <c r="AF123" s="75"/>
      <c r="AG123" s="75"/>
      <c r="AH123" s="75"/>
      <c r="AI123" s="75"/>
      <c r="AJ123" s="79"/>
      <c r="AO123" s="150"/>
      <c r="AP123" s="150"/>
      <c r="AU123" s="151"/>
      <c r="AV123" s="133"/>
    </row>
    <row r="124" spans="2:52" s="124" customFormat="1" x14ac:dyDescent="0.25">
      <c r="B124" s="127">
        <v>44323</v>
      </c>
      <c r="C124" s="127">
        <v>44324</v>
      </c>
      <c r="D124" s="128" t="s">
        <v>269</v>
      </c>
      <c r="E124" s="128" t="s">
        <v>33</v>
      </c>
      <c r="F124" s="124">
        <v>1</v>
      </c>
      <c r="G124" s="144" t="s">
        <v>279</v>
      </c>
      <c r="J124" s="149"/>
      <c r="K124" s="128" t="e">
        <f>VLOOKUP(G124,'BASE PASAJEROS'!A:B,2,FALSE)</f>
        <v>#N/A</v>
      </c>
      <c r="L124" s="128" t="s">
        <v>316</v>
      </c>
      <c r="M124" s="128" t="e">
        <f>VLOOKUP(G124,'BASE PASAJEROS'!A:H,8,FALSE)</f>
        <v>#N/A</v>
      </c>
      <c r="N124" s="128"/>
      <c r="O124" s="128"/>
      <c r="P124" s="128" t="e">
        <f>VLOOKUP(G124,'BASE PASAJEROS'!A:F,6,FALSE)</f>
        <v>#N/A</v>
      </c>
      <c r="Q124" s="128" t="e">
        <f>VLOOKUP(G124,'BASE PASAJEROS'!A:C,3,FALSE)</f>
        <v>#N/A</v>
      </c>
      <c r="R124" s="128" t="e">
        <f>VLOOKUP(G124,'BASE PASAJEROS'!A:G,7,FALSE)</f>
        <v>#N/A</v>
      </c>
      <c r="S124" s="128" t="e">
        <f t="shared" si="14"/>
        <v>#N/A</v>
      </c>
      <c r="T124" s="128" t="s">
        <v>320</v>
      </c>
      <c r="U124" s="130" t="e">
        <f>VLOOKUP(G124,'BASE PASAJEROS'!A:AG,33,FALSE)</f>
        <v>#N/A</v>
      </c>
      <c r="V124" s="130" t="e">
        <f>VLOOKUP(G124,'BASE PASAJEROS'!A:AH,34,FALSE)</f>
        <v>#N/A</v>
      </c>
      <c r="W124" s="128"/>
      <c r="X124" s="156" t="s">
        <v>307</v>
      </c>
      <c r="Y124" s="128" t="s">
        <v>38</v>
      </c>
      <c r="Z124" s="128" t="s">
        <v>43</v>
      </c>
      <c r="AA124" s="128" t="s">
        <v>317</v>
      </c>
      <c r="AB124" s="128" t="e">
        <f>VLOOKUP(AA124,'BASE BANCOS'!$A$2:$D$202,3,FALSE)</f>
        <v>#N/A</v>
      </c>
      <c r="AC124" s="128" t="s">
        <v>318</v>
      </c>
      <c r="AD124" s="129" t="e">
        <f>VLOOKUP(AC124,'BASE CONDUCTORES'!E:G,3,FALSE)</f>
        <v>#N/A</v>
      </c>
      <c r="AE124" s="24"/>
      <c r="AF124" s="75"/>
      <c r="AG124" s="75"/>
      <c r="AH124" s="75"/>
      <c r="AI124" s="75"/>
      <c r="AJ124" s="79"/>
      <c r="AO124" s="150"/>
      <c r="AP124" s="150"/>
      <c r="AU124" s="151"/>
      <c r="AV124" s="133"/>
    </row>
    <row r="125" spans="2:52" s="124" customFormat="1" x14ac:dyDescent="0.25">
      <c r="B125" s="127">
        <v>44323</v>
      </c>
      <c r="C125" s="127">
        <v>44324</v>
      </c>
      <c r="D125" s="128" t="s">
        <v>269</v>
      </c>
      <c r="E125" s="128" t="s">
        <v>33</v>
      </c>
      <c r="F125" s="124">
        <v>1</v>
      </c>
      <c r="G125" s="144" t="s">
        <v>280</v>
      </c>
      <c r="J125" s="149"/>
      <c r="K125" s="128" t="e">
        <f>VLOOKUP(G125,'BASE PASAJEROS'!A:B,2,FALSE)</f>
        <v>#N/A</v>
      </c>
      <c r="L125" s="128" t="s">
        <v>316</v>
      </c>
      <c r="M125" s="128" t="e">
        <f>VLOOKUP(G125,'BASE PASAJEROS'!A:H,8,FALSE)</f>
        <v>#N/A</v>
      </c>
      <c r="N125" s="128"/>
      <c r="O125" s="128"/>
      <c r="P125" s="128" t="e">
        <f>VLOOKUP(G125,'BASE PASAJEROS'!A:F,6,FALSE)</f>
        <v>#N/A</v>
      </c>
      <c r="Q125" s="128" t="e">
        <f>VLOOKUP(G125,'BASE PASAJEROS'!A:C,3,FALSE)</f>
        <v>#N/A</v>
      </c>
      <c r="R125" s="128" t="e">
        <f>VLOOKUP(G125,'BASE PASAJEROS'!A:G,7,FALSE)</f>
        <v>#N/A</v>
      </c>
      <c r="S125" s="128" t="e">
        <f t="shared" si="14"/>
        <v>#N/A</v>
      </c>
      <c r="T125" s="128" t="s">
        <v>320</v>
      </c>
      <c r="U125" s="130" t="e">
        <f>VLOOKUP(G125,'BASE PASAJEROS'!A:AG,33,FALSE)</f>
        <v>#N/A</v>
      </c>
      <c r="V125" s="130" t="e">
        <f>VLOOKUP(G125,'BASE PASAJEROS'!A:AH,34,FALSE)</f>
        <v>#N/A</v>
      </c>
      <c r="W125" s="128"/>
      <c r="X125" s="142" t="s">
        <v>308</v>
      </c>
      <c r="Y125" s="128" t="s">
        <v>32</v>
      </c>
      <c r="Z125" s="128" t="s">
        <v>31</v>
      </c>
      <c r="AA125" s="128" t="s">
        <v>317</v>
      </c>
      <c r="AB125" s="128" t="e">
        <f>VLOOKUP(AA125,'BASE BANCOS'!$A$2:$D$202,3,FALSE)</f>
        <v>#N/A</v>
      </c>
      <c r="AC125" s="128" t="s">
        <v>318</v>
      </c>
      <c r="AD125" s="129" t="e">
        <f>VLOOKUP(AC125,'BASE CONDUCTORES'!E:G,3,FALSE)</f>
        <v>#N/A</v>
      </c>
      <c r="AE125" s="24"/>
      <c r="AF125" s="75"/>
      <c r="AG125" s="75"/>
      <c r="AH125" s="75"/>
      <c r="AI125" s="75"/>
      <c r="AJ125" s="79"/>
      <c r="AO125" s="150"/>
      <c r="AP125" s="150"/>
      <c r="AU125" s="151"/>
      <c r="AV125" s="133"/>
    </row>
    <row r="126" spans="2:52" s="124" customFormat="1" x14ac:dyDescent="0.25">
      <c r="B126" s="127">
        <v>44323</v>
      </c>
      <c r="C126" s="127">
        <v>44324</v>
      </c>
      <c r="D126" s="128" t="s">
        <v>269</v>
      </c>
      <c r="E126" s="128" t="s">
        <v>33</v>
      </c>
      <c r="F126" s="124">
        <v>1</v>
      </c>
      <c r="G126" s="144" t="s">
        <v>281</v>
      </c>
      <c r="J126" s="149"/>
      <c r="K126" s="128" t="e">
        <f>VLOOKUP(G126,'BASE PASAJEROS'!A:B,2,FALSE)</f>
        <v>#N/A</v>
      </c>
      <c r="L126" s="128" t="s">
        <v>316</v>
      </c>
      <c r="M126" s="128" t="e">
        <f>VLOOKUP(G126,'BASE PASAJEROS'!A:H,8,FALSE)</f>
        <v>#N/A</v>
      </c>
      <c r="N126" s="128"/>
      <c r="O126" s="128"/>
      <c r="P126" s="128" t="e">
        <f>VLOOKUP(G126,'BASE PASAJEROS'!A:F,6,FALSE)</f>
        <v>#N/A</v>
      </c>
      <c r="Q126" s="128" t="e">
        <f>VLOOKUP(G126,'BASE PASAJEROS'!A:C,3,FALSE)</f>
        <v>#N/A</v>
      </c>
      <c r="R126" s="128" t="e">
        <f>VLOOKUP(G126,'BASE PASAJEROS'!A:G,7,FALSE)</f>
        <v>#N/A</v>
      </c>
      <c r="S126" s="128" t="e">
        <f t="shared" si="14"/>
        <v>#N/A</v>
      </c>
      <c r="T126" s="128" t="s">
        <v>320</v>
      </c>
      <c r="U126" s="130" t="e">
        <f>VLOOKUP(G126,'BASE PASAJEROS'!A:AG,33,FALSE)</f>
        <v>#N/A</v>
      </c>
      <c r="V126" s="130" t="e">
        <f>VLOOKUP(G126,'BASE PASAJEROS'!A:AH,34,FALSE)</f>
        <v>#N/A</v>
      </c>
      <c r="W126" s="128"/>
      <c r="X126" s="156" t="s">
        <v>307</v>
      </c>
      <c r="Y126" s="128" t="s">
        <v>38</v>
      </c>
      <c r="Z126" s="128" t="s">
        <v>43</v>
      </c>
      <c r="AA126" s="128" t="s">
        <v>317</v>
      </c>
      <c r="AB126" s="128" t="e">
        <f>VLOOKUP(AA126,'BASE BANCOS'!$A$2:$D$202,3,FALSE)</f>
        <v>#N/A</v>
      </c>
      <c r="AC126" s="128" t="s">
        <v>318</v>
      </c>
      <c r="AD126" s="129" t="e">
        <f>VLOOKUP(AC126,'BASE CONDUCTORES'!E:G,3,FALSE)</f>
        <v>#N/A</v>
      </c>
      <c r="AE126" s="24"/>
      <c r="AF126" s="75"/>
      <c r="AG126" s="75"/>
      <c r="AH126" s="75"/>
      <c r="AI126" s="75"/>
      <c r="AJ126" s="79"/>
      <c r="AO126" s="150"/>
      <c r="AP126" s="150"/>
      <c r="AU126" s="151"/>
      <c r="AV126" s="133"/>
    </row>
    <row r="127" spans="2:52" s="124" customFormat="1" x14ac:dyDescent="0.25">
      <c r="B127" s="127">
        <v>44323</v>
      </c>
      <c r="C127" s="127">
        <v>44324</v>
      </c>
      <c r="D127" s="128" t="s">
        <v>269</v>
      </c>
      <c r="E127" s="128" t="s">
        <v>33</v>
      </c>
      <c r="F127" s="124">
        <v>1</v>
      </c>
      <c r="G127" s="144" t="s">
        <v>282</v>
      </c>
      <c r="J127" s="149"/>
      <c r="K127" s="128" t="e">
        <f>VLOOKUP(G127,'BASE PASAJEROS'!A:B,2,FALSE)</f>
        <v>#N/A</v>
      </c>
      <c r="L127" s="128" t="s">
        <v>316</v>
      </c>
      <c r="M127" s="128" t="e">
        <f>VLOOKUP(G127,'BASE PASAJEROS'!A:H,8,FALSE)</f>
        <v>#N/A</v>
      </c>
      <c r="N127" s="128"/>
      <c r="O127" s="128"/>
      <c r="P127" s="128" t="e">
        <f>VLOOKUP(G127,'BASE PASAJEROS'!A:F,6,FALSE)</f>
        <v>#N/A</v>
      </c>
      <c r="Q127" s="128" t="e">
        <f>VLOOKUP(G127,'BASE PASAJEROS'!A:C,3,FALSE)</f>
        <v>#N/A</v>
      </c>
      <c r="R127" s="128" t="e">
        <f>VLOOKUP(G127,'BASE PASAJEROS'!A:G,7,FALSE)</f>
        <v>#N/A</v>
      </c>
      <c r="S127" s="128" t="e">
        <f t="shared" si="14"/>
        <v>#N/A</v>
      </c>
      <c r="T127" s="128" t="s">
        <v>320</v>
      </c>
      <c r="U127" s="130" t="e">
        <f>VLOOKUP(G127,'BASE PASAJEROS'!A:AG,33,FALSE)</f>
        <v>#N/A</v>
      </c>
      <c r="V127" s="130" t="e">
        <f>VLOOKUP(G127,'BASE PASAJEROS'!A:AH,34,FALSE)</f>
        <v>#N/A</v>
      </c>
      <c r="W127" s="128"/>
      <c r="X127" s="142" t="s">
        <v>308</v>
      </c>
      <c r="Y127" s="128" t="s">
        <v>32</v>
      </c>
      <c r="Z127" s="128" t="s">
        <v>31</v>
      </c>
      <c r="AA127" s="128" t="s">
        <v>317</v>
      </c>
      <c r="AB127" s="128" t="e">
        <f>VLOOKUP(AA127,'BASE BANCOS'!$A$2:$D$202,3,FALSE)</f>
        <v>#N/A</v>
      </c>
      <c r="AC127" s="128" t="s">
        <v>318</v>
      </c>
      <c r="AD127" s="129" t="e">
        <f>VLOOKUP(AC127,'BASE CONDUCTORES'!E:G,3,FALSE)</f>
        <v>#N/A</v>
      </c>
      <c r="AE127" s="24"/>
      <c r="AF127" s="75"/>
      <c r="AG127" s="75"/>
      <c r="AH127" s="75"/>
      <c r="AI127" s="75"/>
      <c r="AJ127" s="79"/>
      <c r="AO127" s="150"/>
      <c r="AP127" s="150"/>
      <c r="AU127" s="151"/>
      <c r="AV127" s="133"/>
    </row>
    <row r="128" spans="2:52" s="124" customFormat="1" x14ac:dyDescent="0.25">
      <c r="B128" s="127">
        <v>44323</v>
      </c>
      <c r="C128" s="127">
        <v>44324</v>
      </c>
      <c r="D128" s="128" t="s">
        <v>269</v>
      </c>
      <c r="E128" s="128" t="s">
        <v>33</v>
      </c>
      <c r="F128" s="124">
        <v>1</v>
      </c>
      <c r="G128" s="144" t="s">
        <v>283</v>
      </c>
      <c r="J128" s="149"/>
      <c r="K128" s="128" t="e">
        <f>VLOOKUP(G128,'BASE PASAJEROS'!A:B,2,FALSE)</f>
        <v>#N/A</v>
      </c>
      <c r="L128" s="128" t="s">
        <v>316</v>
      </c>
      <c r="M128" s="128" t="e">
        <f>VLOOKUP(G128,'BASE PASAJEROS'!A:H,8,FALSE)</f>
        <v>#N/A</v>
      </c>
      <c r="N128" s="128"/>
      <c r="O128" s="128"/>
      <c r="P128" s="128" t="e">
        <f>VLOOKUP(G128,'BASE PASAJEROS'!A:F,6,FALSE)</f>
        <v>#N/A</v>
      </c>
      <c r="Q128" s="128" t="e">
        <f>VLOOKUP(G128,'BASE PASAJEROS'!A:C,3,FALSE)</f>
        <v>#N/A</v>
      </c>
      <c r="R128" s="128" t="e">
        <f>VLOOKUP(G128,'BASE PASAJEROS'!A:G,7,FALSE)</f>
        <v>#N/A</v>
      </c>
      <c r="S128" s="128" t="e">
        <f t="shared" si="14"/>
        <v>#N/A</v>
      </c>
      <c r="T128" s="128" t="s">
        <v>320</v>
      </c>
      <c r="U128" s="130" t="e">
        <f>VLOOKUP(G128,'BASE PASAJEROS'!A:AG,33,FALSE)</f>
        <v>#N/A</v>
      </c>
      <c r="V128" s="130" t="e">
        <f>VLOOKUP(G128,'BASE PASAJEROS'!A:AH,34,FALSE)</f>
        <v>#N/A</v>
      </c>
      <c r="W128" s="128"/>
      <c r="X128" s="156" t="s">
        <v>307</v>
      </c>
      <c r="Y128" s="128" t="s">
        <v>38</v>
      </c>
      <c r="Z128" s="128" t="s">
        <v>43</v>
      </c>
      <c r="AA128" s="128" t="s">
        <v>317</v>
      </c>
      <c r="AB128" s="128" t="e">
        <f>VLOOKUP(AA128,'BASE BANCOS'!$A$2:$D$202,3,FALSE)</f>
        <v>#N/A</v>
      </c>
      <c r="AC128" s="128" t="s">
        <v>318</v>
      </c>
      <c r="AD128" s="129" t="e">
        <f>VLOOKUP(AC128,'BASE CONDUCTORES'!E:G,3,FALSE)</f>
        <v>#N/A</v>
      </c>
      <c r="AE128" s="24"/>
      <c r="AF128" s="75"/>
      <c r="AG128" s="75"/>
      <c r="AH128" s="75"/>
      <c r="AI128" s="75"/>
      <c r="AJ128" s="79"/>
      <c r="AO128" s="150"/>
      <c r="AP128" s="150"/>
      <c r="AU128" s="151"/>
      <c r="AV128" s="133"/>
    </row>
    <row r="129" spans="2:52" s="124" customFormat="1" x14ac:dyDescent="0.25">
      <c r="B129" s="127">
        <v>44323</v>
      </c>
      <c r="C129" s="127">
        <v>44324</v>
      </c>
      <c r="D129" s="128" t="s">
        <v>269</v>
      </c>
      <c r="E129" s="128" t="s">
        <v>33</v>
      </c>
      <c r="F129" s="124">
        <v>1</v>
      </c>
      <c r="G129" s="144" t="s">
        <v>284</v>
      </c>
      <c r="J129" s="149"/>
      <c r="K129" s="128" t="e">
        <f>VLOOKUP(G129,'BASE PASAJEROS'!A:B,2,FALSE)</f>
        <v>#N/A</v>
      </c>
      <c r="L129" s="128" t="s">
        <v>316</v>
      </c>
      <c r="M129" s="128" t="e">
        <f>VLOOKUP(G129,'BASE PASAJEROS'!A:H,8,FALSE)</f>
        <v>#N/A</v>
      </c>
      <c r="N129" s="128"/>
      <c r="O129" s="128"/>
      <c r="P129" s="128" t="e">
        <f>VLOOKUP(G129,'BASE PASAJEROS'!A:F,6,FALSE)</f>
        <v>#N/A</v>
      </c>
      <c r="Q129" s="128" t="e">
        <f>VLOOKUP(G129,'BASE PASAJEROS'!A:C,3,FALSE)</f>
        <v>#N/A</v>
      </c>
      <c r="R129" s="128" t="e">
        <f>VLOOKUP(G129,'BASE PASAJEROS'!A:G,7,FALSE)</f>
        <v>#N/A</v>
      </c>
      <c r="S129" s="128" t="e">
        <f t="shared" si="14"/>
        <v>#N/A</v>
      </c>
      <c r="T129" s="128" t="s">
        <v>320</v>
      </c>
      <c r="U129" s="130" t="e">
        <f>VLOOKUP(G129,'BASE PASAJEROS'!A:AG,33,FALSE)</f>
        <v>#N/A</v>
      </c>
      <c r="V129" s="130" t="e">
        <f>VLOOKUP(G129,'BASE PASAJEROS'!A:AH,34,FALSE)</f>
        <v>#N/A</v>
      </c>
      <c r="W129" s="128"/>
      <c r="X129" s="142" t="s">
        <v>308</v>
      </c>
      <c r="Y129" s="128" t="s">
        <v>32</v>
      </c>
      <c r="Z129" s="128" t="s">
        <v>31</v>
      </c>
      <c r="AA129" s="128" t="s">
        <v>317</v>
      </c>
      <c r="AB129" s="128" t="e">
        <f>VLOOKUP(AA129,'BASE BANCOS'!$A$2:$D$202,3,FALSE)</f>
        <v>#N/A</v>
      </c>
      <c r="AC129" s="128" t="s">
        <v>318</v>
      </c>
      <c r="AD129" s="129" t="e">
        <f>VLOOKUP(AC129,'BASE CONDUCTORES'!E:G,3,FALSE)</f>
        <v>#N/A</v>
      </c>
      <c r="AE129" s="24"/>
      <c r="AF129" s="75"/>
      <c r="AG129" s="75"/>
      <c r="AH129" s="75"/>
      <c r="AI129" s="75"/>
      <c r="AJ129" s="79"/>
      <c r="AO129" s="150"/>
      <c r="AP129" s="150"/>
      <c r="AU129" s="151"/>
      <c r="AV129" s="133"/>
    </row>
    <row r="130" spans="2:52" s="124" customFormat="1" x14ac:dyDescent="0.25">
      <c r="B130" s="127">
        <v>44323</v>
      </c>
      <c r="C130" s="127">
        <v>44324</v>
      </c>
      <c r="D130" s="128" t="s">
        <v>269</v>
      </c>
      <c r="E130" s="128" t="s">
        <v>33</v>
      </c>
      <c r="F130" s="124">
        <v>1</v>
      </c>
      <c r="G130" s="144" t="s">
        <v>285</v>
      </c>
      <c r="J130" s="149"/>
      <c r="K130" s="128" t="e">
        <f>VLOOKUP(G130,'BASE PASAJEROS'!A:B,2,FALSE)</f>
        <v>#N/A</v>
      </c>
      <c r="L130" s="128" t="s">
        <v>316</v>
      </c>
      <c r="M130" s="128" t="e">
        <f>VLOOKUP(G130,'BASE PASAJEROS'!A:H,8,FALSE)</f>
        <v>#N/A</v>
      </c>
      <c r="N130" s="128"/>
      <c r="O130" s="128"/>
      <c r="P130" s="128" t="e">
        <f>VLOOKUP(G130,'BASE PASAJEROS'!A:F,6,FALSE)</f>
        <v>#N/A</v>
      </c>
      <c r="Q130" s="128" t="e">
        <f>VLOOKUP(G130,'BASE PASAJEROS'!A:C,3,FALSE)</f>
        <v>#N/A</v>
      </c>
      <c r="R130" s="128" t="e">
        <f>VLOOKUP(G130,'BASE PASAJEROS'!A:G,7,FALSE)</f>
        <v>#N/A</v>
      </c>
      <c r="S130" s="128" t="e">
        <f t="shared" si="14"/>
        <v>#N/A</v>
      </c>
      <c r="T130" s="128" t="s">
        <v>320</v>
      </c>
      <c r="U130" s="130" t="e">
        <f>VLOOKUP(G130,'BASE PASAJEROS'!A:AG,33,FALSE)</f>
        <v>#N/A</v>
      </c>
      <c r="V130" s="130" t="e">
        <f>VLOOKUP(G130,'BASE PASAJEROS'!A:AH,34,FALSE)</f>
        <v>#N/A</v>
      </c>
      <c r="W130" s="128"/>
      <c r="X130" s="156" t="s">
        <v>307</v>
      </c>
      <c r="Y130" s="128" t="s">
        <v>38</v>
      </c>
      <c r="Z130" s="128" t="s">
        <v>43</v>
      </c>
      <c r="AA130" s="128" t="s">
        <v>317</v>
      </c>
      <c r="AB130" s="128" t="e">
        <f>VLOOKUP(AA130,'BASE BANCOS'!$A$2:$D$202,3,FALSE)</f>
        <v>#N/A</v>
      </c>
      <c r="AC130" s="128" t="s">
        <v>318</v>
      </c>
      <c r="AD130" s="129" t="e">
        <f>VLOOKUP(AC130,'BASE CONDUCTORES'!E:G,3,FALSE)</f>
        <v>#N/A</v>
      </c>
      <c r="AE130" s="24"/>
      <c r="AF130" s="75"/>
      <c r="AG130" s="75"/>
      <c r="AH130" s="75"/>
      <c r="AI130" s="75"/>
      <c r="AJ130" s="79"/>
      <c r="AO130" s="150"/>
      <c r="AP130" s="150"/>
      <c r="AU130" s="151"/>
      <c r="AV130" s="133"/>
    </row>
    <row r="131" spans="2:52" s="124" customFormat="1" x14ac:dyDescent="0.25">
      <c r="B131" s="127">
        <v>44323</v>
      </c>
      <c r="C131" s="127">
        <v>44324</v>
      </c>
      <c r="D131" s="128" t="s">
        <v>269</v>
      </c>
      <c r="E131" s="128" t="s">
        <v>33</v>
      </c>
      <c r="F131" s="124">
        <v>1</v>
      </c>
      <c r="G131" s="144" t="s">
        <v>286</v>
      </c>
      <c r="J131" s="149"/>
      <c r="K131" s="128" t="e">
        <f>VLOOKUP(G131,'BASE PASAJEROS'!A:B,2,FALSE)</f>
        <v>#N/A</v>
      </c>
      <c r="L131" s="128" t="s">
        <v>316</v>
      </c>
      <c r="M131" s="128" t="e">
        <f>VLOOKUP(G131,'BASE PASAJEROS'!A:H,8,FALSE)</f>
        <v>#N/A</v>
      </c>
      <c r="N131" s="128"/>
      <c r="O131" s="128"/>
      <c r="P131" s="128" t="e">
        <f>VLOOKUP(G131,'BASE PASAJEROS'!A:F,6,FALSE)</f>
        <v>#N/A</v>
      </c>
      <c r="Q131" s="128" t="e">
        <f>VLOOKUP(G131,'BASE PASAJEROS'!A:C,3,FALSE)</f>
        <v>#N/A</v>
      </c>
      <c r="R131" s="128" t="e">
        <f>VLOOKUP(G131,'BASE PASAJEROS'!A:G,7,FALSE)</f>
        <v>#N/A</v>
      </c>
      <c r="S131" s="128" t="e">
        <f t="shared" si="14"/>
        <v>#N/A</v>
      </c>
      <c r="T131" s="128" t="s">
        <v>320</v>
      </c>
      <c r="U131" s="130" t="e">
        <f>VLOOKUP(G131,'BASE PASAJEROS'!A:AG,33,FALSE)</f>
        <v>#N/A</v>
      </c>
      <c r="V131" s="130" t="e">
        <f>VLOOKUP(G131,'BASE PASAJEROS'!A:AH,34,FALSE)</f>
        <v>#N/A</v>
      </c>
      <c r="W131" s="128"/>
      <c r="X131" s="142" t="s">
        <v>306</v>
      </c>
      <c r="Y131" s="128" t="s">
        <v>27</v>
      </c>
      <c r="Z131" s="128" t="s">
        <v>26</v>
      </c>
      <c r="AA131" s="128" t="s">
        <v>317</v>
      </c>
      <c r="AB131" s="128" t="e">
        <f>VLOOKUP(AA131,'BASE BANCOS'!$A$2:$D$202,3,FALSE)</f>
        <v>#N/A</v>
      </c>
      <c r="AC131" s="128" t="s">
        <v>318</v>
      </c>
      <c r="AD131" s="129" t="e">
        <f>VLOOKUP(AC131,'BASE CONDUCTORES'!E:G,3,FALSE)</f>
        <v>#N/A</v>
      </c>
      <c r="AE131" s="24"/>
      <c r="AF131" s="75"/>
      <c r="AG131" s="75"/>
      <c r="AH131" s="75"/>
      <c r="AI131" s="75"/>
      <c r="AJ131" s="79"/>
      <c r="AO131" s="150"/>
      <c r="AP131" s="150"/>
      <c r="AU131" s="151"/>
      <c r="AV131" s="133"/>
    </row>
    <row r="132" spans="2:52" s="124" customFormat="1" x14ac:dyDescent="0.25">
      <c r="B132" s="127">
        <v>44323</v>
      </c>
      <c r="C132" s="127">
        <v>44324</v>
      </c>
      <c r="D132" s="128" t="s">
        <v>269</v>
      </c>
      <c r="E132" s="128" t="s">
        <v>33</v>
      </c>
      <c r="F132" s="124">
        <v>1</v>
      </c>
      <c r="G132" s="144" t="s">
        <v>121</v>
      </c>
      <c r="J132" s="149"/>
      <c r="K132" s="128" t="e">
        <f>VLOOKUP(G132,'BASE PASAJEROS'!A:B,2,FALSE)</f>
        <v>#N/A</v>
      </c>
      <c r="L132" s="128" t="s">
        <v>316</v>
      </c>
      <c r="M132" s="128" t="e">
        <f>VLOOKUP(G132,'BASE PASAJEROS'!A:H,8,FALSE)</f>
        <v>#N/A</v>
      </c>
      <c r="N132" s="128"/>
      <c r="O132" s="128"/>
      <c r="P132" s="128" t="e">
        <f>VLOOKUP(G132,'BASE PASAJEROS'!A:F,6,FALSE)</f>
        <v>#N/A</v>
      </c>
      <c r="Q132" s="128" t="e">
        <f>VLOOKUP(G132,'BASE PASAJEROS'!A:C,3,FALSE)</f>
        <v>#N/A</v>
      </c>
      <c r="R132" s="128" t="e">
        <f>VLOOKUP(G132,'BASE PASAJEROS'!A:G,7,FALSE)</f>
        <v>#N/A</v>
      </c>
      <c r="S132" s="128" t="e">
        <f t="shared" si="14"/>
        <v>#N/A</v>
      </c>
      <c r="T132" s="128" t="s">
        <v>320</v>
      </c>
      <c r="U132" s="130" t="e">
        <f>VLOOKUP(G132,'BASE PASAJEROS'!A:AG,33,FALSE)</f>
        <v>#N/A</v>
      </c>
      <c r="V132" s="130" t="e">
        <f>VLOOKUP(G132,'BASE PASAJEROS'!A:AH,34,FALSE)</f>
        <v>#N/A</v>
      </c>
      <c r="W132" s="128"/>
      <c r="X132" s="142" t="s">
        <v>306</v>
      </c>
      <c r="Y132" s="128" t="s">
        <v>27</v>
      </c>
      <c r="Z132" s="128" t="s">
        <v>26</v>
      </c>
      <c r="AA132" s="128" t="s">
        <v>317</v>
      </c>
      <c r="AB132" s="128" t="e">
        <f>VLOOKUP(AA132,'BASE BANCOS'!$A$2:$D$202,3,FALSE)</f>
        <v>#N/A</v>
      </c>
      <c r="AC132" s="128" t="s">
        <v>318</v>
      </c>
      <c r="AD132" s="129" t="e">
        <f>VLOOKUP(AC132,'BASE CONDUCTORES'!E:G,3,FALSE)</f>
        <v>#N/A</v>
      </c>
      <c r="AE132" s="24"/>
      <c r="AF132" s="75"/>
      <c r="AG132" s="75"/>
      <c r="AH132" s="75"/>
      <c r="AI132" s="75"/>
      <c r="AJ132" s="79"/>
      <c r="AO132" s="150"/>
      <c r="AP132" s="150"/>
      <c r="AU132" s="151"/>
      <c r="AV132" s="133"/>
    </row>
    <row r="133" spans="2:52" s="124" customFormat="1" x14ac:dyDescent="0.25">
      <c r="B133" s="127">
        <v>44323</v>
      </c>
      <c r="C133" s="127">
        <v>44324</v>
      </c>
      <c r="D133" s="128" t="s">
        <v>269</v>
      </c>
      <c r="E133" s="128" t="s">
        <v>33</v>
      </c>
      <c r="F133" s="124">
        <v>1</v>
      </c>
      <c r="G133" s="144" t="s">
        <v>287</v>
      </c>
      <c r="J133" s="149"/>
      <c r="K133" s="128" t="e">
        <f>VLOOKUP(G133,'BASE PASAJEROS'!A:B,2,FALSE)</f>
        <v>#N/A</v>
      </c>
      <c r="L133" s="128" t="s">
        <v>316</v>
      </c>
      <c r="M133" s="128" t="e">
        <f>VLOOKUP(G133,'BASE PASAJEROS'!A:H,8,FALSE)</f>
        <v>#N/A</v>
      </c>
      <c r="N133" s="128"/>
      <c r="O133" s="128"/>
      <c r="P133" s="128" t="e">
        <f>VLOOKUP(G133,'BASE PASAJEROS'!A:F,6,FALSE)</f>
        <v>#N/A</v>
      </c>
      <c r="Q133" s="128" t="e">
        <f>VLOOKUP(G133,'BASE PASAJEROS'!A:C,3,FALSE)</f>
        <v>#N/A</v>
      </c>
      <c r="R133" s="128" t="e">
        <f>VLOOKUP(G133,'BASE PASAJEROS'!A:G,7,FALSE)</f>
        <v>#N/A</v>
      </c>
      <c r="S133" s="128"/>
      <c r="T133" s="128"/>
      <c r="U133" s="130" t="e">
        <f>VLOOKUP(G133,'BASE PASAJEROS'!A:AG,33,FALSE)</f>
        <v>#N/A</v>
      </c>
      <c r="V133" s="130" t="e">
        <f>VLOOKUP(G133,'BASE PASAJEROS'!A:AH,34,FALSE)</f>
        <v>#N/A</v>
      </c>
      <c r="W133" s="128"/>
      <c r="X133" s="145" t="s">
        <v>314</v>
      </c>
      <c r="Y133" s="128" t="s">
        <v>21</v>
      </c>
      <c r="Z133" s="128" t="s">
        <v>0</v>
      </c>
      <c r="AA133" s="128" t="s">
        <v>319</v>
      </c>
      <c r="AB133" s="128" t="e">
        <f>VLOOKUP(AA133,'BASE BANCOS'!$A$2:$D$202,3,FALSE)</f>
        <v>#N/A</v>
      </c>
      <c r="AC133" s="128"/>
      <c r="AD133" s="129" t="e">
        <f>VLOOKUP(AC133,'BASE CONDUCTORES'!E:G,3,FALSE)</f>
        <v>#N/A</v>
      </c>
      <c r="AE133" s="130"/>
      <c r="AF133" s="131"/>
      <c r="AG133" s="131"/>
      <c r="AH133" s="131">
        <f>+AF133-AG133</f>
        <v>0</v>
      </c>
      <c r="AI133" s="131" t="e">
        <f>VLOOKUP(G133,[4]Hoja1!$T:$AL,19,FALSE)</f>
        <v>#N/A</v>
      </c>
      <c r="AJ133" s="128"/>
      <c r="AK133" s="128" t="s">
        <v>370</v>
      </c>
      <c r="AL133" s="128"/>
      <c r="AM133" s="128"/>
      <c r="AN133" s="131">
        <f>+AM133*1.5</f>
        <v>0</v>
      </c>
      <c r="AO133" s="131">
        <f>+AH133+AM133</f>
        <v>0</v>
      </c>
      <c r="AP133" s="131" t="e">
        <f>+AI133+AN133</f>
        <v>#N/A</v>
      </c>
      <c r="AU133" s="132"/>
      <c r="AV133" s="133"/>
      <c r="AW133" s="134"/>
      <c r="AX133" s="134">
        <f>AO133-AW133</f>
        <v>0</v>
      </c>
      <c r="AY133" s="121"/>
      <c r="AZ133" s="121"/>
    </row>
    <row r="134" spans="2:52" s="124" customFormat="1" x14ac:dyDescent="0.25">
      <c r="B134" s="127">
        <v>44323</v>
      </c>
      <c r="C134" s="127">
        <v>44324</v>
      </c>
      <c r="D134" s="128" t="s">
        <v>269</v>
      </c>
      <c r="E134" s="128" t="s">
        <v>33</v>
      </c>
      <c r="F134" s="124">
        <v>1</v>
      </c>
      <c r="G134" s="135" t="s">
        <v>321</v>
      </c>
      <c r="J134" s="149"/>
      <c r="K134" s="128" t="e">
        <f>VLOOKUP(G134,'BASE PASAJEROS'!A:B,2,FALSE)</f>
        <v>#N/A</v>
      </c>
      <c r="L134" s="128" t="s">
        <v>316</v>
      </c>
      <c r="M134" s="128" t="e">
        <f>VLOOKUP(G134,'BASE PASAJEROS'!A:H,8,FALSE)</f>
        <v>#N/A</v>
      </c>
      <c r="N134" s="128"/>
      <c r="O134" s="128"/>
      <c r="P134" s="128" t="e">
        <f>VLOOKUP(G134,'BASE PASAJEROS'!A:F,6,FALSE)</f>
        <v>#N/A</v>
      </c>
      <c r="Q134" s="128" t="e">
        <f>VLOOKUP(G134,'BASE PASAJEROS'!A:C,3,FALSE)</f>
        <v>#N/A</v>
      </c>
      <c r="R134" s="128" t="e">
        <f>VLOOKUP(G134,'BASE PASAJEROS'!A:G,7,FALSE)</f>
        <v>#N/A</v>
      </c>
      <c r="S134" s="128"/>
      <c r="T134" s="128"/>
      <c r="U134" s="130" t="e">
        <f>VLOOKUP(G134,'BASE PASAJEROS'!A:AG,33,FALSE)</f>
        <v>#N/A</v>
      </c>
      <c r="V134" s="130" t="e">
        <f>VLOOKUP(G134,'BASE PASAJEROS'!A:AH,34,FALSE)</f>
        <v>#N/A</v>
      </c>
      <c r="W134" s="128"/>
      <c r="X134" s="145" t="s">
        <v>315</v>
      </c>
      <c r="Y134" s="128" t="s">
        <v>21</v>
      </c>
      <c r="Z134" s="128" t="s">
        <v>0</v>
      </c>
      <c r="AA134" s="128" t="s">
        <v>319</v>
      </c>
      <c r="AB134" s="128" t="e">
        <f>VLOOKUP(AA134,'BASE BANCOS'!$A$2:$D$202,3,FALSE)</f>
        <v>#N/A</v>
      </c>
      <c r="AC134" s="128"/>
      <c r="AD134" s="129" t="e">
        <f>VLOOKUP(AC134,'BASE CONDUCTORES'!E:G,3,FALSE)</f>
        <v>#N/A</v>
      </c>
      <c r="AE134" s="130"/>
      <c r="AF134" s="131"/>
      <c r="AG134" s="131"/>
      <c r="AH134" s="131">
        <f>+AF134-AG134</f>
        <v>0</v>
      </c>
      <c r="AI134" s="131" t="e">
        <f>VLOOKUP(G134,[4]Hoja1!$T:$AL,19,FALSE)</f>
        <v>#N/A</v>
      </c>
      <c r="AJ134" s="128"/>
      <c r="AK134" s="128"/>
      <c r="AL134" s="128"/>
      <c r="AM134" s="128"/>
      <c r="AN134" s="131">
        <f>+AM134*1.5</f>
        <v>0</v>
      </c>
      <c r="AO134" s="131">
        <f>+AH134+AM134</f>
        <v>0</v>
      </c>
      <c r="AP134" s="131" t="e">
        <f>+AI134+AN134</f>
        <v>#N/A</v>
      </c>
      <c r="AU134" s="132"/>
      <c r="AV134" s="133"/>
      <c r="AW134" s="134"/>
      <c r="AX134" s="134">
        <f>AO134-AW134</f>
        <v>0</v>
      </c>
      <c r="AY134" s="121"/>
      <c r="AZ134" s="121"/>
    </row>
    <row r="135" spans="2:52" s="124" customFormat="1" x14ac:dyDescent="0.25">
      <c r="B135" s="127">
        <v>44323</v>
      </c>
      <c r="C135" s="127">
        <v>44324</v>
      </c>
      <c r="D135" s="128" t="s">
        <v>269</v>
      </c>
      <c r="E135" s="128" t="s">
        <v>33</v>
      </c>
      <c r="F135" s="124">
        <v>1</v>
      </c>
      <c r="G135" s="144" t="s">
        <v>288</v>
      </c>
      <c r="J135" s="149"/>
      <c r="K135" s="128" t="e">
        <f>VLOOKUP(G135,'BASE PASAJEROS'!A:B,2,FALSE)</f>
        <v>#N/A</v>
      </c>
      <c r="L135" s="128" t="s">
        <v>316</v>
      </c>
      <c r="M135" s="128" t="e">
        <f>VLOOKUP(G135,'BASE PASAJEROS'!A:H,8,FALSE)</f>
        <v>#N/A</v>
      </c>
      <c r="N135" s="128"/>
      <c r="O135" s="128"/>
      <c r="P135" s="128" t="e">
        <f>VLOOKUP(G135,'BASE PASAJEROS'!A:F,6,FALSE)</f>
        <v>#N/A</v>
      </c>
      <c r="Q135" s="128" t="e">
        <f>VLOOKUP(G135,'BASE PASAJEROS'!A:C,3,FALSE)</f>
        <v>#N/A</v>
      </c>
      <c r="R135" s="128" t="e">
        <f>VLOOKUP(G135,'BASE PASAJEROS'!A:G,7,FALSE)</f>
        <v>#N/A</v>
      </c>
      <c r="S135" s="128" t="e">
        <f>+Q135</f>
        <v>#N/A</v>
      </c>
      <c r="T135" s="128" t="s">
        <v>320</v>
      </c>
      <c r="U135" s="130" t="e">
        <f>VLOOKUP(G135,'BASE PASAJEROS'!A:AG,33,FALSE)</f>
        <v>#N/A</v>
      </c>
      <c r="V135" s="130" t="e">
        <f>VLOOKUP(G135,'BASE PASAJEROS'!A:AH,34,FALSE)</f>
        <v>#N/A</v>
      </c>
      <c r="W135" s="128"/>
      <c r="X135" s="142" t="s">
        <v>308</v>
      </c>
      <c r="Y135" s="128" t="s">
        <v>32</v>
      </c>
      <c r="Z135" s="128" t="s">
        <v>31</v>
      </c>
      <c r="AA135" s="128" t="s">
        <v>317</v>
      </c>
      <c r="AB135" s="128" t="e">
        <f>VLOOKUP(AA135,'BASE BANCOS'!$A$2:$D$202,3,FALSE)</f>
        <v>#N/A</v>
      </c>
      <c r="AC135" s="128" t="s">
        <v>318</v>
      </c>
      <c r="AD135" s="129" t="e">
        <f>VLOOKUP(AC135,'BASE CONDUCTORES'!E:G,3,FALSE)</f>
        <v>#N/A</v>
      </c>
      <c r="AE135" s="24"/>
      <c r="AF135" s="75"/>
      <c r="AG135" s="75"/>
      <c r="AH135" s="75"/>
      <c r="AI135" s="75"/>
      <c r="AJ135" s="79"/>
      <c r="AO135" s="150"/>
      <c r="AP135" s="150"/>
      <c r="AU135" s="151"/>
      <c r="AV135" s="133"/>
    </row>
    <row r="136" spans="2:52" s="124" customFormat="1" x14ac:dyDescent="0.25">
      <c r="B136" s="127">
        <v>44323</v>
      </c>
      <c r="C136" s="127">
        <v>44324</v>
      </c>
      <c r="D136" s="128" t="s">
        <v>269</v>
      </c>
      <c r="E136" s="128" t="s">
        <v>33</v>
      </c>
      <c r="F136" s="124">
        <v>1</v>
      </c>
      <c r="G136" s="144" t="s">
        <v>289</v>
      </c>
      <c r="J136" s="149"/>
      <c r="K136" s="128" t="e">
        <f>VLOOKUP(G136,'BASE PASAJEROS'!A:B,2,FALSE)</f>
        <v>#N/A</v>
      </c>
      <c r="L136" s="128" t="s">
        <v>316</v>
      </c>
      <c r="M136" s="128" t="e">
        <f>VLOOKUP(G136,'BASE PASAJEROS'!A:H,8,FALSE)</f>
        <v>#N/A</v>
      </c>
      <c r="N136" s="128"/>
      <c r="O136" s="128"/>
      <c r="P136" s="128" t="e">
        <f>VLOOKUP(G136,'BASE PASAJEROS'!A:F,6,FALSE)</f>
        <v>#N/A</v>
      </c>
      <c r="Q136" s="128" t="e">
        <f>VLOOKUP(G136,'BASE PASAJEROS'!A:C,3,FALSE)</f>
        <v>#N/A</v>
      </c>
      <c r="R136" s="128" t="e">
        <f>VLOOKUP(G136,'BASE PASAJEROS'!A:G,7,FALSE)</f>
        <v>#N/A</v>
      </c>
      <c r="S136" s="128"/>
      <c r="T136" s="128"/>
      <c r="U136" s="130" t="e">
        <f>VLOOKUP(G136,'BASE PASAJEROS'!A:AG,33,FALSE)</f>
        <v>#N/A</v>
      </c>
      <c r="V136" s="130" t="e">
        <f>VLOOKUP(G136,'BASE PASAJEROS'!A:AH,34,FALSE)</f>
        <v>#N/A</v>
      </c>
      <c r="W136" s="128"/>
      <c r="X136" s="142" t="s">
        <v>319</v>
      </c>
      <c r="Y136" s="128" t="s">
        <v>21</v>
      </c>
      <c r="Z136" s="128" t="s">
        <v>0</v>
      </c>
      <c r="AA136" s="128" t="s">
        <v>319</v>
      </c>
      <c r="AB136" s="128" t="e">
        <f>VLOOKUP(AA136,'BASE BANCOS'!$A$2:$D$202,3,FALSE)</f>
        <v>#N/A</v>
      </c>
      <c r="AC136" s="128"/>
      <c r="AD136" s="129" t="e">
        <f>VLOOKUP(AC136,'BASE CONDUCTORES'!E:G,3,FALSE)</f>
        <v>#N/A</v>
      </c>
      <c r="AE136" s="130"/>
      <c r="AF136" s="131"/>
      <c r="AG136" s="131"/>
      <c r="AH136" s="131">
        <f>+AF136-AG136</f>
        <v>0</v>
      </c>
      <c r="AI136" s="131" t="e">
        <f>VLOOKUP(G136,[4]Hoja1!$T:$AL,19,FALSE)</f>
        <v>#N/A</v>
      </c>
      <c r="AJ136" s="128"/>
      <c r="AK136" s="128"/>
      <c r="AL136" s="128"/>
      <c r="AM136" s="128"/>
      <c r="AN136" s="131">
        <f>+AM136*1.5</f>
        <v>0</v>
      </c>
      <c r="AO136" s="131">
        <f>+AH136+AM136</f>
        <v>0</v>
      </c>
      <c r="AP136" s="131" t="e">
        <f>+AI136+AN136</f>
        <v>#N/A</v>
      </c>
      <c r="AU136" s="132"/>
      <c r="AV136" s="133"/>
      <c r="AW136" s="134"/>
      <c r="AX136" s="134">
        <f>AO136-AW136</f>
        <v>0</v>
      </c>
      <c r="AY136" s="121"/>
      <c r="AZ136" s="121"/>
    </row>
    <row r="137" spans="2:52" s="124" customFormat="1" x14ac:dyDescent="0.25">
      <c r="B137" s="127">
        <v>44323</v>
      </c>
      <c r="C137" s="127">
        <v>44324</v>
      </c>
      <c r="D137" s="128" t="s">
        <v>269</v>
      </c>
      <c r="E137" s="128" t="s">
        <v>33</v>
      </c>
      <c r="F137" s="124">
        <v>1</v>
      </c>
      <c r="G137" s="144" t="s">
        <v>290</v>
      </c>
      <c r="J137" s="149"/>
      <c r="K137" s="128" t="s">
        <v>115</v>
      </c>
      <c r="L137" s="128" t="s">
        <v>316</v>
      </c>
      <c r="M137" s="128" t="s">
        <v>268</v>
      </c>
      <c r="N137" s="128"/>
      <c r="O137" s="128"/>
      <c r="P137" s="128">
        <v>0</v>
      </c>
      <c r="Q137" s="128" t="s">
        <v>304</v>
      </c>
      <c r="R137" s="128">
        <v>0</v>
      </c>
      <c r="S137" s="128" t="s">
        <v>304</v>
      </c>
      <c r="T137" s="128" t="s">
        <v>320</v>
      </c>
      <c r="U137" s="130">
        <v>11.4</v>
      </c>
      <c r="V137" s="130">
        <v>40</v>
      </c>
      <c r="X137" s="142" t="s">
        <v>310</v>
      </c>
      <c r="Y137" s="128" t="s">
        <v>38</v>
      </c>
      <c r="Z137" s="124" t="s">
        <v>328</v>
      </c>
      <c r="AA137" s="128" t="s">
        <v>325</v>
      </c>
      <c r="AB137" s="128" t="e">
        <f>VLOOKUP(AA137,'BASE BANCOS'!$A$2:$D$202,3,FALSE)</f>
        <v>#N/A</v>
      </c>
      <c r="AC137" s="128" t="s">
        <v>326</v>
      </c>
      <c r="AD137" s="129" t="e">
        <f>VLOOKUP(AC137,'BASE CONDUCTORES'!E:G,3,FALSE)</f>
        <v>#N/A</v>
      </c>
      <c r="AE137" s="78"/>
      <c r="AF137" s="78"/>
      <c r="AG137" s="78"/>
      <c r="AH137" s="158"/>
      <c r="AI137" s="158"/>
      <c r="AJ137" s="78"/>
      <c r="AN137" s="151"/>
      <c r="AO137" s="133"/>
    </row>
    <row r="138" spans="2:52" s="124" customFormat="1" x14ac:dyDescent="0.25">
      <c r="B138" s="127">
        <v>44323</v>
      </c>
      <c r="C138" s="127">
        <v>44324</v>
      </c>
      <c r="D138" s="128" t="s">
        <v>269</v>
      </c>
      <c r="E138" s="128" t="s">
        <v>33</v>
      </c>
      <c r="F138" s="124">
        <v>1</v>
      </c>
      <c r="G138" s="144" t="s">
        <v>290</v>
      </c>
      <c r="J138" s="149"/>
      <c r="K138" s="128" t="s">
        <v>115</v>
      </c>
      <c r="L138" s="128" t="s">
        <v>316</v>
      </c>
      <c r="M138" s="128" t="s">
        <v>268</v>
      </c>
      <c r="N138" s="128"/>
      <c r="O138" s="128"/>
      <c r="P138" s="128">
        <v>0</v>
      </c>
      <c r="Q138" s="128" t="s">
        <v>304</v>
      </c>
      <c r="R138" s="128">
        <v>0</v>
      </c>
      <c r="S138" s="128" t="s">
        <v>304</v>
      </c>
      <c r="T138" s="128" t="s">
        <v>320</v>
      </c>
      <c r="U138" s="130">
        <v>11.4</v>
      </c>
      <c r="V138" s="130">
        <v>40</v>
      </c>
      <c r="X138" s="142" t="s">
        <v>310</v>
      </c>
      <c r="Y138" s="128" t="s">
        <v>32</v>
      </c>
      <c r="Z138" s="124" t="s">
        <v>328</v>
      </c>
      <c r="AA138" s="128" t="s">
        <v>317</v>
      </c>
      <c r="AB138" s="128" t="e">
        <f>VLOOKUP(AA138,'BASE BANCOS'!$A$2:$D$202,3,FALSE)</f>
        <v>#N/A</v>
      </c>
      <c r="AC138" s="128" t="s">
        <v>318</v>
      </c>
      <c r="AD138" s="129" t="e">
        <f>VLOOKUP(AC138,'BASE CONDUCTORES'!E:G,3,FALSE)</f>
        <v>#N/A</v>
      </c>
      <c r="AE138" s="24"/>
      <c r="AF138" s="75"/>
      <c r="AG138" s="75"/>
      <c r="AH138" s="75"/>
      <c r="AI138" s="75"/>
      <c r="AJ138" s="79"/>
      <c r="AO138" s="150"/>
      <c r="AP138" s="150"/>
      <c r="AU138" s="151"/>
      <c r="AV138" s="133"/>
    </row>
    <row r="139" spans="2:52" s="124" customFormat="1" x14ac:dyDescent="0.25">
      <c r="B139" s="127">
        <v>44323</v>
      </c>
      <c r="C139" s="127">
        <v>44324</v>
      </c>
      <c r="D139" s="128" t="s">
        <v>269</v>
      </c>
      <c r="E139" s="128" t="s">
        <v>33</v>
      </c>
      <c r="F139" s="124">
        <v>1</v>
      </c>
      <c r="G139" s="144" t="s">
        <v>291</v>
      </c>
      <c r="J139" s="149"/>
      <c r="K139" s="128" t="e">
        <f>VLOOKUP(G139,'BASE PASAJEROS'!A:B,2,FALSE)</f>
        <v>#N/A</v>
      </c>
      <c r="L139" s="128" t="s">
        <v>316</v>
      </c>
      <c r="M139" s="128" t="e">
        <f>VLOOKUP(G139,'BASE PASAJEROS'!A:H,8,FALSE)</f>
        <v>#N/A</v>
      </c>
      <c r="N139" s="128"/>
      <c r="O139" s="128"/>
      <c r="P139" s="128" t="e">
        <f>VLOOKUP(G139,'BASE PASAJEROS'!A:F,6,FALSE)</f>
        <v>#N/A</v>
      </c>
      <c r="Q139" s="128" t="e">
        <f>VLOOKUP(G139,'BASE PASAJEROS'!A:C,3,FALSE)</f>
        <v>#N/A</v>
      </c>
      <c r="R139" s="128" t="e">
        <f>VLOOKUP(G139,'BASE PASAJEROS'!A:G,7,FALSE)</f>
        <v>#N/A</v>
      </c>
      <c r="S139" s="128" t="s">
        <v>305</v>
      </c>
      <c r="T139" s="128" t="s">
        <v>320</v>
      </c>
      <c r="U139" s="130" t="e">
        <f>VLOOKUP(G139,'BASE PASAJEROS'!A:AG,33,FALSE)</f>
        <v>#N/A</v>
      </c>
      <c r="V139" s="130" t="e">
        <f>VLOOKUP(G139,'BASE PASAJEROS'!A:AH,34,FALSE)</f>
        <v>#N/A</v>
      </c>
      <c r="X139" s="142" t="s">
        <v>308</v>
      </c>
      <c r="Y139" s="128" t="s">
        <v>32</v>
      </c>
      <c r="Z139" s="128" t="s">
        <v>31</v>
      </c>
      <c r="AA139" s="128" t="s">
        <v>317</v>
      </c>
      <c r="AB139" s="128" t="e">
        <f>VLOOKUP(AA139,'BASE BANCOS'!$A$2:$D$202,3,FALSE)</f>
        <v>#N/A</v>
      </c>
      <c r="AC139" s="128" t="s">
        <v>318</v>
      </c>
      <c r="AD139" s="129" t="e">
        <f>VLOOKUP(AC139,'BASE CONDUCTORES'!E:G,3,FALSE)</f>
        <v>#N/A</v>
      </c>
      <c r="AE139" s="24"/>
      <c r="AF139" s="75"/>
      <c r="AG139" s="75"/>
      <c r="AH139" s="75"/>
      <c r="AI139" s="75"/>
      <c r="AJ139" s="79"/>
      <c r="AO139" s="150"/>
      <c r="AP139" s="150"/>
      <c r="AU139" s="151"/>
      <c r="AV139" s="133"/>
    </row>
    <row r="140" spans="2:52" x14ac:dyDescent="0.25">
      <c r="B140" s="95">
        <v>44318</v>
      </c>
      <c r="C140" s="95">
        <v>44319</v>
      </c>
      <c r="D140" s="128" t="s">
        <v>10</v>
      </c>
      <c r="E140" s="128" t="s">
        <v>33</v>
      </c>
      <c r="F140" s="124">
        <v>1</v>
      </c>
      <c r="G140" s="121" t="s">
        <v>330</v>
      </c>
      <c r="K140" s="128" t="e">
        <f>VLOOKUP(G140,'BASE PASAJEROS'!A:B,2,FALSE)</f>
        <v>#N/A</v>
      </c>
      <c r="L140" s="128" t="s">
        <v>316</v>
      </c>
      <c r="M140" s="128" t="e">
        <f>VLOOKUP(G140,'BASE PASAJEROS'!A:H,8,FALSE)</f>
        <v>#N/A</v>
      </c>
      <c r="N140" s="128"/>
      <c r="O140" s="128"/>
      <c r="P140" s="128" t="e">
        <f>VLOOKUP(G140,'BASE PASAJEROS'!A:F,6,FALSE)</f>
        <v>#N/A</v>
      </c>
      <c r="Q140" s="128" t="e">
        <f>VLOOKUP(G140,'BASE PASAJEROS'!A:C,3,FALSE)</f>
        <v>#N/A</v>
      </c>
      <c r="R140" s="128" t="e">
        <f>VLOOKUP(G140,'BASE PASAJEROS'!A:G,7,FALSE)</f>
        <v>#N/A</v>
      </c>
      <c r="S140" s="128" t="s">
        <v>305</v>
      </c>
      <c r="T140" s="128" t="s">
        <v>320</v>
      </c>
      <c r="U140" s="130" t="e">
        <f>VLOOKUP(G140,'BASE PASAJEROS'!A:AG,33,FALSE)</f>
        <v>#N/A</v>
      </c>
      <c r="V140" s="130" t="e">
        <f>VLOOKUP(G140,'BASE PASAJEROS'!A:AH,34,FALSE)</f>
        <v>#N/A</v>
      </c>
      <c r="X140" s="164">
        <v>0.66666666666666663</v>
      </c>
      <c r="Y140" s="128" t="s">
        <v>32</v>
      </c>
      <c r="Z140" s="128" t="s">
        <v>319</v>
      </c>
      <c r="AA140" s="128" t="s">
        <v>154</v>
      </c>
      <c r="AB140" s="128" t="e">
        <f>VLOOKUP(AA140,'BASE BANCOS'!$A$2:$D$202,3,FALSE)</f>
        <v>#N/A</v>
      </c>
      <c r="AC140" s="128" t="s">
        <v>154</v>
      </c>
      <c r="AD140" s="129" t="e">
        <f>VLOOKUP(AC140,'BASE CONDUCTORES'!E:G,3,FALSE)</f>
        <v>#N/A</v>
      </c>
    </row>
    <row r="141" spans="2:52" x14ac:dyDescent="0.25">
      <c r="B141" s="95">
        <v>44318</v>
      </c>
      <c r="C141" s="95">
        <v>44319</v>
      </c>
      <c r="D141" s="128" t="s">
        <v>10</v>
      </c>
      <c r="E141" s="128" t="s">
        <v>33</v>
      </c>
      <c r="F141" s="124">
        <v>1</v>
      </c>
      <c r="G141" s="121" t="s">
        <v>331</v>
      </c>
      <c r="K141" s="128" t="e">
        <f>VLOOKUP(G141,'BASE PASAJEROS'!A:B,2,FALSE)</f>
        <v>#N/A</v>
      </c>
      <c r="L141" s="128" t="s">
        <v>316</v>
      </c>
      <c r="M141" s="128" t="e">
        <f>VLOOKUP(G141,'BASE PASAJEROS'!A:H,8,FALSE)</f>
        <v>#N/A</v>
      </c>
      <c r="N141" s="128"/>
      <c r="O141" s="128"/>
      <c r="P141" s="128" t="e">
        <f>VLOOKUP(G141,'BASE PASAJEROS'!A:F,6,FALSE)</f>
        <v>#N/A</v>
      </c>
      <c r="Q141" s="128" t="e">
        <f>VLOOKUP(G141,'BASE PASAJEROS'!A:C,3,FALSE)</f>
        <v>#N/A</v>
      </c>
      <c r="R141" s="128" t="e">
        <f>VLOOKUP(G141,'BASE PASAJEROS'!A:G,7,FALSE)</f>
        <v>#N/A</v>
      </c>
      <c r="S141" s="128"/>
      <c r="T141" s="128"/>
      <c r="U141" s="130" t="e">
        <f>VLOOKUP(G141,'BASE PASAJEROS'!A:AG,33,FALSE)</f>
        <v>#N/A</v>
      </c>
      <c r="V141" s="130" t="e">
        <f>VLOOKUP(G141,'BASE PASAJEROS'!A:AH,34,FALSE)</f>
        <v>#N/A</v>
      </c>
      <c r="X141" s="164">
        <v>0.66666666666666663</v>
      </c>
      <c r="Y141" s="128" t="s">
        <v>21</v>
      </c>
      <c r="Z141" s="128" t="s">
        <v>319</v>
      </c>
      <c r="AA141" s="128" t="s">
        <v>319</v>
      </c>
      <c r="AB141" s="128" t="e">
        <f>VLOOKUP(AA141,'BASE BANCOS'!$A$2:$D$202,3,FALSE)</f>
        <v>#N/A</v>
      </c>
      <c r="AC141" s="128"/>
      <c r="AD141" s="129" t="e">
        <f>VLOOKUP(AC141,'BASE CONDUCTORES'!E:G,3,FALSE)</f>
        <v>#N/A</v>
      </c>
    </row>
    <row r="142" spans="2:52" x14ac:dyDescent="0.25">
      <c r="B142" s="95">
        <v>44318</v>
      </c>
      <c r="C142" s="95">
        <v>44319</v>
      </c>
      <c r="D142" s="128" t="s">
        <v>10</v>
      </c>
      <c r="E142" s="128" t="s">
        <v>33</v>
      </c>
      <c r="F142" s="124">
        <v>1</v>
      </c>
      <c r="G142" s="121" t="s">
        <v>332</v>
      </c>
      <c r="K142" s="128" t="e">
        <f>VLOOKUP(G142,'BASE PASAJEROS'!A:B,2,FALSE)</f>
        <v>#N/A</v>
      </c>
      <c r="L142" s="128" t="s">
        <v>316</v>
      </c>
      <c r="M142" s="128" t="e">
        <f>VLOOKUP(G142,'BASE PASAJEROS'!A:H,8,FALSE)</f>
        <v>#N/A</v>
      </c>
      <c r="N142" s="128"/>
      <c r="O142" s="128"/>
      <c r="P142" s="128" t="e">
        <f>VLOOKUP(G142,'BASE PASAJEROS'!A:F,6,FALSE)</f>
        <v>#N/A</v>
      </c>
      <c r="Q142" s="128" t="e">
        <f>VLOOKUP(G142,'BASE PASAJEROS'!A:C,3,FALSE)</f>
        <v>#N/A</v>
      </c>
      <c r="R142" s="128" t="e">
        <f>VLOOKUP(G142,'BASE PASAJEROS'!A:G,7,FALSE)</f>
        <v>#N/A</v>
      </c>
      <c r="S142" s="128" t="s">
        <v>305</v>
      </c>
      <c r="T142" s="128" t="s">
        <v>320</v>
      </c>
      <c r="U142" s="130" t="e">
        <f>VLOOKUP(G142,'BASE PASAJEROS'!A:AG,33,FALSE)</f>
        <v>#N/A</v>
      </c>
      <c r="V142" s="130" t="e">
        <f>VLOOKUP(G142,'BASE PASAJEROS'!A:AH,34,FALSE)</f>
        <v>#N/A</v>
      </c>
      <c r="X142" s="164">
        <v>0.66666666666666663</v>
      </c>
      <c r="Y142" s="128" t="s">
        <v>32</v>
      </c>
      <c r="Z142" s="128" t="s">
        <v>319</v>
      </c>
      <c r="AA142" s="128" t="s">
        <v>325</v>
      </c>
      <c r="AB142" s="128" t="e">
        <f>VLOOKUP(AA142,'BASE BANCOS'!$A$2:$D$202,3,FALSE)</f>
        <v>#N/A</v>
      </c>
      <c r="AC142" s="128" t="s">
        <v>326</v>
      </c>
      <c r="AD142" s="129" t="e">
        <f>VLOOKUP(AC142,'BASE CONDUCTORES'!E:G,3,FALSE)</f>
        <v>#N/A</v>
      </c>
    </row>
    <row r="143" spans="2:52" x14ac:dyDescent="0.25">
      <c r="B143" s="95">
        <v>44318</v>
      </c>
      <c r="C143" s="95">
        <v>44319</v>
      </c>
      <c r="D143" s="128" t="s">
        <v>10</v>
      </c>
      <c r="E143" s="128" t="s">
        <v>33</v>
      </c>
      <c r="F143" s="124">
        <v>1</v>
      </c>
      <c r="G143" s="121" t="s">
        <v>333</v>
      </c>
      <c r="K143" s="128" t="e">
        <f>VLOOKUP(G143,'BASE PASAJEROS'!A:B,2,FALSE)</f>
        <v>#N/A</v>
      </c>
      <c r="L143" s="128" t="s">
        <v>316</v>
      </c>
      <c r="M143" s="128" t="e">
        <f>VLOOKUP(G143,'BASE PASAJEROS'!A:H,8,FALSE)</f>
        <v>#N/A</v>
      </c>
      <c r="N143" s="128"/>
      <c r="O143" s="128"/>
      <c r="P143" s="128" t="e">
        <f>VLOOKUP(G143,'BASE PASAJEROS'!A:F,6,FALSE)</f>
        <v>#N/A</v>
      </c>
      <c r="Q143" s="128" t="e">
        <f>VLOOKUP(G143,'BASE PASAJEROS'!A:C,3,FALSE)</f>
        <v>#N/A</v>
      </c>
      <c r="R143" s="128" t="e">
        <f>VLOOKUP(G143,'BASE PASAJEROS'!A:G,7,FALSE)</f>
        <v>#N/A</v>
      </c>
      <c r="S143" s="128" t="s">
        <v>305</v>
      </c>
      <c r="T143" s="128" t="s">
        <v>320</v>
      </c>
      <c r="U143" s="130" t="e">
        <f>VLOOKUP(G143,'BASE PASAJEROS'!A:AG,33,FALSE)</f>
        <v>#N/A</v>
      </c>
      <c r="V143" s="130" t="e">
        <f>VLOOKUP(G143,'BASE PASAJEROS'!A:AH,34,FALSE)</f>
        <v>#N/A</v>
      </c>
      <c r="X143" s="164">
        <v>0.66666666666666663</v>
      </c>
      <c r="Y143" s="128" t="s">
        <v>32</v>
      </c>
      <c r="Z143" s="128" t="s">
        <v>319</v>
      </c>
      <c r="AA143" s="128" t="s">
        <v>154</v>
      </c>
      <c r="AB143" s="128" t="e">
        <f>VLOOKUP(AA143,'BASE BANCOS'!$A$2:$D$202,3,FALSE)</f>
        <v>#N/A</v>
      </c>
      <c r="AC143" s="128" t="s">
        <v>154</v>
      </c>
      <c r="AD143" s="129" t="e">
        <f>VLOOKUP(AC143,'BASE CONDUCTORES'!E:G,3,FALSE)</f>
        <v>#N/A</v>
      </c>
    </row>
    <row r="144" spans="2:52" x14ac:dyDescent="0.25">
      <c r="B144" s="95">
        <v>44318</v>
      </c>
      <c r="C144" s="95">
        <v>44319</v>
      </c>
      <c r="D144" s="128" t="s">
        <v>10</v>
      </c>
      <c r="E144" s="128" t="s">
        <v>33</v>
      </c>
      <c r="F144" s="124">
        <v>1</v>
      </c>
      <c r="G144" s="121" t="s">
        <v>334</v>
      </c>
      <c r="K144" s="128" t="e">
        <f>VLOOKUP(G144,'BASE PASAJEROS'!A:B,2,FALSE)</f>
        <v>#N/A</v>
      </c>
      <c r="L144" s="128" t="s">
        <v>316</v>
      </c>
      <c r="M144" s="128" t="e">
        <f>VLOOKUP(G144,'BASE PASAJEROS'!A:H,8,FALSE)</f>
        <v>#N/A</v>
      </c>
      <c r="N144" s="128"/>
      <c r="O144" s="128"/>
      <c r="P144" s="128" t="e">
        <f>VLOOKUP(G144,'BASE PASAJEROS'!A:F,6,FALSE)</f>
        <v>#N/A</v>
      </c>
      <c r="Q144" s="128" t="e">
        <f>VLOOKUP(G144,'BASE PASAJEROS'!A:C,3,FALSE)</f>
        <v>#N/A</v>
      </c>
      <c r="R144" s="128" t="e">
        <f>VLOOKUP(G144,'BASE PASAJEROS'!A:G,7,FALSE)</f>
        <v>#N/A</v>
      </c>
      <c r="S144" s="128" t="s">
        <v>305</v>
      </c>
      <c r="T144" s="128" t="s">
        <v>320</v>
      </c>
      <c r="U144" s="130" t="e">
        <f>VLOOKUP(G144,'BASE PASAJEROS'!A:AG,33,FALSE)</f>
        <v>#N/A</v>
      </c>
      <c r="V144" s="130" t="e">
        <f>VLOOKUP(G144,'BASE PASAJEROS'!A:AH,34,FALSE)</f>
        <v>#N/A</v>
      </c>
      <c r="X144" s="164">
        <v>0.66666666666666663</v>
      </c>
      <c r="Y144" s="128" t="s">
        <v>32</v>
      </c>
      <c r="Z144" s="128" t="s">
        <v>319</v>
      </c>
      <c r="AA144" s="128" t="s">
        <v>325</v>
      </c>
      <c r="AB144" s="128" t="e">
        <f>VLOOKUP(AA144,'BASE BANCOS'!$A$2:$D$202,3,FALSE)</f>
        <v>#N/A</v>
      </c>
      <c r="AC144" s="128" t="s">
        <v>326</v>
      </c>
      <c r="AD144" s="129" t="e">
        <f>VLOOKUP(AC144,'BASE CONDUCTORES'!E:G,3,FALSE)</f>
        <v>#N/A</v>
      </c>
    </row>
    <row r="145" spans="2:30" ht="18" customHeight="1" x14ac:dyDescent="0.25">
      <c r="B145" s="95">
        <v>44318</v>
      </c>
      <c r="C145" s="95">
        <v>44319</v>
      </c>
      <c r="D145" s="128" t="s">
        <v>10</v>
      </c>
      <c r="E145" s="128" t="s">
        <v>33</v>
      </c>
      <c r="F145" s="124">
        <v>1</v>
      </c>
      <c r="G145" s="121" t="s">
        <v>335</v>
      </c>
      <c r="K145" s="128" t="e">
        <f>VLOOKUP(G145,'BASE PASAJEROS'!A:B,2,FALSE)</f>
        <v>#N/A</v>
      </c>
      <c r="L145" s="128" t="s">
        <v>316</v>
      </c>
      <c r="M145" s="128" t="e">
        <f>VLOOKUP(G145,'BASE PASAJEROS'!A:H,8,FALSE)</f>
        <v>#N/A</v>
      </c>
      <c r="N145" s="128"/>
      <c r="O145" s="128"/>
      <c r="P145" s="128" t="e">
        <f>VLOOKUP(G145,'BASE PASAJEROS'!A:F,6,FALSE)</f>
        <v>#N/A</v>
      </c>
      <c r="Q145" s="128" t="e">
        <f>VLOOKUP(G145,'BASE PASAJEROS'!A:C,3,FALSE)</f>
        <v>#N/A</v>
      </c>
      <c r="R145" s="128" t="e">
        <f>VLOOKUP(G145,'BASE PASAJEROS'!A:G,7,FALSE)</f>
        <v>#N/A</v>
      </c>
      <c r="S145" s="128" t="s">
        <v>305</v>
      </c>
      <c r="T145" s="128" t="s">
        <v>320</v>
      </c>
      <c r="U145" s="130" t="e">
        <f>VLOOKUP(G145,'BASE PASAJEROS'!A:AG,33,FALSE)</f>
        <v>#N/A</v>
      </c>
      <c r="V145" s="130" t="e">
        <f>VLOOKUP(G145,'BASE PASAJEROS'!A:AH,34,FALSE)</f>
        <v>#N/A</v>
      </c>
      <c r="X145" s="164">
        <v>0.66666666666666663</v>
      </c>
      <c r="Y145" s="128" t="s">
        <v>32</v>
      </c>
      <c r="Z145" s="128" t="s">
        <v>319</v>
      </c>
      <c r="AA145" s="128" t="s">
        <v>154</v>
      </c>
      <c r="AB145" s="128" t="e">
        <f>VLOOKUP(AA145,'BASE BANCOS'!$A$2:$D$202,3,FALSE)</f>
        <v>#N/A</v>
      </c>
      <c r="AC145" s="128" t="s">
        <v>154</v>
      </c>
      <c r="AD145" s="129" t="e">
        <f>VLOOKUP(AC145,'BASE CONDUCTORES'!E:G,3,FALSE)</f>
        <v>#N/A</v>
      </c>
    </row>
    <row r="146" spans="2:30" x14ac:dyDescent="0.25">
      <c r="B146" s="95">
        <v>44319</v>
      </c>
      <c r="C146" s="95">
        <v>44320</v>
      </c>
      <c r="D146" s="128" t="s">
        <v>10</v>
      </c>
      <c r="E146" s="128" t="s">
        <v>33</v>
      </c>
      <c r="F146" s="124">
        <v>1</v>
      </c>
      <c r="G146" s="121" t="s">
        <v>330</v>
      </c>
      <c r="K146" s="128" t="e">
        <f>VLOOKUP(G146,'BASE PASAJEROS'!A:B,2,FALSE)</f>
        <v>#N/A</v>
      </c>
      <c r="L146" s="128" t="s">
        <v>316</v>
      </c>
      <c r="M146" s="128" t="e">
        <f>VLOOKUP(G146,'BASE PASAJEROS'!A:H,8,FALSE)</f>
        <v>#N/A</v>
      </c>
      <c r="N146" s="128"/>
      <c r="O146" s="128"/>
      <c r="P146" s="128" t="e">
        <f>VLOOKUP(G146,'BASE PASAJEROS'!A:F,6,FALSE)</f>
        <v>#N/A</v>
      </c>
      <c r="Q146" s="128" t="e">
        <f>VLOOKUP(G146,'BASE PASAJEROS'!A:C,3,FALSE)</f>
        <v>#N/A</v>
      </c>
      <c r="R146" s="128" t="e">
        <f>VLOOKUP(G146,'BASE PASAJEROS'!A:G,7,FALSE)</f>
        <v>#N/A</v>
      </c>
      <c r="S146" s="128" t="s">
        <v>305</v>
      </c>
      <c r="T146" s="128" t="s">
        <v>320</v>
      </c>
      <c r="U146" s="130" t="e">
        <f>VLOOKUP(G146,'BASE PASAJEROS'!A:AG,33,FALSE)</f>
        <v>#N/A</v>
      </c>
      <c r="V146" s="130" t="e">
        <f>VLOOKUP(G146,'BASE PASAJEROS'!A:AH,34,FALSE)</f>
        <v>#N/A</v>
      </c>
      <c r="X146" s="164">
        <v>0.66666666666666663</v>
      </c>
      <c r="Y146" s="128" t="s">
        <v>32</v>
      </c>
      <c r="Z146" s="128" t="s">
        <v>319</v>
      </c>
      <c r="AA146" s="128" t="s">
        <v>325</v>
      </c>
      <c r="AB146" s="128" t="e">
        <f>VLOOKUP(AA146,'BASE BANCOS'!$A$2:$D$202,3,FALSE)</f>
        <v>#N/A</v>
      </c>
      <c r="AC146" s="128" t="s">
        <v>326</v>
      </c>
      <c r="AD146" s="129" t="e">
        <f>VLOOKUP(AC146,'BASE CONDUCTORES'!E:G,3,FALSE)</f>
        <v>#N/A</v>
      </c>
    </row>
    <row r="147" spans="2:30" x14ac:dyDescent="0.25">
      <c r="B147" s="95">
        <v>44319</v>
      </c>
      <c r="C147" s="95">
        <v>44320</v>
      </c>
      <c r="D147" s="128" t="s">
        <v>10</v>
      </c>
      <c r="E147" s="128" t="s">
        <v>33</v>
      </c>
      <c r="F147" s="124">
        <v>1</v>
      </c>
      <c r="G147" s="121" t="s">
        <v>331</v>
      </c>
      <c r="K147" s="128" t="e">
        <f>VLOOKUP(G147,'BASE PASAJEROS'!A:B,2,FALSE)</f>
        <v>#N/A</v>
      </c>
      <c r="L147" s="128" t="s">
        <v>316</v>
      </c>
      <c r="M147" s="128" t="e">
        <f>VLOOKUP(G147,'BASE PASAJEROS'!A:H,8,FALSE)</f>
        <v>#N/A</v>
      </c>
      <c r="N147" s="128"/>
      <c r="O147" s="128"/>
      <c r="P147" s="128" t="e">
        <f>VLOOKUP(G147,'BASE PASAJEROS'!A:F,6,FALSE)</f>
        <v>#N/A</v>
      </c>
      <c r="Q147" s="128" t="e">
        <f>VLOOKUP(G147,'BASE PASAJEROS'!A:C,3,FALSE)</f>
        <v>#N/A</v>
      </c>
      <c r="R147" s="128" t="e">
        <f>VLOOKUP(G147,'BASE PASAJEROS'!A:G,7,FALSE)</f>
        <v>#N/A</v>
      </c>
      <c r="S147" s="128" t="s">
        <v>305</v>
      </c>
      <c r="T147" s="128" t="s">
        <v>320</v>
      </c>
      <c r="U147" s="130" t="e">
        <f>VLOOKUP(G147,'BASE PASAJEROS'!A:AG,33,FALSE)</f>
        <v>#N/A</v>
      </c>
      <c r="V147" s="130" t="e">
        <f>VLOOKUP(G147,'BASE PASAJEROS'!A:AH,34,FALSE)</f>
        <v>#N/A</v>
      </c>
      <c r="X147" s="164">
        <v>0.66666666666666663</v>
      </c>
      <c r="Y147" s="128" t="s">
        <v>21</v>
      </c>
      <c r="Z147" s="128" t="s">
        <v>319</v>
      </c>
      <c r="AA147" s="128" t="s">
        <v>325</v>
      </c>
      <c r="AB147" s="128" t="e">
        <f>VLOOKUP(AA147,'BASE BANCOS'!$A$2:$D$202,3,FALSE)</f>
        <v>#N/A</v>
      </c>
      <c r="AC147" s="128" t="s">
        <v>326</v>
      </c>
      <c r="AD147" s="129" t="e">
        <f>VLOOKUP(AC147,'BASE CONDUCTORES'!E:G,3,FALSE)</f>
        <v>#N/A</v>
      </c>
    </row>
    <row r="148" spans="2:30" x14ac:dyDescent="0.25">
      <c r="B148" s="95">
        <v>44319</v>
      </c>
      <c r="C148" s="95">
        <v>44320</v>
      </c>
      <c r="D148" s="128" t="s">
        <v>10</v>
      </c>
      <c r="E148" s="128" t="s">
        <v>33</v>
      </c>
      <c r="F148" s="124">
        <v>1</v>
      </c>
      <c r="G148" s="121" t="s">
        <v>332</v>
      </c>
      <c r="K148" s="128" t="e">
        <f>VLOOKUP(G148,'BASE PASAJEROS'!A:B,2,FALSE)</f>
        <v>#N/A</v>
      </c>
      <c r="L148" s="128" t="s">
        <v>316</v>
      </c>
      <c r="M148" s="128" t="e">
        <f>VLOOKUP(G148,'BASE PASAJEROS'!A:H,8,FALSE)</f>
        <v>#N/A</v>
      </c>
      <c r="N148" s="128"/>
      <c r="O148" s="128"/>
      <c r="P148" s="128" t="e">
        <f>VLOOKUP(G148,'BASE PASAJEROS'!A:F,6,FALSE)</f>
        <v>#N/A</v>
      </c>
      <c r="Q148" s="128" t="e">
        <f>VLOOKUP(G148,'BASE PASAJEROS'!A:C,3,FALSE)</f>
        <v>#N/A</v>
      </c>
      <c r="R148" s="128" t="e">
        <f>VLOOKUP(G148,'BASE PASAJEROS'!A:G,7,FALSE)</f>
        <v>#N/A</v>
      </c>
      <c r="S148" s="128" t="s">
        <v>305</v>
      </c>
      <c r="T148" s="128" t="s">
        <v>320</v>
      </c>
      <c r="U148" s="130" t="e">
        <f>VLOOKUP(G148,'BASE PASAJEROS'!A:AG,33,FALSE)</f>
        <v>#N/A</v>
      </c>
      <c r="V148" s="130" t="e">
        <f>VLOOKUP(G148,'BASE PASAJEROS'!A:AH,34,FALSE)</f>
        <v>#N/A</v>
      </c>
      <c r="X148" s="164">
        <v>0.66666666666666663</v>
      </c>
      <c r="Y148" s="128" t="s">
        <v>32</v>
      </c>
      <c r="Z148" s="128" t="s">
        <v>319</v>
      </c>
      <c r="AA148" s="128" t="s">
        <v>325</v>
      </c>
      <c r="AB148" s="128" t="e">
        <f>VLOOKUP(AA148,'BASE BANCOS'!$A$2:$D$202,3,FALSE)</f>
        <v>#N/A</v>
      </c>
      <c r="AC148" s="128" t="s">
        <v>326</v>
      </c>
      <c r="AD148" s="129" t="e">
        <f>VLOOKUP(AC148,'BASE CONDUCTORES'!E:G,3,FALSE)</f>
        <v>#N/A</v>
      </c>
    </row>
    <row r="149" spans="2:30" x14ac:dyDescent="0.25">
      <c r="B149" s="95">
        <v>44319</v>
      </c>
      <c r="C149" s="95">
        <v>44320</v>
      </c>
      <c r="D149" s="128" t="s">
        <v>10</v>
      </c>
      <c r="E149" s="128" t="s">
        <v>33</v>
      </c>
      <c r="F149" s="124">
        <v>1</v>
      </c>
      <c r="G149" s="121" t="s">
        <v>333</v>
      </c>
      <c r="K149" s="128" t="e">
        <f>VLOOKUP(G149,'BASE PASAJEROS'!A:B,2,FALSE)</f>
        <v>#N/A</v>
      </c>
      <c r="L149" s="128" t="s">
        <v>316</v>
      </c>
      <c r="M149" s="128" t="e">
        <f>VLOOKUP(G149,'BASE PASAJEROS'!A:H,8,FALSE)</f>
        <v>#N/A</v>
      </c>
      <c r="N149" s="128"/>
      <c r="O149" s="128"/>
      <c r="P149" s="128" t="e">
        <f>VLOOKUP(G149,'BASE PASAJEROS'!A:F,6,FALSE)</f>
        <v>#N/A</v>
      </c>
      <c r="Q149" s="128" t="e">
        <f>VLOOKUP(G149,'BASE PASAJEROS'!A:C,3,FALSE)</f>
        <v>#N/A</v>
      </c>
      <c r="R149" s="128" t="e">
        <f>VLOOKUP(G149,'BASE PASAJEROS'!A:G,7,FALSE)</f>
        <v>#N/A</v>
      </c>
      <c r="S149" s="128" t="s">
        <v>305</v>
      </c>
      <c r="T149" s="128" t="s">
        <v>320</v>
      </c>
      <c r="U149" s="130" t="e">
        <f>VLOOKUP(G149,'BASE PASAJEROS'!A:AG,33,FALSE)</f>
        <v>#N/A</v>
      </c>
      <c r="V149" s="130" t="e">
        <f>VLOOKUP(G149,'BASE PASAJEROS'!A:AH,34,FALSE)</f>
        <v>#N/A</v>
      </c>
      <c r="X149" s="164">
        <v>0.66666666666666663</v>
      </c>
      <c r="Y149" s="128" t="s">
        <v>32</v>
      </c>
      <c r="Z149" s="128" t="s">
        <v>319</v>
      </c>
      <c r="AA149" s="128" t="s">
        <v>325</v>
      </c>
      <c r="AB149" s="128" t="e">
        <f>VLOOKUP(AA149,'BASE BANCOS'!$A$2:$D$202,3,FALSE)</f>
        <v>#N/A</v>
      </c>
      <c r="AC149" s="128" t="s">
        <v>326</v>
      </c>
      <c r="AD149" s="129" t="e">
        <f>VLOOKUP(AC149,'BASE CONDUCTORES'!E:G,3,FALSE)</f>
        <v>#N/A</v>
      </c>
    </row>
    <row r="150" spans="2:30" x14ac:dyDescent="0.25">
      <c r="B150" s="95">
        <v>44319</v>
      </c>
      <c r="C150" s="95">
        <v>44320</v>
      </c>
      <c r="D150" s="128" t="s">
        <v>10</v>
      </c>
      <c r="E150" s="128" t="s">
        <v>33</v>
      </c>
      <c r="F150" s="124">
        <v>1</v>
      </c>
      <c r="G150" s="121" t="s">
        <v>334</v>
      </c>
      <c r="K150" s="128" t="e">
        <f>VLOOKUP(G150,'BASE PASAJEROS'!A:B,2,FALSE)</f>
        <v>#N/A</v>
      </c>
      <c r="L150" s="128" t="s">
        <v>316</v>
      </c>
      <c r="M150" s="128" t="e">
        <f>VLOOKUP(G150,'BASE PASAJEROS'!A:H,8,FALSE)</f>
        <v>#N/A</v>
      </c>
      <c r="N150" s="128"/>
      <c r="O150" s="128"/>
      <c r="P150" s="128" t="e">
        <f>VLOOKUP(G150,'BASE PASAJEROS'!A:F,6,FALSE)</f>
        <v>#N/A</v>
      </c>
      <c r="Q150" s="128" t="e">
        <f>VLOOKUP(G150,'BASE PASAJEROS'!A:C,3,FALSE)</f>
        <v>#N/A</v>
      </c>
      <c r="R150" s="128" t="e">
        <f>VLOOKUP(G150,'BASE PASAJEROS'!A:G,7,FALSE)</f>
        <v>#N/A</v>
      </c>
      <c r="S150" s="128" t="s">
        <v>305</v>
      </c>
      <c r="T150" s="128" t="s">
        <v>320</v>
      </c>
      <c r="U150" s="130" t="e">
        <f>VLOOKUP(G150,'BASE PASAJEROS'!A:AG,33,FALSE)</f>
        <v>#N/A</v>
      </c>
      <c r="V150" s="130" t="e">
        <f>VLOOKUP(G150,'BASE PASAJEROS'!A:AH,34,FALSE)</f>
        <v>#N/A</v>
      </c>
      <c r="X150" s="164">
        <v>0.66666666666666663</v>
      </c>
      <c r="Y150" s="128" t="s">
        <v>32</v>
      </c>
      <c r="Z150" s="128" t="s">
        <v>319</v>
      </c>
      <c r="AA150" s="128" t="s">
        <v>325</v>
      </c>
      <c r="AB150" s="128" t="e">
        <f>VLOOKUP(AA150,'BASE BANCOS'!$A$2:$D$202,3,FALSE)</f>
        <v>#N/A</v>
      </c>
      <c r="AC150" s="128" t="s">
        <v>326</v>
      </c>
      <c r="AD150" s="129" t="e">
        <f>VLOOKUP(AC150,'BASE CONDUCTORES'!E:G,3,FALSE)</f>
        <v>#N/A</v>
      </c>
    </row>
    <row r="151" spans="2:30" ht="18" customHeight="1" x14ac:dyDescent="0.25">
      <c r="B151" s="95">
        <v>44319</v>
      </c>
      <c r="C151" s="95">
        <v>44320</v>
      </c>
      <c r="D151" s="128" t="s">
        <v>10</v>
      </c>
      <c r="E151" s="128" t="s">
        <v>33</v>
      </c>
      <c r="F151" s="124">
        <v>1</v>
      </c>
      <c r="G151" s="121" t="s">
        <v>335</v>
      </c>
      <c r="K151" s="128" t="e">
        <f>VLOOKUP(G151,'BASE PASAJEROS'!A:B,2,FALSE)</f>
        <v>#N/A</v>
      </c>
      <c r="L151" s="128" t="s">
        <v>316</v>
      </c>
      <c r="M151" s="128" t="e">
        <f>VLOOKUP(G151,'BASE PASAJEROS'!A:H,8,FALSE)</f>
        <v>#N/A</v>
      </c>
      <c r="N151" s="128"/>
      <c r="O151" s="128"/>
      <c r="P151" s="128" t="e">
        <f>VLOOKUP(G151,'BASE PASAJEROS'!A:F,6,FALSE)</f>
        <v>#N/A</v>
      </c>
      <c r="Q151" s="128" t="e">
        <f>VLOOKUP(G151,'BASE PASAJEROS'!A:C,3,FALSE)</f>
        <v>#N/A</v>
      </c>
      <c r="R151" s="128" t="e">
        <f>VLOOKUP(G151,'BASE PASAJEROS'!A:G,7,FALSE)</f>
        <v>#N/A</v>
      </c>
      <c r="S151" s="128" t="s">
        <v>305</v>
      </c>
      <c r="T151" s="128" t="s">
        <v>320</v>
      </c>
      <c r="U151" s="130" t="e">
        <f>VLOOKUP(G151,'BASE PASAJEROS'!A:AG,33,FALSE)</f>
        <v>#N/A</v>
      </c>
      <c r="V151" s="130" t="e">
        <f>VLOOKUP(G151,'BASE PASAJEROS'!A:AH,34,FALSE)</f>
        <v>#N/A</v>
      </c>
      <c r="X151" s="164">
        <v>0.66666666666666663</v>
      </c>
      <c r="Y151" s="128" t="s">
        <v>32</v>
      </c>
      <c r="Z151" s="128" t="s">
        <v>319</v>
      </c>
      <c r="AA151" s="128" t="s">
        <v>325</v>
      </c>
      <c r="AB151" s="128" t="e">
        <f>VLOOKUP(AA151,'BASE BANCOS'!$A$2:$D$202,3,FALSE)</f>
        <v>#N/A</v>
      </c>
      <c r="AC151" s="128" t="s">
        <v>326</v>
      </c>
      <c r="AD151" s="129" t="e">
        <f>VLOOKUP(AC151,'BASE CONDUCTORES'!E:G,3,FALSE)</f>
        <v>#N/A</v>
      </c>
    </row>
    <row r="152" spans="2:30" x14ac:dyDescent="0.25">
      <c r="B152" s="95">
        <v>44320</v>
      </c>
      <c r="C152" s="95">
        <v>44321</v>
      </c>
      <c r="D152" s="128" t="s">
        <v>10</v>
      </c>
      <c r="E152" s="128" t="s">
        <v>33</v>
      </c>
      <c r="F152" s="124">
        <v>1</v>
      </c>
      <c r="G152" s="121" t="s">
        <v>330</v>
      </c>
      <c r="K152" s="128" t="e">
        <f>VLOOKUP(G152,'BASE PASAJEROS'!A:B,2,FALSE)</f>
        <v>#N/A</v>
      </c>
      <c r="L152" s="128" t="s">
        <v>316</v>
      </c>
      <c r="M152" s="128" t="e">
        <f>VLOOKUP(G152,'BASE PASAJEROS'!A:H,8,FALSE)</f>
        <v>#N/A</v>
      </c>
      <c r="N152" s="128"/>
      <c r="O152" s="128"/>
      <c r="P152" s="128" t="e">
        <f>VLOOKUP(G152,'BASE PASAJEROS'!A:F,6,FALSE)</f>
        <v>#N/A</v>
      </c>
      <c r="Q152" s="128" t="e">
        <f>VLOOKUP(G152,'BASE PASAJEROS'!A:C,3,FALSE)</f>
        <v>#N/A</v>
      </c>
      <c r="R152" s="128" t="e">
        <f>VLOOKUP(G152,'BASE PASAJEROS'!A:G,7,FALSE)</f>
        <v>#N/A</v>
      </c>
      <c r="S152" s="128"/>
      <c r="T152" s="128"/>
      <c r="U152" s="130" t="e">
        <f>VLOOKUP(G152,'BASE PASAJEROS'!A:AG,33,FALSE)</f>
        <v>#N/A</v>
      </c>
      <c r="V152" s="130" t="e">
        <f>VLOOKUP(G152,'BASE PASAJEROS'!A:AH,34,FALSE)</f>
        <v>#N/A</v>
      </c>
      <c r="X152" s="164">
        <v>0.66666666666666663</v>
      </c>
      <c r="Y152" s="128" t="s">
        <v>21</v>
      </c>
      <c r="Z152" s="128" t="s">
        <v>319</v>
      </c>
      <c r="AA152" s="128" t="s">
        <v>319</v>
      </c>
      <c r="AB152" s="128" t="e">
        <f>VLOOKUP(AA152,'BASE BANCOS'!$A$2:$D$202,3,FALSE)</f>
        <v>#N/A</v>
      </c>
      <c r="AC152" s="128"/>
      <c r="AD152" s="129" t="e">
        <f>VLOOKUP(AC152,'BASE CONDUCTORES'!E:G,3,FALSE)</f>
        <v>#N/A</v>
      </c>
    </row>
    <row r="153" spans="2:30" x14ac:dyDescent="0.25">
      <c r="B153" s="95">
        <v>44320</v>
      </c>
      <c r="C153" s="95">
        <v>44321</v>
      </c>
      <c r="D153" s="128" t="s">
        <v>10</v>
      </c>
      <c r="E153" s="128" t="s">
        <v>33</v>
      </c>
      <c r="F153" s="124">
        <v>1</v>
      </c>
      <c r="G153" s="121" t="s">
        <v>331</v>
      </c>
      <c r="K153" s="128" t="e">
        <f>VLOOKUP(G153,'BASE PASAJEROS'!A:B,2,FALSE)</f>
        <v>#N/A</v>
      </c>
      <c r="L153" s="128" t="s">
        <v>316</v>
      </c>
      <c r="M153" s="128" t="e">
        <f>VLOOKUP(G153,'BASE PASAJEROS'!A:H,8,FALSE)</f>
        <v>#N/A</v>
      </c>
      <c r="N153" s="128"/>
      <c r="O153" s="128"/>
      <c r="P153" s="128" t="e">
        <f>VLOOKUP(G153,'BASE PASAJEROS'!A:F,6,FALSE)</f>
        <v>#N/A</v>
      </c>
      <c r="Q153" s="128" t="e">
        <f>VLOOKUP(G153,'BASE PASAJEROS'!A:C,3,FALSE)</f>
        <v>#N/A</v>
      </c>
      <c r="R153" s="128" t="e">
        <f>VLOOKUP(G153,'BASE PASAJEROS'!A:G,7,FALSE)</f>
        <v>#N/A</v>
      </c>
      <c r="S153" s="128"/>
      <c r="T153" s="128"/>
      <c r="U153" s="130" t="e">
        <f>VLOOKUP(G153,'BASE PASAJEROS'!A:AG,33,FALSE)</f>
        <v>#N/A</v>
      </c>
      <c r="V153" s="130" t="e">
        <f>VLOOKUP(G153,'BASE PASAJEROS'!A:AH,34,FALSE)</f>
        <v>#N/A</v>
      </c>
      <c r="X153" s="164">
        <v>0.66666666666666663</v>
      </c>
      <c r="Y153" s="128" t="s">
        <v>21</v>
      </c>
      <c r="Z153" s="128" t="s">
        <v>319</v>
      </c>
      <c r="AA153" s="128" t="s">
        <v>319</v>
      </c>
      <c r="AB153" s="128" t="e">
        <f>VLOOKUP(AA153,'BASE BANCOS'!$A$2:$D$202,3,FALSE)</f>
        <v>#N/A</v>
      </c>
      <c r="AC153" s="128"/>
      <c r="AD153" s="129" t="e">
        <f>VLOOKUP(AC153,'BASE CONDUCTORES'!E:G,3,FALSE)</f>
        <v>#N/A</v>
      </c>
    </row>
    <row r="154" spans="2:30" x14ac:dyDescent="0.25">
      <c r="B154" s="95">
        <v>44320</v>
      </c>
      <c r="C154" s="95">
        <v>44321</v>
      </c>
      <c r="D154" s="128" t="s">
        <v>10</v>
      </c>
      <c r="E154" s="128" t="s">
        <v>33</v>
      </c>
      <c r="F154" s="124">
        <v>1</v>
      </c>
      <c r="G154" s="121" t="s">
        <v>332</v>
      </c>
      <c r="K154" s="128" t="e">
        <f>VLOOKUP(G154,'BASE PASAJEROS'!A:B,2,FALSE)</f>
        <v>#N/A</v>
      </c>
      <c r="L154" s="128" t="s">
        <v>316</v>
      </c>
      <c r="M154" s="128" t="e">
        <f>VLOOKUP(G154,'BASE PASAJEROS'!A:H,8,FALSE)</f>
        <v>#N/A</v>
      </c>
      <c r="N154" s="128"/>
      <c r="O154" s="128"/>
      <c r="P154" s="128" t="e">
        <f>VLOOKUP(G154,'BASE PASAJEROS'!A:F,6,FALSE)</f>
        <v>#N/A</v>
      </c>
      <c r="Q154" s="128" t="e">
        <f>VLOOKUP(G154,'BASE PASAJEROS'!A:C,3,FALSE)</f>
        <v>#N/A</v>
      </c>
      <c r="R154" s="128" t="e">
        <f>VLOOKUP(G154,'BASE PASAJEROS'!A:G,7,FALSE)</f>
        <v>#N/A</v>
      </c>
      <c r="S154" s="128" t="s">
        <v>305</v>
      </c>
      <c r="T154" s="128" t="s">
        <v>320</v>
      </c>
      <c r="U154" s="130" t="e">
        <f>VLOOKUP(G154,'BASE PASAJEROS'!A:AG,33,FALSE)</f>
        <v>#N/A</v>
      </c>
      <c r="V154" s="130" t="e">
        <f>VLOOKUP(G154,'BASE PASAJEROS'!A:AH,34,FALSE)</f>
        <v>#N/A</v>
      </c>
      <c r="X154" s="164">
        <v>0.20833333333333334</v>
      </c>
      <c r="Y154" s="128" t="s">
        <v>38</v>
      </c>
      <c r="Z154" s="128" t="s">
        <v>319</v>
      </c>
      <c r="AA154" s="128" t="s">
        <v>325</v>
      </c>
      <c r="AB154" s="128" t="e">
        <f>VLOOKUP(AA154,'BASE BANCOS'!$A$2:$D$202,3,FALSE)</f>
        <v>#N/A</v>
      </c>
      <c r="AC154" s="128" t="s">
        <v>326</v>
      </c>
      <c r="AD154" s="129" t="e">
        <f>VLOOKUP(AC154,'BASE CONDUCTORES'!E:G,3,FALSE)</f>
        <v>#N/A</v>
      </c>
    </row>
    <row r="155" spans="2:30" x14ac:dyDescent="0.25">
      <c r="B155" s="95">
        <v>44320</v>
      </c>
      <c r="C155" s="95">
        <v>44321</v>
      </c>
      <c r="D155" s="128" t="s">
        <v>10</v>
      </c>
      <c r="E155" s="128" t="s">
        <v>33</v>
      </c>
      <c r="F155" s="124">
        <v>1</v>
      </c>
      <c r="G155" s="121" t="s">
        <v>333</v>
      </c>
      <c r="K155" s="128" t="e">
        <f>VLOOKUP(G155,'BASE PASAJEROS'!A:B,2,FALSE)</f>
        <v>#N/A</v>
      </c>
      <c r="L155" s="128" t="s">
        <v>316</v>
      </c>
      <c r="M155" s="128" t="e">
        <f>VLOOKUP(G155,'BASE PASAJEROS'!A:H,8,FALSE)</f>
        <v>#N/A</v>
      </c>
      <c r="N155" s="128"/>
      <c r="O155" s="128"/>
      <c r="P155" s="128" t="e">
        <f>VLOOKUP(G155,'BASE PASAJEROS'!A:F,6,FALSE)</f>
        <v>#N/A</v>
      </c>
      <c r="Q155" s="128" t="e">
        <f>VLOOKUP(G155,'BASE PASAJEROS'!A:C,3,FALSE)</f>
        <v>#N/A</v>
      </c>
      <c r="R155" s="128" t="e">
        <f>VLOOKUP(G155,'BASE PASAJEROS'!A:G,7,FALSE)</f>
        <v>#N/A</v>
      </c>
      <c r="S155" s="128" t="s">
        <v>305</v>
      </c>
      <c r="T155" s="128" t="s">
        <v>320</v>
      </c>
      <c r="U155" s="130" t="e">
        <f>VLOOKUP(G155,'BASE PASAJEROS'!A:AG,33,FALSE)</f>
        <v>#N/A</v>
      </c>
      <c r="V155" s="130" t="e">
        <f>VLOOKUP(G155,'BASE PASAJEROS'!A:AH,34,FALSE)</f>
        <v>#N/A</v>
      </c>
      <c r="X155" s="164">
        <v>0.66666666666666663</v>
      </c>
      <c r="Y155" s="128" t="s">
        <v>32</v>
      </c>
      <c r="Z155" s="128" t="s">
        <v>319</v>
      </c>
      <c r="AA155" s="128" t="s">
        <v>325</v>
      </c>
      <c r="AB155" s="128" t="e">
        <f>VLOOKUP(AA155,'BASE BANCOS'!$A$2:$D$202,3,FALSE)</f>
        <v>#N/A</v>
      </c>
      <c r="AC155" s="128" t="s">
        <v>326</v>
      </c>
      <c r="AD155" s="129" t="e">
        <f>VLOOKUP(AC155,'BASE CONDUCTORES'!E:G,3,FALSE)</f>
        <v>#N/A</v>
      </c>
    </row>
    <row r="156" spans="2:30" x14ac:dyDescent="0.25">
      <c r="B156" s="95">
        <v>44320</v>
      </c>
      <c r="C156" s="95">
        <v>44321</v>
      </c>
      <c r="D156" s="128" t="s">
        <v>10</v>
      </c>
      <c r="E156" s="128" t="s">
        <v>33</v>
      </c>
      <c r="F156" s="124">
        <v>1</v>
      </c>
      <c r="G156" s="121" t="s">
        <v>334</v>
      </c>
      <c r="K156" s="128" t="e">
        <f>VLOOKUP(G156,'BASE PASAJEROS'!A:B,2,FALSE)</f>
        <v>#N/A</v>
      </c>
      <c r="L156" s="128" t="s">
        <v>316</v>
      </c>
      <c r="M156" s="128" t="e">
        <f>VLOOKUP(G156,'BASE PASAJEROS'!A:H,8,FALSE)</f>
        <v>#N/A</v>
      </c>
      <c r="N156" s="128"/>
      <c r="O156" s="128"/>
      <c r="P156" s="128" t="e">
        <f>VLOOKUP(G156,'BASE PASAJEROS'!A:F,6,FALSE)</f>
        <v>#N/A</v>
      </c>
      <c r="Q156" s="128" t="e">
        <f>VLOOKUP(G156,'BASE PASAJEROS'!A:C,3,FALSE)</f>
        <v>#N/A</v>
      </c>
      <c r="R156" s="128" t="e">
        <f>VLOOKUP(G156,'BASE PASAJEROS'!A:G,7,FALSE)</f>
        <v>#N/A</v>
      </c>
      <c r="S156" s="128"/>
      <c r="T156" s="128"/>
      <c r="U156" s="130" t="e">
        <f>VLOOKUP(G156,'BASE PASAJEROS'!A:AG,33,FALSE)</f>
        <v>#N/A</v>
      </c>
      <c r="V156" s="130" t="e">
        <f>VLOOKUP(G156,'BASE PASAJEROS'!A:AH,34,FALSE)</f>
        <v>#N/A</v>
      </c>
      <c r="X156" s="164">
        <v>0.66666666666666663</v>
      </c>
      <c r="Y156" s="128" t="s">
        <v>21</v>
      </c>
      <c r="Z156" s="128" t="s">
        <v>319</v>
      </c>
      <c r="AA156" s="128" t="s">
        <v>319</v>
      </c>
      <c r="AB156" s="128" t="e">
        <f>VLOOKUP(AA156,'BASE BANCOS'!$A$2:$D$202,3,FALSE)</f>
        <v>#N/A</v>
      </c>
      <c r="AC156" s="128"/>
      <c r="AD156" s="129" t="e">
        <f>VLOOKUP(AC156,'BASE CONDUCTORES'!E:G,3,FALSE)</f>
        <v>#N/A</v>
      </c>
    </row>
    <row r="157" spans="2:30" ht="18" customHeight="1" x14ac:dyDescent="0.25">
      <c r="B157" s="95">
        <v>44320</v>
      </c>
      <c r="C157" s="95">
        <v>44321</v>
      </c>
      <c r="D157" s="128" t="s">
        <v>10</v>
      </c>
      <c r="E157" s="128" t="s">
        <v>33</v>
      </c>
      <c r="F157" s="124">
        <v>1</v>
      </c>
      <c r="G157" s="121" t="s">
        <v>335</v>
      </c>
      <c r="K157" s="128" t="e">
        <f>VLOOKUP(G157,'BASE PASAJEROS'!A:B,2,FALSE)</f>
        <v>#N/A</v>
      </c>
      <c r="L157" s="128" t="s">
        <v>316</v>
      </c>
      <c r="M157" s="128" t="e">
        <f>VLOOKUP(G157,'BASE PASAJEROS'!A:H,8,FALSE)</f>
        <v>#N/A</v>
      </c>
      <c r="N157" s="128"/>
      <c r="O157" s="128"/>
      <c r="P157" s="128" t="e">
        <f>VLOOKUP(G157,'BASE PASAJEROS'!A:F,6,FALSE)</f>
        <v>#N/A</v>
      </c>
      <c r="Q157" s="128" t="e">
        <f>VLOOKUP(G157,'BASE PASAJEROS'!A:C,3,FALSE)</f>
        <v>#N/A</v>
      </c>
      <c r="R157" s="128" t="e">
        <f>VLOOKUP(G157,'BASE PASAJEROS'!A:G,7,FALSE)</f>
        <v>#N/A</v>
      </c>
      <c r="S157" s="128" t="s">
        <v>305</v>
      </c>
      <c r="T157" s="128" t="s">
        <v>320</v>
      </c>
      <c r="U157" s="130" t="e">
        <f>VLOOKUP(G157,'BASE PASAJEROS'!A:AG,33,FALSE)</f>
        <v>#N/A</v>
      </c>
      <c r="V157" s="130" t="e">
        <f>VLOOKUP(G157,'BASE PASAJEROS'!A:AH,34,FALSE)</f>
        <v>#N/A</v>
      </c>
      <c r="X157" s="164">
        <v>0.66666666666666663</v>
      </c>
      <c r="Y157" s="128" t="s">
        <v>32</v>
      </c>
      <c r="Z157" s="128" t="s">
        <v>319</v>
      </c>
      <c r="AA157" s="128" t="s">
        <v>325</v>
      </c>
      <c r="AB157" s="128" t="e">
        <f>VLOOKUP(AA157,'BASE BANCOS'!$A$2:$D$202,3,FALSE)</f>
        <v>#N/A</v>
      </c>
      <c r="AC157" s="128" t="s">
        <v>326</v>
      </c>
      <c r="AD157" s="129" t="e">
        <f>VLOOKUP(AC157,'BASE CONDUCTORES'!E:G,3,FALSE)</f>
        <v>#N/A</v>
      </c>
    </row>
    <row r="158" spans="2:30" x14ac:dyDescent="0.25">
      <c r="B158" s="95">
        <v>44321</v>
      </c>
      <c r="C158" s="95">
        <v>44322</v>
      </c>
      <c r="D158" s="128" t="s">
        <v>10</v>
      </c>
      <c r="E158" s="128" t="s">
        <v>33</v>
      </c>
      <c r="F158" s="124">
        <v>1</v>
      </c>
      <c r="G158" s="121" t="s">
        <v>330</v>
      </c>
      <c r="K158" s="128" t="e">
        <f>VLOOKUP(G158,'BASE PASAJEROS'!A:B,2,FALSE)</f>
        <v>#N/A</v>
      </c>
      <c r="L158" s="128" t="s">
        <v>316</v>
      </c>
      <c r="M158" s="128" t="e">
        <f>VLOOKUP(G158,'BASE PASAJEROS'!A:H,8,FALSE)</f>
        <v>#N/A</v>
      </c>
      <c r="N158" s="128"/>
      <c r="O158" s="128"/>
      <c r="P158" s="128" t="e">
        <f>VLOOKUP(G158,'BASE PASAJEROS'!A:F,6,FALSE)</f>
        <v>#N/A</v>
      </c>
      <c r="Q158" s="128" t="e">
        <f>VLOOKUP(G158,'BASE PASAJEROS'!A:C,3,FALSE)</f>
        <v>#N/A</v>
      </c>
      <c r="R158" s="128" t="e">
        <f>VLOOKUP(G158,'BASE PASAJEROS'!A:G,7,FALSE)</f>
        <v>#N/A</v>
      </c>
      <c r="S158" s="128" t="s">
        <v>305</v>
      </c>
      <c r="T158" s="128" t="s">
        <v>320</v>
      </c>
      <c r="U158" s="130" t="e">
        <f>VLOOKUP(G158,'BASE PASAJEROS'!A:AG,33,FALSE)</f>
        <v>#N/A</v>
      </c>
      <c r="V158" s="130" t="e">
        <f>VLOOKUP(G158,'BASE PASAJEROS'!A:AH,34,FALSE)</f>
        <v>#N/A</v>
      </c>
      <c r="X158" s="164">
        <v>0.66666666666666663</v>
      </c>
      <c r="Y158" s="128" t="s">
        <v>32</v>
      </c>
      <c r="Z158" s="128" t="s">
        <v>319</v>
      </c>
      <c r="AA158" s="128" t="s">
        <v>325</v>
      </c>
      <c r="AB158" s="128" t="e">
        <f>VLOOKUP(AA158,'BASE BANCOS'!$A$2:$D$202,3,FALSE)</f>
        <v>#N/A</v>
      </c>
      <c r="AC158" s="128" t="s">
        <v>326</v>
      </c>
      <c r="AD158" s="129" t="e">
        <f>VLOOKUP(AC158,'BASE CONDUCTORES'!E:G,3,FALSE)</f>
        <v>#N/A</v>
      </c>
    </row>
    <row r="159" spans="2:30" x14ac:dyDescent="0.25">
      <c r="B159" s="95">
        <v>44321</v>
      </c>
      <c r="C159" s="95">
        <v>44322</v>
      </c>
      <c r="D159" s="128" t="s">
        <v>10</v>
      </c>
      <c r="E159" s="128" t="s">
        <v>33</v>
      </c>
      <c r="F159" s="124">
        <v>1</v>
      </c>
      <c r="G159" s="121" t="s">
        <v>331</v>
      </c>
      <c r="K159" s="128" t="e">
        <f>VLOOKUP(G159,'BASE PASAJEROS'!A:B,2,FALSE)</f>
        <v>#N/A</v>
      </c>
      <c r="L159" s="128" t="s">
        <v>316</v>
      </c>
      <c r="M159" s="128" t="e">
        <f>VLOOKUP(G159,'BASE PASAJEROS'!A:H,8,FALSE)</f>
        <v>#N/A</v>
      </c>
      <c r="N159" s="128"/>
      <c r="O159" s="128"/>
      <c r="P159" s="128" t="e">
        <f>VLOOKUP(G159,'BASE PASAJEROS'!A:F,6,FALSE)</f>
        <v>#N/A</v>
      </c>
      <c r="Q159" s="128" t="e">
        <f>VLOOKUP(G159,'BASE PASAJEROS'!A:C,3,FALSE)</f>
        <v>#N/A</v>
      </c>
      <c r="R159" s="128" t="e">
        <f>VLOOKUP(G159,'BASE PASAJEROS'!A:G,7,FALSE)</f>
        <v>#N/A</v>
      </c>
      <c r="S159" s="128" t="s">
        <v>305</v>
      </c>
      <c r="T159" s="128" t="s">
        <v>320</v>
      </c>
      <c r="U159" s="130" t="e">
        <f>VLOOKUP(G159,'BASE PASAJEROS'!A:AG,33,FALSE)</f>
        <v>#N/A</v>
      </c>
      <c r="V159" s="130" t="e">
        <f>VLOOKUP(G159,'BASE PASAJEROS'!A:AH,34,FALSE)</f>
        <v>#N/A</v>
      </c>
      <c r="X159" s="164">
        <v>0.66666666666666663</v>
      </c>
      <c r="Y159" s="128" t="s">
        <v>32</v>
      </c>
      <c r="Z159" s="128" t="s">
        <v>319</v>
      </c>
      <c r="AA159" s="128" t="s">
        <v>325</v>
      </c>
      <c r="AB159" s="128" t="e">
        <f>VLOOKUP(AA159,'BASE BANCOS'!$A$2:$D$202,3,FALSE)</f>
        <v>#N/A</v>
      </c>
      <c r="AC159" s="128" t="s">
        <v>326</v>
      </c>
      <c r="AD159" s="129" t="e">
        <f>VLOOKUP(AC159,'BASE CONDUCTORES'!E:G,3,FALSE)</f>
        <v>#N/A</v>
      </c>
    </row>
    <row r="160" spans="2:30" x14ac:dyDescent="0.25">
      <c r="B160" s="95">
        <v>44321</v>
      </c>
      <c r="C160" s="95">
        <v>44322</v>
      </c>
      <c r="D160" s="128" t="s">
        <v>10</v>
      </c>
      <c r="E160" s="128" t="s">
        <v>33</v>
      </c>
      <c r="F160" s="124">
        <v>1</v>
      </c>
      <c r="G160" s="121" t="s">
        <v>332</v>
      </c>
      <c r="K160" s="128" t="e">
        <f>VLOOKUP(G160,'BASE PASAJEROS'!A:B,2,FALSE)</f>
        <v>#N/A</v>
      </c>
      <c r="L160" s="128" t="s">
        <v>316</v>
      </c>
      <c r="M160" s="128" t="e">
        <f>VLOOKUP(G160,'BASE PASAJEROS'!A:H,8,FALSE)</f>
        <v>#N/A</v>
      </c>
      <c r="N160" s="128"/>
      <c r="O160" s="128"/>
      <c r="P160" s="128" t="e">
        <f>VLOOKUP(G160,'BASE PASAJEROS'!A:F,6,FALSE)</f>
        <v>#N/A</v>
      </c>
      <c r="Q160" s="128" t="e">
        <f>VLOOKUP(G160,'BASE PASAJEROS'!A:C,3,FALSE)</f>
        <v>#N/A</v>
      </c>
      <c r="R160" s="128" t="e">
        <f>VLOOKUP(G160,'BASE PASAJEROS'!A:G,7,FALSE)</f>
        <v>#N/A</v>
      </c>
      <c r="S160" s="128" t="s">
        <v>305</v>
      </c>
      <c r="T160" s="128" t="s">
        <v>320</v>
      </c>
      <c r="U160" s="130" t="e">
        <f>VLOOKUP(G160,'BASE PASAJEROS'!A:AG,33,FALSE)</f>
        <v>#N/A</v>
      </c>
      <c r="V160" s="130" t="e">
        <f>VLOOKUP(G160,'BASE PASAJEROS'!A:AH,34,FALSE)</f>
        <v>#N/A</v>
      </c>
      <c r="X160" s="164">
        <v>0.20833333333333334</v>
      </c>
      <c r="Y160" s="128" t="s">
        <v>38</v>
      </c>
      <c r="Z160" s="128" t="s">
        <v>319</v>
      </c>
      <c r="AA160" s="128" t="s">
        <v>325</v>
      </c>
      <c r="AB160" s="128" t="e">
        <f>VLOOKUP(AA160,'BASE BANCOS'!$A$2:$D$202,3,FALSE)</f>
        <v>#N/A</v>
      </c>
      <c r="AC160" s="128" t="s">
        <v>326</v>
      </c>
      <c r="AD160" s="129" t="e">
        <f>VLOOKUP(AC160,'BASE CONDUCTORES'!E:G,3,FALSE)</f>
        <v>#N/A</v>
      </c>
    </row>
    <row r="161" spans="1:52" x14ac:dyDescent="0.25">
      <c r="B161" s="95">
        <v>44321</v>
      </c>
      <c r="C161" s="95">
        <v>44322</v>
      </c>
      <c r="D161" s="128" t="s">
        <v>10</v>
      </c>
      <c r="E161" s="128" t="s">
        <v>33</v>
      </c>
      <c r="F161" s="124">
        <v>1</v>
      </c>
      <c r="G161" s="121" t="s">
        <v>333</v>
      </c>
      <c r="K161" s="128" t="e">
        <f>VLOOKUP(G161,'BASE PASAJEROS'!A:B,2,FALSE)</f>
        <v>#N/A</v>
      </c>
      <c r="L161" s="128" t="s">
        <v>316</v>
      </c>
      <c r="M161" s="128" t="e">
        <f>VLOOKUP(G161,'BASE PASAJEROS'!A:H,8,FALSE)</f>
        <v>#N/A</v>
      </c>
      <c r="N161" s="128"/>
      <c r="O161" s="128"/>
      <c r="P161" s="128" t="e">
        <f>VLOOKUP(G161,'BASE PASAJEROS'!A:F,6,FALSE)</f>
        <v>#N/A</v>
      </c>
      <c r="Q161" s="128" t="e">
        <f>VLOOKUP(G161,'BASE PASAJEROS'!A:C,3,FALSE)</f>
        <v>#N/A</v>
      </c>
      <c r="R161" s="128" t="e">
        <f>VLOOKUP(G161,'BASE PASAJEROS'!A:G,7,FALSE)</f>
        <v>#N/A</v>
      </c>
      <c r="S161" s="128" t="s">
        <v>305</v>
      </c>
      <c r="T161" s="128" t="s">
        <v>320</v>
      </c>
      <c r="U161" s="130" t="e">
        <f>VLOOKUP(G161,'BASE PASAJEROS'!A:AG,33,FALSE)</f>
        <v>#N/A</v>
      </c>
      <c r="V161" s="130" t="e">
        <f>VLOOKUP(G161,'BASE PASAJEROS'!A:AH,34,FALSE)</f>
        <v>#N/A</v>
      </c>
      <c r="X161" s="164">
        <v>0.66666666666666663</v>
      </c>
      <c r="Y161" s="128" t="s">
        <v>32</v>
      </c>
      <c r="Z161" s="128" t="s">
        <v>319</v>
      </c>
      <c r="AA161" s="128" t="s">
        <v>325</v>
      </c>
      <c r="AB161" s="128" t="e">
        <f>VLOOKUP(AA161,'BASE BANCOS'!$A$2:$D$202,3,FALSE)</f>
        <v>#N/A</v>
      </c>
      <c r="AC161" s="128" t="s">
        <v>326</v>
      </c>
      <c r="AD161" s="129" t="e">
        <f>VLOOKUP(AC161,'BASE CONDUCTORES'!E:G,3,FALSE)</f>
        <v>#N/A</v>
      </c>
    </row>
    <row r="162" spans="1:52" x14ac:dyDescent="0.25">
      <c r="B162" s="95">
        <v>44321</v>
      </c>
      <c r="C162" s="95">
        <v>44322</v>
      </c>
      <c r="D162" s="128" t="s">
        <v>10</v>
      </c>
      <c r="E162" s="128" t="s">
        <v>33</v>
      </c>
      <c r="F162" s="124">
        <v>1</v>
      </c>
      <c r="G162" s="121" t="s">
        <v>334</v>
      </c>
      <c r="K162" s="128" t="e">
        <f>VLOOKUP(G162,'BASE PASAJEROS'!A:B,2,FALSE)</f>
        <v>#N/A</v>
      </c>
      <c r="L162" s="128" t="s">
        <v>316</v>
      </c>
      <c r="M162" s="128" t="e">
        <f>VLOOKUP(G162,'BASE PASAJEROS'!A:H,8,FALSE)</f>
        <v>#N/A</v>
      </c>
      <c r="N162" s="128"/>
      <c r="O162" s="128"/>
      <c r="P162" s="128" t="e">
        <f>VLOOKUP(G162,'BASE PASAJEROS'!A:F,6,FALSE)</f>
        <v>#N/A</v>
      </c>
      <c r="Q162" s="128" t="e">
        <f>VLOOKUP(G162,'BASE PASAJEROS'!A:C,3,FALSE)</f>
        <v>#N/A</v>
      </c>
      <c r="R162" s="128" t="e">
        <f>VLOOKUP(G162,'BASE PASAJEROS'!A:G,7,FALSE)</f>
        <v>#N/A</v>
      </c>
      <c r="S162" s="128" t="s">
        <v>305</v>
      </c>
      <c r="T162" s="128" t="s">
        <v>320</v>
      </c>
      <c r="U162" s="130" t="e">
        <f>VLOOKUP(G162,'BASE PASAJEROS'!A:AG,33,FALSE)</f>
        <v>#N/A</v>
      </c>
      <c r="V162" s="130" t="e">
        <f>VLOOKUP(G162,'BASE PASAJEROS'!A:AH,34,FALSE)</f>
        <v>#N/A</v>
      </c>
      <c r="X162" s="164">
        <v>0.66666666666666663</v>
      </c>
      <c r="Y162" s="128" t="s">
        <v>32</v>
      </c>
      <c r="Z162" s="128" t="s">
        <v>319</v>
      </c>
      <c r="AA162" s="128" t="s">
        <v>325</v>
      </c>
      <c r="AB162" s="128" t="e">
        <f>VLOOKUP(AA162,'BASE BANCOS'!$A$2:$D$202,3,FALSE)</f>
        <v>#N/A</v>
      </c>
      <c r="AC162" s="128" t="s">
        <v>326</v>
      </c>
      <c r="AD162" s="129" t="e">
        <f>VLOOKUP(AC162,'BASE CONDUCTORES'!E:G,3,FALSE)</f>
        <v>#N/A</v>
      </c>
    </row>
    <row r="163" spans="1:52" ht="18" customHeight="1" x14ac:dyDescent="0.25">
      <c r="B163" s="95">
        <v>44321</v>
      </c>
      <c r="C163" s="95">
        <v>44322</v>
      </c>
      <c r="D163" s="128" t="s">
        <v>10</v>
      </c>
      <c r="E163" s="128" t="s">
        <v>33</v>
      </c>
      <c r="F163" s="124">
        <v>1</v>
      </c>
      <c r="G163" s="121" t="s">
        <v>335</v>
      </c>
      <c r="K163" s="128" t="e">
        <f>VLOOKUP(G163,'BASE PASAJEROS'!A:B,2,FALSE)</f>
        <v>#N/A</v>
      </c>
      <c r="L163" s="128" t="s">
        <v>316</v>
      </c>
      <c r="M163" s="128" t="e">
        <f>VLOOKUP(G163,'BASE PASAJEROS'!A:H,8,FALSE)</f>
        <v>#N/A</v>
      </c>
      <c r="N163" s="128"/>
      <c r="O163" s="128"/>
      <c r="P163" s="128" t="e">
        <f>VLOOKUP(G163,'BASE PASAJEROS'!A:F,6,FALSE)</f>
        <v>#N/A</v>
      </c>
      <c r="Q163" s="128" t="e">
        <f>VLOOKUP(G163,'BASE PASAJEROS'!A:C,3,FALSE)</f>
        <v>#N/A</v>
      </c>
      <c r="R163" s="128" t="e">
        <f>VLOOKUP(G163,'BASE PASAJEROS'!A:G,7,FALSE)</f>
        <v>#N/A</v>
      </c>
      <c r="S163" s="128" t="s">
        <v>305</v>
      </c>
      <c r="T163" s="128" t="s">
        <v>320</v>
      </c>
      <c r="U163" s="130" t="e">
        <f>VLOOKUP(G163,'BASE PASAJEROS'!A:AG,33,FALSE)</f>
        <v>#N/A</v>
      </c>
      <c r="V163" s="130" t="e">
        <f>VLOOKUP(G163,'BASE PASAJEROS'!A:AH,34,FALSE)</f>
        <v>#N/A</v>
      </c>
      <c r="X163" s="164">
        <v>0.66666666666666663</v>
      </c>
      <c r="Y163" s="128" t="s">
        <v>32</v>
      </c>
      <c r="Z163" s="128" t="s">
        <v>319</v>
      </c>
      <c r="AA163" s="128" t="s">
        <v>325</v>
      </c>
      <c r="AB163" s="128" t="e">
        <f>VLOOKUP(AA163,'BASE BANCOS'!$A$2:$D$202,3,FALSE)</f>
        <v>#N/A</v>
      </c>
      <c r="AC163" s="128" t="s">
        <v>326</v>
      </c>
      <c r="AD163" s="129" t="e">
        <f>VLOOKUP(AC163,'BASE CONDUCTORES'!E:G,3,FALSE)</f>
        <v>#N/A</v>
      </c>
    </row>
    <row r="164" spans="1:52" x14ac:dyDescent="0.25">
      <c r="B164" s="95">
        <v>44323</v>
      </c>
      <c r="C164" s="95">
        <v>44323</v>
      </c>
      <c r="D164" s="128" t="s">
        <v>10</v>
      </c>
      <c r="E164" s="128" t="s">
        <v>33</v>
      </c>
      <c r="F164" s="124">
        <v>1</v>
      </c>
      <c r="G164" s="121" t="s">
        <v>330</v>
      </c>
      <c r="K164" s="128" t="e">
        <f>VLOOKUP(G164,'BASE PASAJEROS'!A:B,2,FALSE)</f>
        <v>#N/A</v>
      </c>
      <c r="L164" s="128" t="s">
        <v>316</v>
      </c>
      <c r="M164" s="128" t="e">
        <f>VLOOKUP(G164,'BASE PASAJEROS'!A:H,8,FALSE)</f>
        <v>#N/A</v>
      </c>
      <c r="N164" s="128"/>
      <c r="O164" s="128"/>
      <c r="P164" s="128" t="e">
        <f>VLOOKUP(G164,'BASE PASAJEROS'!A:F,6,FALSE)</f>
        <v>#N/A</v>
      </c>
      <c r="Q164" s="128" t="e">
        <f>VLOOKUP(G164,'BASE PASAJEROS'!A:C,3,FALSE)</f>
        <v>#N/A</v>
      </c>
      <c r="R164" s="128" t="e">
        <f>VLOOKUP(G164,'BASE PASAJEROS'!A:G,7,FALSE)</f>
        <v>#N/A</v>
      </c>
      <c r="S164" s="128" t="s">
        <v>305</v>
      </c>
      <c r="T164" s="128" t="s">
        <v>320</v>
      </c>
      <c r="U164" s="130" t="e">
        <f>VLOOKUP(G164,'BASE PASAJEROS'!A:AG,33,FALSE)</f>
        <v>#N/A</v>
      </c>
      <c r="V164" s="130" t="e">
        <f>VLOOKUP(G164,'BASE PASAJEROS'!A:AH,34,FALSE)</f>
        <v>#N/A</v>
      </c>
      <c r="X164" s="164">
        <v>0.66666666666666663</v>
      </c>
      <c r="Y164" s="128" t="s">
        <v>32</v>
      </c>
      <c r="Z164" s="128" t="s">
        <v>319</v>
      </c>
      <c r="AA164" s="128" t="s">
        <v>159</v>
      </c>
      <c r="AB164" s="128" t="e">
        <f>VLOOKUP(AA164,'BASE BANCOS'!$A$2:$D$202,3,FALSE)</f>
        <v>#N/A</v>
      </c>
      <c r="AC164" s="128" t="s">
        <v>159</v>
      </c>
      <c r="AD164" s="129" t="e">
        <f>VLOOKUP(AC164,'BASE CONDUCTORES'!E:G,3,FALSE)</f>
        <v>#N/A</v>
      </c>
    </row>
    <row r="165" spans="1:52" x14ac:dyDescent="0.25">
      <c r="B165" s="95">
        <v>44323</v>
      </c>
      <c r="C165" s="95">
        <v>44323</v>
      </c>
      <c r="D165" s="128" t="s">
        <v>10</v>
      </c>
      <c r="E165" s="128" t="s">
        <v>33</v>
      </c>
      <c r="F165" s="124">
        <v>1</v>
      </c>
      <c r="G165" s="121" t="s">
        <v>331</v>
      </c>
      <c r="K165" s="128" t="e">
        <f>VLOOKUP(G165,'BASE PASAJEROS'!A:B,2,FALSE)</f>
        <v>#N/A</v>
      </c>
      <c r="L165" s="128" t="s">
        <v>316</v>
      </c>
      <c r="M165" s="128" t="e">
        <f>VLOOKUP(G165,'BASE PASAJEROS'!A:H,8,FALSE)</f>
        <v>#N/A</v>
      </c>
      <c r="N165" s="128"/>
      <c r="O165" s="128"/>
      <c r="P165" s="128" t="e">
        <f>VLOOKUP(G165,'BASE PASAJEROS'!A:F,6,FALSE)</f>
        <v>#N/A</v>
      </c>
      <c r="Q165" s="128" t="e">
        <f>VLOOKUP(G165,'BASE PASAJEROS'!A:C,3,FALSE)</f>
        <v>#N/A</v>
      </c>
      <c r="R165" s="128" t="e">
        <f>VLOOKUP(G165,'BASE PASAJEROS'!A:G,7,FALSE)</f>
        <v>#N/A</v>
      </c>
      <c r="S165" s="128" t="s">
        <v>305</v>
      </c>
      <c r="T165" s="128" t="s">
        <v>320</v>
      </c>
      <c r="U165" s="130" t="e">
        <f>VLOOKUP(G165,'BASE PASAJEROS'!A:AG,33,FALSE)</f>
        <v>#N/A</v>
      </c>
      <c r="V165" s="130" t="e">
        <f>VLOOKUP(G165,'BASE PASAJEROS'!A:AH,34,FALSE)</f>
        <v>#N/A</v>
      </c>
      <c r="X165" s="164">
        <v>0.66666666666666663</v>
      </c>
      <c r="Y165" s="128" t="s">
        <v>32</v>
      </c>
      <c r="Z165" s="128" t="s">
        <v>319</v>
      </c>
      <c r="AA165" s="128" t="s">
        <v>159</v>
      </c>
      <c r="AB165" s="128" t="e">
        <f>VLOOKUP(AA165,'BASE BANCOS'!$A$2:$D$202,3,FALSE)</f>
        <v>#N/A</v>
      </c>
      <c r="AC165" s="128" t="s">
        <v>159</v>
      </c>
      <c r="AD165" s="129" t="e">
        <f>VLOOKUP(AC165,'BASE CONDUCTORES'!E:G,3,FALSE)</f>
        <v>#N/A</v>
      </c>
    </row>
    <row r="166" spans="1:52" x14ac:dyDescent="0.25">
      <c r="B166" s="95">
        <v>44323</v>
      </c>
      <c r="C166" s="95">
        <v>44323</v>
      </c>
      <c r="D166" s="128" t="s">
        <v>10</v>
      </c>
      <c r="E166" s="128" t="s">
        <v>33</v>
      </c>
      <c r="F166" s="124">
        <v>1</v>
      </c>
      <c r="G166" s="121" t="s">
        <v>332</v>
      </c>
      <c r="K166" s="128" t="e">
        <f>VLOOKUP(G166,'BASE PASAJEROS'!A:B,2,FALSE)</f>
        <v>#N/A</v>
      </c>
      <c r="L166" s="128" t="s">
        <v>316</v>
      </c>
      <c r="M166" s="128" t="e">
        <f>VLOOKUP(G166,'BASE PASAJEROS'!A:H,8,FALSE)</f>
        <v>#N/A</v>
      </c>
      <c r="N166" s="128"/>
      <c r="O166" s="128"/>
      <c r="P166" s="128" t="e">
        <f>VLOOKUP(G166,'BASE PASAJEROS'!A:F,6,FALSE)</f>
        <v>#N/A</v>
      </c>
      <c r="Q166" s="128" t="e">
        <f>VLOOKUP(G166,'BASE PASAJEROS'!A:C,3,FALSE)</f>
        <v>#N/A</v>
      </c>
      <c r="R166" s="128" t="e">
        <f>VLOOKUP(G166,'BASE PASAJEROS'!A:G,7,FALSE)</f>
        <v>#N/A</v>
      </c>
      <c r="S166" s="128" t="s">
        <v>305</v>
      </c>
      <c r="T166" s="128" t="s">
        <v>320</v>
      </c>
      <c r="U166" s="130" t="e">
        <f>VLOOKUP(G166,'BASE PASAJEROS'!A:AG,33,FALSE)</f>
        <v>#N/A</v>
      </c>
      <c r="V166" s="130" t="e">
        <f>VLOOKUP(G166,'BASE PASAJEROS'!A:AH,34,FALSE)</f>
        <v>#N/A</v>
      </c>
      <c r="X166" s="164">
        <v>0.20833333333333334</v>
      </c>
      <c r="Y166" s="128" t="s">
        <v>38</v>
      </c>
      <c r="Z166" s="124" t="s">
        <v>328</v>
      </c>
      <c r="AA166" s="128" t="s">
        <v>452</v>
      </c>
      <c r="AB166" s="128" t="e">
        <f>VLOOKUP(AA166,'BASE BANCOS'!$A$2:$D$202,3,FALSE)</f>
        <v>#N/A</v>
      </c>
      <c r="AC166" s="128" t="s">
        <v>453</v>
      </c>
      <c r="AD166" s="129" t="e">
        <f>VLOOKUP(AC166,'BASE CONDUCTORES'!E:G,3,FALSE)</f>
        <v>#N/A</v>
      </c>
    </row>
    <row r="167" spans="1:52" x14ac:dyDescent="0.25">
      <c r="B167" s="95">
        <v>44323</v>
      </c>
      <c r="C167" s="95">
        <v>44323</v>
      </c>
      <c r="D167" s="128" t="s">
        <v>10</v>
      </c>
      <c r="E167" s="128" t="s">
        <v>33</v>
      </c>
      <c r="F167" s="124">
        <v>1</v>
      </c>
      <c r="G167" s="121" t="s">
        <v>333</v>
      </c>
      <c r="K167" s="128" t="e">
        <f>VLOOKUP(G167,'BASE PASAJEROS'!A:B,2,FALSE)</f>
        <v>#N/A</v>
      </c>
      <c r="L167" s="128" t="s">
        <v>316</v>
      </c>
      <c r="M167" s="128" t="e">
        <f>VLOOKUP(G167,'BASE PASAJEROS'!A:H,8,FALSE)</f>
        <v>#N/A</v>
      </c>
      <c r="N167" s="128"/>
      <c r="O167" s="128"/>
      <c r="P167" s="128" t="e">
        <f>VLOOKUP(G167,'BASE PASAJEROS'!A:F,6,FALSE)</f>
        <v>#N/A</v>
      </c>
      <c r="Q167" s="128" t="e">
        <f>VLOOKUP(G167,'BASE PASAJEROS'!A:C,3,FALSE)</f>
        <v>#N/A</v>
      </c>
      <c r="R167" s="128" t="e">
        <f>VLOOKUP(G167,'BASE PASAJEROS'!A:G,7,FALSE)</f>
        <v>#N/A</v>
      </c>
      <c r="S167" s="128" t="s">
        <v>305</v>
      </c>
      <c r="T167" s="128" t="s">
        <v>320</v>
      </c>
      <c r="U167" s="130" t="e">
        <f>VLOOKUP(G167,'BASE PASAJEROS'!A:AG,33,FALSE)</f>
        <v>#N/A</v>
      </c>
      <c r="V167" s="130" t="e">
        <f>VLOOKUP(G167,'BASE PASAJEROS'!A:AH,34,FALSE)</f>
        <v>#N/A</v>
      </c>
      <c r="X167" s="164">
        <v>0.66666666666666663</v>
      </c>
      <c r="Y167" s="128" t="s">
        <v>32</v>
      </c>
      <c r="Z167" s="128" t="s">
        <v>319</v>
      </c>
      <c r="AA167" s="128" t="s">
        <v>159</v>
      </c>
      <c r="AB167" s="128" t="e">
        <f>VLOOKUP(AA167,'BASE BANCOS'!$A$2:$D$202,3,FALSE)</f>
        <v>#N/A</v>
      </c>
      <c r="AC167" s="128" t="s">
        <v>159</v>
      </c>
      <c r="AD167" s="129" t="e">
        <f>VLOOKUP(AC167,'BASE CONDUCTORES'!E:G,3,FALSE)</f>
        <v>#N/A</v>
      </c>
    </row>
    <row r="168" spans="1:52" x14ac:dyDescent="0.25">
      <c r="B168" s="95">
        <v>44323</v>
      </c>
      <c r="C168" s="95">
        <v>44323</v>
      </c>
      <c r="D168" s="128" t="s">
        <v>10</v>
      </c>
      <c r="E168" s="128" t="s">
        <v>33</v>
      </c>
      <c r="F168" s="124">
        <v>1</v>
      </c>
      <c r="G168" s="121" t="s">
        <v>334</v>
      </c>
      <c r="K168" s="128" t="e">
        <f>VLOOKUP(G168,'BASE PASAJEROS'!A:B,2,FALSE)</f>
        <v>#N/A</v>
      </c>
      <c r="L168" s="128" t="s">
        <v>316</v>
      </c>
      <c r="M168" s="128" t="e">
        <f>VLOOKUP(G168,'BASE PASAJEROS'!A:H,8,FALSE)</f>
        <v>#N/A</v>
      </c>
      <c r="N168" s="128"/>
      <c r="O168" s="128"/>
      <c r="P168" s="128" t="e">
        <f>VLOOKUP(G168,'BASE PASAJEROS'!A:F,6,FALSE)</f>
        <v>#N/A</v>
      </c>
      <c r="Q168" s="128" t="e">
        <f>VLOOKUP(G168,'BASE PASAJEROS'!A:C,3,FALSE)</f>
        <v>#N/A</v>
      </c>
      <c r="R168" s="128" t="e">
        <f>VLOOKUP(G168,'BASE PASAJEROS'!A:G,7,FALSE)</f>
        <v>#N/A</v>
      </c>
      <c r="S168" s="128" t="s">
        <v>305</v>
      </c>
      <c r="T168" s="128" t="s">
        <v>320</v>
      </c>
      <c r="U168" s="130" t="e">
        <f>VLOOKUP(G168,'BASE PASAJEROS'!A:AG,33,FALSE)</f>
        <v>#N/A</v>
      </c>
      <c r="V168" s="130" t="e">
        <f>VLOOKUP(G168,'BASE PASAJEROS'!A:AH,34,FALSE)</f>
        <v>#N/A</v>
      </c>
      <c r="X168" s="164">
        <v>0.66666666666666663</v>
      </c>
      <c r="Y168" s="128" t="s">
        <v>32</v>
      </c>
      <c r="Z168" s="124" t="s">
        <v>328</v>
      </c>
      <c r="AA168" s="128" t="s">
        <v>452</v>
      </c>
      <c r="AB168" s="128" t="e">
        <f>VLOOKUP(AA168,'BASE BANCOS'!$A$2:$D$202,3,FALSE)</f>
        <v>#N/A</v>
      </c>
      <c r="AC168" s="128" t="s">
        <v>453</v>
      </c>
      <c r="AD168" s="129" t="e">
        <f>VLOOKUP(AC168,'BASE CONDUCTORES'!E:G,3,FALSE)</f>
        <v>#N/A</v>
      </c>
    </row>
    <row r="169" spans="1:52" ht="18" customHeight="1" x14ac:dyDescent="0.25">
      <c r="B169" s="95">
        <v>44323</v>
      </c>
      <c r="C169" s="95">
        <v>44323</v>
      </c>
      <c r="D169" s="128" t="s">
        <v>10</v>
      </c>
      <c r="E169" s="128" t="s">
        <v>33</v>
      </c>
      <c r="F169" s="124">
        <v>1</v>
      </c>
      <c r="G169" s="121" t="s">
        <v>335</v>
      </c>
      <c r="K169" s="128" t="e">
        <f>VLOOKUP(G169,'BASE PASAJEROS'!A:B,2,FALSE)</f>
        <v>#N/A</v>
      </c>
      <c r="L169" s="128" t="s">
        <v>316</v>
      </c>
      <c r="M169" s="128" t="e">
        <f>VLOOKUP(G169,'BASE PASAJEROS'!A:H,8,FALSE)</f>
        <v>#N/A</v>
      </c>
      <c r="N169" s="128"/>
      <c r="O169" s="128"/>
      <c r="P169" s="128" t="e">
        <f>VLOOKUP(G169,'BASE PASAJEROS'!A:F,6,FALSE)</f>
        <v>#N/A</v>
      </c>
      <c r="Q169" s="128" t="e">
        <f>VLOOKUP(G169,'BASE PASAJEROS'!A:C,3,FALSE)</f>
        <v>#N/A</v>
      </c>
      <c r="R169" s="128" t="e">
        <f>VLOOKUP(G169,'BASE PASAJEROS'!A:G,7,FALSE)</f>
        <v>#N/A</v>
      </c>
      <c r="S169" s="128" t="s">
        <v>305</v>
      </c>
      <c r="T169" s="128" t="s">
        <v>320</v>
      </c>
      <c r="U169" s="130" t="e">
        <f>VLOOKUP(G169,'BASE PASAJEROS'!A:AG,33,FALSE)</f>
        <v>#N/A</v>
      </c>
      <c r="V169" s="130" t="e">
        <f>VLOOKUP(G169,'BASE PASAJEROS'!A:AH,34,FALSE)</f>
        <v>#N/A</v>
      </c>
      <c r="X169" s="164">
        <v>0.66666666666666663</v>
      </c>
      <c r="Y169" s="128" t="s">
        <v>32</v>
      </c>
      <c r="Z169" s="128" t="s">
        <v>319</v>
      </c>
      <c r="AA169" s="128" t="s">
        <v>159</v>
      </c>
      <c r="AB169" s="128" t="e">
        <f>VLOOKUP(AA169,'BASE BANCOS'!$A$2:$D$202,3,FALSE)</f>
        <v>#N/A</v>
      </c>
      <c r="AC169" s="128" t="s">
        <v>159</v>
      </c>
      <c r="AD169" s="129" t="e">
        <f>VLOOKUP(AC169,'BASE CONDUCTORES'!E:G,3,FALSE)</f>
        <v>#N/A</v>
      </c>
    </row>
    <row r="170" spans="1:52" s="124" customFormat="1" ht="15.75" x14ac:dyDescent="0.25">
      <c r="A170" s="121"/>
      <c r="B170" s="152">
        <v>44318</v>
      </c>
      <c r="C170" s="152">
        <v>44319</v>
      </c>
      <c r="D170" s="128" t="s">
        <v>29</v>
      </c>
      <c r="E170" s="128" t="s">
        <v>33</v>
      </c>
      <c r="F170" s="124">
        <v>1</v>
      </c>
      <c r="G170" s="166" t="s">
        <v>336</v>
      </c>
      <c r="H170" s="121"/>
      <c r="I170" s="121"/>
      <c r="J170" s="137"/>
      <c r="K170" s="128" t="e">
        <f>VLOOKUP(G170,'BASE PASAJEROS'!A:B,2,FALSE)</f>
        <v>#N/A</v>
      </c>
      <c r="L170" s="128" t="s">
        <v>316</v>
      </c>
      <c r="M170" s="128" t="e">
        <f>VLOOKUP(G170,'BASE PASAJEROS'!A:H,8,FALSE)</f>
        <v>#N/A</v>
      </c>
      <c r="N170" s="128"/>
      <c r="O170" s="128"/>
      <c r="P170" s="128" t="e">
        <f>VLOOKUP(G170,'BASE PASAJEROS'!A:F,6,FALSE)</f>
        <v>#N/A</v>
      </c>
      <c r="Q170" s="128" t="e">
        <f>VLOOKUP(G170,'BASE PASAJEROS'!A:C,3,FALSE)</f>
        <v>#N/A</v>
      </c>
      <c r="R170" s="128" t="e">
        <f>VLOOKUP(G170,'BASE PASAJEROS'!A:G,7,FALSE)</f>
        <v>#N/A</v>
      </c>
      <c r="S170" s="128" t="s">
        <v>305</v>
      </c>
      <c r="T170" s="128" t="s">
        <v>320</v>
      </c>
      <c r="U170" s="130" t="e">
        <f>VLOOKUP(G170,'BASE PASAJEROS'!A:AG,33,FALSE)</f>
        <v>#N/A</v>
      </c>
      <c r="V170" s="130" t="e">
        <f>VLOOKUP(G170,'BASE PASAJEROS'!A:AH,34,FALSE)</f>
        <v>#N/A</v>
      </c>
      <c r="W170" s="121"/>
      <c r="X170" s="165" t="s">
        <v>368</v>
      </c>
      <c r="Y170" s="121" t="s">
        <v>27</v>
      </c>
      <c r="Z170" s="121" t="s">
        <v>328</v>
      </c>
      <c r="AA170" s="128" t="s">
        <v>317</v>
      </c>
      <c r="AB170" s="128" t="e">
        <f>VLOOKUP(AA170,'BASE BANCOS'!$A$2:$D$202,3,FALSE)</f>
        <v>#N/A</v>
      </c>
      <c r="AC170" s="143" t="s">
        <v>369</v>
      </c>
      <c r="AD170" s="129" t="e">
        <f>VLOOKUP(AC170,'BASE CONDUCTORES'!E:G,3,FALSE)</f>
        <v>#N/A</v>
      </c>
      <c r="AE170" s="165"/>
      <c r="AF170" s="146"/>
      <c r="AG170" s="146"/>
      <c r="AH170" s="146"/>
      <c r="AI170" s="146"/>
      <c r="AJ170" s="121"/>
      <c r="AK170" s="121"/>
      <c r="AL170" s="121"/>
      <c r="AM170" s="121"/>
      <c r="AN170" s="121"/>
      <c r="AO170" s="146"/>
      <c r="AP170" s="146"/>
      <c r="AQ170" s="121"/>
      <c r="AR170" s="121"/>
      <c r="AS170" s="121"/>
      <c r="AT170" s="121"/>
      <c r="AU170" s="147"/>
      <c r="AV170" s="148"/>
      <c r="AW170" s="121"/>
      <c r="AX170" s="121"/>
      <c r="AY170" s="121"/>
      <c r="AZ170" s="121"/>
    </row>
    <row r="171" spans="1:52" s="124" customFormat="1" ht="15.75" x14ac:dyDescent="0.25">
      <c r="A171" s="121"/>
      <c r="B171" s="152">
        <v>44318</v>
      </c>
      <c r="C171" s="152">
        <v>44319</v>
      </c>
      <c r="D171" s="128" t="s">
        <v>29</v>
      </c>
      <c r="E171" s="128" t="s">
        <v>33</v>
      </c>
      <c r="F171" s="124">
        <v>1</v>
      </c>
      <c r="G171" s="167" t="s">
        <v>337</v>
      </c>
      <c r="H171" s="121"/>
      <c r="I171" s="121"/>
      <c r="J171" s="137"/>
      <c r="K171" s="128" t="e">
        <f>VLOOKUP(G171,'BASE PASAJEROS'!A:B,2,FALSE)</f>
        <v>#N/A</v>
      </c>
      <c r="L171" s="128" t="s">
        <v>316</v>
      </c>
      <c r="M171" s="128" t="e">
        <f>VLOOKUP(G171,'BASE PASAJEROS'!A:H,8,FALSE)</f>
        <v>#N/A</v>
      </c>
      <c r="N171" s="128"/>
      <c r="O171" s="128"/>
      <c r="P171" s="128" t="e">
        <f>VLOOKUP(G171,'BASE PASAJEROS'!A:F,6,FALSE)</f>
        <v>#N/A</v>
      </c>
      <c r="Q171" s="128" t="e">
        <f>VLOOKUP(G171,'BASE PASAJEROS'!A:C,3,FALSE)</f>
        <v>#N/A</v>
      </c>
      <c r="R171" s="128" t="e">
        <f>VLOOKUP(G171,'BASE PASAJEROS'!A:G,7,FALSE)</f>
        <v>#N/A</v>
      </c>
      <c r="S171" s="128" t="s">
        <v>305</v>
      </c>
      <c r="T171" s="128" t="s">
        <v>320</v>
      </c>
      <c r="U171" s="130" t="e">
        <f>VLOOKUP(G171,'BASE PASAJEROS'!A:AG,33,FALSE)</f>
        <v>#N/A</v>
      </c>
      <c r="V171" s="130" t="e">
        <f>VLOOKUP(G171,'BASE PASAJEROS'!A:AH,34,FALSE)</f>
        <v>#N/A</v>
      </c>
      <c r="W171" s="121"/>
      <c r="X171" s="165" t="s">
        <v>368</v>
      </c>
      <c r="Y171" s="121" t="s">
        <v>27</v>
      </c>
      <c r="Z171" s="121" t="s">
        <v>328</v>
      </c>
      <c r="AA171" s="128" t="s">
        <v>317</v>
      </c>
      <c r="AB171" s="128" t="e">
        <f>VLOOKUP(AA171,'BASE BANCOS'!$A$2:$D$202,3,FALSE)</f>
        <v>#N/A</v>
      </c>
      <c r="AC171" s="143" t="s">
        <v>369</v>
      </c>
      <c r="AD171" s="129" t="e">
        <f>VLOOKUP(AC171,'BASE CONDUCTORES'!E:G,3,FALSE)</f>
        <v>#N/A</v>
      </c>
      <c r="AE171" s="165"/>
      <c r="AF171" s="146"/>
      <c r="AG171" s="146"/>
      <c r="AH171" s="146"/>
      <c r="AI171" s="146"/>
      <c r="AJ171" s="121"/>
      <c r="AK171" s="121"/>
      <c r="AL171" s="121"/>
      <c r="AM171" s="121"/>
      <c r="AN171" s="121"/>
      <c r="AO171" s="146"/>
      <c r="AP171" s="146"/>
      <c r="AQ171" s="121"/>
      <c r="AR171" s="121"/>
      <c r="AS171" s="121"/>
      <c r="AT171" s="121"/>
      <c r="AU171" s="147"/>
      <c r="AV171" s="148"/>
      <c r="AW171" s="121"/>
      <c r="AX171" s="121"/>
      <c r="AY171" s="121"/>
      <c r="AZ171" s="121"/>
    </row>
    <row r="172" spans="1:52" s="124" customFormat="1" ht="15.75" x14ac:dyDescent="0.25">
      <c r="A172" s="121"/>
      <c r="B172" s="152">
        <v>44318</v>
      </c>
      <c r="C172" s="152">
        <v>44319</v>
      </c>
      <c r="D172" s="128" t="s">
        <v>29</v>
      </c>
      <c r="E172" s="128" t="s">
        <v>33</v>
      </c>
      <c r="F172" s="124">
        <v>1</v>
      </c>
      <c r="G172" s="166" t="s">
        <v>338</v>
      </c>
      <c r="H172" s="121"/>
      <c r="I172" s="121"/>
      <c r="J172" s="137"/>
      <c r="K172" s="128" t="e">
        <f>VLOOKUP(G172,'BASE PASAJEROS'!A:B,2,FALSE)</f>
        <v>#N/A</v>
      </c>
      <c r="L172" s="128" t="s">
        <v>316</v>
      </c>
      <c r="M172" s="128" t="e">
        <f>VLOOKUP(G172,'BASE PASAJEROS'!A:H,8,FALSE)</f>
        <v>#N/A</v>
      </c>
      <c r="N172" s="128"/>
      <c r="O172" s="128"/>
      <c r="P172" s="128" t="e">
        <f>VLOOKUP(G172,'BASE PASAJEROS'!A:F,6,FALSE)</f>
        <v>#N/A</v>
      </c>
      <c r="Q172" s="128" t="e">
        <f>VLOOKUP(G172,'BASE PASAJEROS'!A:C,3,FALSE)</f>
        <v>#N/A</v>
      </c>
      <c r="R172" s="128" t="e">
        <f>VLOOKUP(G172,'BASE PASAJEROS'!A:G,7,FALSE)</f>
        <v>#N/A</v>
      </c>
      <c r="S172" s="128" t="s">
        <v>305</v>
      </c>
      <c r="T172" s="128" t="s">
        <v>320</v>
      </c>
      <c r="U172" s="130" t="e">
        <f>VLOOKUP(G172,'BASE PASAJEROS'!A:AG,33,FALSE)</f>
        <v>#N/A</v>
      </c>
      <c r="V172" s="130" t="e">
        <f>VLOOKUP(G172,'BASE PASAJEROS'!A:AH,34,FALSE)</f>
        <v>#N/A</v>
      </c>
      <c r="W172" s="121"/>
      <c r="X172" s="165" t="s">
        <v>368</v>
      </c>
      <c r="Y172" s="121" t="s">
        <v>27</v>
      </c>
      <c r="Z172" s="121" t="s">
        <v>328</v>
      </c>
      <c r="AA172" s="128" t="s">
        <v>317</v>
      </c>
      <c r="AB172" s="128" t="e">
        <f>VLOOKUP(AA172,'BASE BANCOS'!$A$2:$D$202,3,FALSE)</f>
        <v>#N/A</v>
      </c>
      <c r="AC172" s="143" t="s">
        <v>369</v>
      </c>
      <c r="AD172" s="129" t="e">
        <f>VLOOKUP(AC172,'BASE CONDUCTORES'!E:G,3,FALSE)</f>
        <v>#N/A</v>
      </c>
      <c r="AE172" s="165"/>
      <c r="AF172" s="146"/>
      <c r="AG172" s="146"/>
      <c r="AH172" s="146"/>
      <c r="AI172" s="146"/>
      <c r="AJ172" s="121"/>
      <c r="AK172" s="121"/>
      <c r="AL172" s="121"/>
      <c r="AM172" s="121"/>
      <c r="AN172" s="121"/>
      <c r="AO172" s="146"/>
      <c r="AP172" s="146"/>
      <c r="AQ172" s="121"/>
      <c r="AR172" s="121"/>
      <c r="AS172" s="121"/>
      <c r="AT172" s="121"/>
      <c r="AU172" s="147"/>
      <c r="AV172" s="148"/>
      <c r="AW172" s="121"/>
      <c r="AX172" s="121"/>
      <c r="AY172" s="121"/>
      <c r="AZ172" s="121"/>
    </row>
    <row r="173" spans="1:52" s="124" customFormat="1" ht="15.75" x14ac:dyDescent="0.25">
      <c r="A173" s="121"/>
      <c r="B173" s="152">
        <v>44318</v>
      </c>
      <c r="C173" s="152">
        <v>44319</v>
      </c>
      <c r="D173" s="128" t="s">
        <v>29</v>
      </c>
      <c r="E173" s="128" t="s">
        <v>33</v>
      </c>
      <c r="F173" s="124">
        <v>1</v>
      </c>
      <c r="G173" s="166" t="s">
        <v>339</v>
      </c>
      <c r="H173" s="121"/>
      <c r="I173" s="121"/>
      <c r="J173" s="137"/>
      <c r="K173" s="128" t="e">
        <f>VLOOKUP(G173,'BASE PASAJEROS'!A:B,2,FALSE)</f>
        <v>#N/A</v>
      </c>
      <c r="L173" s="128" t="s">
        <v>316</v>
      </c>
      <c r="M173" s="128" t="e">
        <f>VLOOKUP(G173,'BASE PASAJEROS'!A:H,8,FALSE)</f>
        <v>#N/A</v>
      </c>
      <c r="N173" s="128"/>
      <c r="O173" s="128"/>
      <c r="P173" s="128" t="e">
        <f>VLOOKUP(G173,'BASE PASAJEROS'!A:F,6,FALSE)</f>
        <v>#N/A</v>
      </c>
      <c r="Q173" s="128" t="e">
        <f>VLOOKUP(G173,'BASE PASAJEROS'!A:C,3,FALSE)</f>
        <v>#N/A</v>
      </c>
      <c r="R173" s="128" t="e">
        <f>VLOOKUP(G173,'BASE PASAJEROS'!A:G,7,FALSE)</f>
        <v>#N/A</v>
      </c>
      <c r="S173" s="128" t="s">
        <v>305</v>
      </c>
      <c r="T173" s="128" t="s">
        <v>320</v>
      </c>
      <c r="U173" s="130" t="e">
        <f>VLOOKUP(G173,'BASE PASAJEROS'!A:AG,33,FALSE)</f>
        <v>#N/A</v>
      </c>
      <c r="V173" s="130" t="e">
        <f>VLOOKUP(G173,'BASE PASAJEROS'!A:AH,34,FALSE)</f>
        <v>#N/A</v>
      </c>
      <c r="W173" s="121"/>
      <c r="X173" s="165" t="s">
        <v>368</v>
      </c>
      <c r="Y173" s="121" t="s">
        <v>27</v>
      </c>
      <c r="Z173" s="121" t="s">
        <v>328</v>
      </c>
      <c r="AA173" s="128" t="s">
        <v>317</v>
      </c>
      <c r="AB173" s="128" t="e">
        <f>VLOOKUP(AA173,'BASE BANCOS'!$A$2:$D$202,3,FALSE)</f>
        <v>#N/A</v>
      </c>
      <c r="AC173" s="143" t="s">
        <v>369</v>
      </c>
      <c r="AD173" s="129" t="e">
        <f>VLOOKUP(AC173,'BASE CONDUCTORES'!E:G,3,FALSE)</f>
        <v>#N/A</v>
      </c>
      <c r="AE173" s="165"/>
      <c r="AF173" s="146"/>
      <c r="AG173" s="146"/>
      <c r="AH173" s="146"/>
      <c r="AI173" s="146"/>
      <c r="AJ173" s="121"/>
      <c r="AK173" s="121"/>
      <c r="AL173" s="121"/>
      <c r="AM173" s="121"/>
      <c r="AN173" s="121"/>
      <c r="AO173" s="146"/>
      <c r="AP173" s="146"/>
      <c r="AQ173" s="121"/>
      <c r="AR173" s="121"/>
      <c r="AS173" s="121"/>
      <c r="AT173" s="121"/>
      <c r="AU173" s="147"/>
      <c r="AV173" s="148"/>
      <c r="AW173" s="121"/>
      <c r="AX173" s="121"/>
      <c r="AY173" s="121"/>
      <c r="AZ173" s="121"/>
    </row>
    <row r="174" spans="1:52" s="124" customFormat="1" ht="15.75" x14ac:dyDescent="0.25">
      <c r="A174" s="121"/>
      <c r="B174" s="152">
        <v>44318</v>
      </c>
      <c r="C174" s="152">
        <v>44319</v>
      </c>
      <c r="D174" s="128" t="s">
        <v>29</v>
      </c>
      <c r="E174" s="128" t="s">
        <v>33</v>
      </c>
      <c r="F174" s="124">
        <v>1</v>
      </c>
      <c r="G174" s="167" t="s">
        <v>340</v>
      </c>
      <c r="H174" s="121"/>
      <c r="I174" s="121"/>
      <c r="J174" s="137"/>
      <c r="K174" s="128" t="e">
        <f>VLOOKUP(G174,'BASE PASAJEROS'!A:B,2,FALSE)</f>
        <v>#N/A</v>
      </c>
      <c r="L174" s="128" t="s">
        <v>316</v>
      </c>
      <c r="M174" s="128" t="e">
        <f>VLOOKUP(G174,'BASE PASAJEROS'!A:H,8,FALSE)</f>
        <v>#N/A</v>
      </c>
      <c r="N174" s="128"/>
      <c r="O174" s="128"/>
      <c r="P174" s="128" t="e">
        <f>VLOOKUP(G174,'BASE PASAJEROS'!A:F,6,FALSE)</f>
        <v>#N/A</v>
      </c>
      <c r="Q174" s="128" t="e">
        <f>VLOOKUP(G174,'BASE PASAJEROS'!A:C,3,FALSE)</f>
        <v>#N/A</v>
      </c>
      <c r="R174" s="128" t="e">
        <f>VLOOKUP(G174,'BASE PASAJEROS'!A:G,7,FALSE)</f>
        <v>#N/A</v>
      </c>
      <c r="S174" s="128" t="s">
        <v>305</v>
      </c>
      <c r="T174" s="128" t="s">
        <v>320</v>
      </c>
      <c r="U174" s="130" t="e">
        <f>VLOOKUP(G174,'BASE PASAJEROS'!A:AG,33,FALSE)</f>
        <v>#N/A</v>
      </c>
      <c r="V174" s="130" t="e">
        <f>VLOOKUP(G174,'BASE PASAJEROS'!A:AH,34,FALSE)</f>
        <v>#N/A</v>
      </c>
      <c r="W174" s="121"/>
      <c r="X174" s="165" t="s">
        <v>368</v>
      </c>
      <c r="Y174" s="121" t="s">
        <v>27</v>
      </c>
      <c r="Z174" s="121" t="s">
        <v>328</v>
      </c>
      <c r="AA174" s="128" t="s">
        <v>317</v>
      </c>
      <c r="AB174" s="128" t="e">
        <f>VLOOKUP(AA174,'BASE BANCOS'!$A$2:$D$202,3,FALSE)</f>
        <v>#N/A</v>
      </c>
      <c r="AC174" s="79" t="s">
        <v>405</v>
      </c>
      <c r="AD174" s="129" t="e">
        <f>VLOOKUP(AC174,'BASE CONDUCTORES'!E:G,3,FALSE)</f>
        <v>#N/A</v>
      </c>
      <c r="AE174" s="165"/>
      <c r="AF174" s="146"/>
      <c r="AG174" s="146"/>
      <c r="AH174" s="146"/>
      <c r="AI174" s="146"/>
      <c r="AJ174" s="121"/>
      <c r="AK174" s="121"/>
      <c r="AL174" s="121"/>
      <c r="AM174" s="121"/>
      <c r="AN174" s="121"/>
      <c r="AO174" s="146"/>
      <c r="AP174" s="146"/>
      <c r="AQ174" s="121"/>
      <c r="AR174" s="121"/>
      <c r="AS174" s="121"/>
      <c r="AT174" s="121"/>
      <c r="AU174" s="147"/>
      <c r="AV174" s="148"/>
      <c r="AW174" s="121"/>
      <c r="AX174" s="121"/>
      <c r="AY174" s="121"/>
      <c r="AZ174" s="121"/>
    </row>
    <row r="175" spans="1:52" s="124" customFormat="1" ht="15.75" x14ac:dyDescent="0.25">
      <c r="A175" s="121"/>
      <c r="B175" s="152">
        <v>44318</v>
      </c>
      <c r="C175" s="152">
        <v>44319</v>
      </c>
      <c r="D175" s="128" t="s">
        <v>29</v>
      </c>
      <c r="E175" s="128" t="s">
        <v>33</v>
      </c>
      <c r="F175" s="124">
        <v>1</v>
      </c>
      <c r="G175" s="166" t="s">
        <v>341</v>
      </c>
      <c r="H175" s="121"/>
      <c r="I175" s="121"/>
      <c r="J175" s="137"/>
      <c r="K175" s="128" t="e">
        <f>VLOOKUP(G175,'BASE PASAJEROS'!A:B,2,FALSE)</f>
        <v>#N/A</v>
      </c>
      <c r="L175" s="128" t="s">
        <v>316</v>
      </c>
      <c r="M175" s="128" t="e">
        <f>VLOOKUP(G175,'BASE PASAJEROS'!A:H,8,FALSE)</f>
        <v>#N/A</v>
      </c>
      <c r="N175" s="128"/>
      <c r="O175" s="128"/>
      <c r="P175" s="128" t="e">
        <f>VLOOKUP(G175,'BASE PASAJEROS'!A:F,6,FALSE)</f>
        <v>#N/A</v>
      </c>
      <c r="Q175" s="128" t="e">
        <f>VLOOKUP(G175,'BASE PASAJEROS'!A:C,3,FALSE)</f>
        <v>#N/A</v>
      </c>
      <c r="R175" s="128" t="e">
        <f>VLOOKUP(G175,'BASE PASAJEROS'!A:G,7,FALSE)</f>
        <v>#N/A</v>
      </c>
      <c r="S175" s="128" t="s">
        <v>305</v>
      </c>
      <c r="T175" s="128" t="s">
        <v>320</v>
      </c>
      <c r="U175" s="130" t="e">
        <f>VLOOKUP(G175,'BASE PASAJEROS'!A:AG,33,FALSE)</f>
        <v>#N/A</v>
      </c>
      <c r="V175" s="130" t="e">
        <f>VLOOKUP(G175,'BASE PASAJEROS'!A:AH,34,FALSE)</f>
        <v>#N/A</v>
      </c>
      <c r="W175" s="121"/>
      <c r="X175" s="165" t="s">
        <v>368</v>
      </c>
      <c r="Y175" s="121" t="s">
        <v>27</v>
      </c>
      <c r="Z175" s="121" t="s">
        <v>328</v>
      </c>
      <c r="AA175" s="128" t="s">
        <v>317</v>
      </c>
      <c r="AB175" s="128" t="e">
        <f>VLOOKUP(AA175,'BASE BANCOS'!$A$2:$D$202,3,FALSE)</f>
        <v>#N/A</v>
      </c>
      <c r="AC175" s="143" t="s">
        <v>369</v>
      </c>
      <c r="AD175" s="129" t="e">
        <f>VLOOKUP(AC175,'BASE CONDUCTORES'!E:G,3,FALSE)</f>
        <v>#N/A</v>
      </c>
      <c r="AE175" s="165"/>
      <c r="AF175" s="146"/>
      <c r="AG175" s="146"/>
      <c r="AH175" s="146"/>
      <c r="AI175" s="146"/>
      <c r="AJ175" s="121"/>
      <c r="AK175" s="121"/>
      <c r="AL175" s="121"/>
      <c r="AM175" s="121"/>
      <c r="AN175" s="121"/>
      <c r="AO175" s="146"/>
      <c r="AP175" s="146"/>
      <c r="AQ175" s="121"/>
      <c r="AR175" s="121"/>
      <c r="AS175" s="121"/>
      <c r="AT175" s="121"/>
      <c r="AU175" s="147"/>
      <c r="AV175" s="148"/>
      <c r="AW175" s="121"/>
      <c r="AX175" s="121"/>
      <c r="AY175" s="121"/>
      <c r="AZ175" s="121"/>
    </row>
    <row r="176" spans="1:52" s="124" customFormat="1" ht="15.75" x14ac:dyDescent="0.25">
      <c r="A176" s="121"/>
      <c r="B176" s="152">
        <v>44318</v>
      </c>
      <c r="C176" s="152">
        <v>44319</v>
      </c>
      <c r="D176" s="128" t="s">
        <v>29</v>
      </c>
      <c r="E176" s="128" t="s">
        <v>33</v>
      </c>
      <c r="F176" s="124">
        <v>1</v>
      </c>
      <c r="G176" s="166" t="s">
        <v>342</v>
      </c>
      <c r="H176" s="121"/>
      <c r="I176" s="121"/>
      <c r="J176" s="137"/>
      <c r="K176" s="128" t="e">
        <f>VLOOKUP(G176,'BASE PASAJEROS'!A:B,2,FALSE)</f>
        <v>#N/A</v>
      </c>
      <c r="L176" s="128" t="s">
        <v>316</v>
      </c>
      <c r="M176" s="128" t="e">
        <f>VLOOKUP(G176,'BASE PASAJEROS'!A:H,8,FALSE)</f>
        <v>#N/A</v>
      </c>
      <c r="N176" s="128"/>
      <c r="O176" s="128"/>
      <c r="P176" s="128" t="e">
        <f>VLOOKUP(G176,'BASE PASAJEROS'!A:F,6,FALSE)</f>
        <v>#N/A</v>
      </c>
      <c r="Q176" s="128" t="e">
        <f>VLOOKUP(G176,'BASE PASAJEROS'!A:C,3,FALSE)</f>
        <v>#N/A</v>
      </c>
      <c r="R176" s="128" t="e">
        <f>VLOOKUP(G176,'BASE PASAJEROS'!A:G,7,FALSE)</f>
        <v>#N/A</v>
      </c>
      <c r="S176" s="128" t="s">
        <v>305</v>
      </c>
      <c r="T176" s="128" t="s">
        <v>320</v>
      </c>
      <c r="U176" s="130" t="e">
        <f>VLOOKUP(G176,'BASE PASAJEROS'!A:AG,33,FALSE)</f>
        <v>#N/A</v>
      </c>
      <c r="V176" s="130" t="e">
        <f>VLOOKUP(G176,'BASE PASAJEROS'!A:AH,34,FALSE)</f>
        <v>#N/A</v>
      </c>
      <c r="W176" s="121"/>
      <c r="X176" s="165" t="s">
        <v>368</v>
      </c>
      <c r="Y176" s="121" t="s">
        <v>27</v>
      </c>
      <c r="Z176" s="121" t="s">
        <v>328</v>
      </c>
      <c r="AA176" s="128" t="s">
        <v>317</v>
      </c>
      <c r="AB176" s="128" t="e">
        <f>VLOOKUP(AA176,'BASE BANCOS'!$A$2:$D$202,3,FALSE)</f>
        <v>#N/A</v>
      </c>
      <c r="AC176" s="143" t="s">
        <v>369</v>
      </c>
      <c r="AD176" s="129" t="e">
        <f>VLOOKUP(AC176,'BASE CONDUCTORES'!E:G,3,FALSE)</f>
        <v>#N/A</v>
      </c>
      <c r="AE176" s="165"/>
      <c r="AF176" s="146"/>
      <c r="AG176" s="146"/>
      <c r="AH176" s="146"/>
      <c r="AI176" s="146"/>
      <c r="AJ176" s="121"/>
      <c r="AK176" s="121"/>
      <c r="AL176" s="121"/>
      <c r="AM176" s="121"/>
      <c r="AN176" s="121"/>
      <c r="AO176" s="146"/>
      <c r="AP176" s="146"/>
      <c r="AQ176" s="121"/>
      <c r="AR176" s="121"/>
      <c r="AS176" s="121"/>
      <c r="AT176" s="121"/>
      <c r="AU176" s="147"/>
      <c r="AV176" s="148"/>
      <c r="AW176" s="121"/>
      <c r="AX176" s="121"/>
      <c r="AY176" s="121"/>
      <c r="AZ176" s="121"/>
    </row>
    <row r="177" spans="1:52" s="124" customFormat="1" ht="15.75" x14ac:dyDescent="0.25">
      <c r="A177" s="121"/>
      <c r="B177" s="152">
        <v>44318</v>
      </c>
      <c r="C177" s="152">
        <v>44319</v>
      </c>
      <c r="D177" s="128" t="s">
        <v>29</v>
      </c>
      <c r="E177" s="128" t="s">
        <v>33</v>
      </c>
      <c r="F177" s="124">
        <v>1</v>
      </c>
      <c r="G177" s="166" t="s">
        <v>343</v>
      </c>
      <c r="H177" s="121"/>
      <c r="I177" s="121"/>
      <c r="J177" s="137"/>
      <c r="K177" s="128" t="e">
        <f>VLOOKUP(G177,'BASE PASAJEROS'!A:B,2,FALSE)</f>
        <v>#N/A</v>
      </c>
      <c r="L177" s="128" t="s">
        <v>316</v>
      </c>
      <c r="M177" s="128" t="e">
        <f>VLOOKUP(G177,'BASE PASAJEROS'!A:H,8,FALSE)</f>
        <v>#N/A</v>
      </c>
      <c r="N177" s="128"/>
      <c r="O177" s="128"/>
      <c r="P177" s="128" t="e">
        <f>VLOOKUP(G177,'BASE PASAJEROS'!A:F,6,FALSE)</f>
        <v>#N/A</v>
      </c>
      <c r="Q177" s="128" t="e">
        <f>VLOOKUP(G177,'BASE PASAJEROS'!A:C,3,FALSE)</f>
        <v>#N/A</v>
      </c>
      <c r="R177" s="128" t="e">
        <f>VLOOKUP(G177,'BASE PASAJEROS'!A:G,7,FALSE)</f>
        <v>#N/A</v>
      </c>
      <c r="S177" s="128" t="s">
        <v>305</v>
      </c>
      <c r="T177" s="128" t="s">
        <v>320</v>
      </c>
      <c r="U177" s="130" t="e">
        <f>VLOOKUP(G177,'BASE PASAJEROS'!A:AG,33,FALSE)</f>
        <v>#N/A</v>
      </c>
      <c r="V177" s="130" t="e">
        <f>VLOOKUP(G177,'BASE PASAJEROS'!A:AH,34,FALSE)</f>
        <v>#N/A</v>
      </c>
      <c r="W177" s="121"/>
      <c r="X177" s="165" t="s">
        <v>368</v>
      </c>
      <c r="Y177" s="121" t="s">
        <v>27</v>
      </c>
      <c r="Z177" s="121" t="s">
        <v>328</v>
      </c>
      <c r="AA177" s="128" t="s">
        <v>317</v>
      </c>
      <c r="AB177" s="128" t="e">
        <f>VLOOKUP(AA177,'BASE BANCOS'!$A$2:$D$202,3,FALSE)</f>
        <v>#N/A</v>
      </c>
      <c r="AC177" s="143" t="s">
        <v>369</v>
      </c>
      <c r="AD177" s="129" t="e">
        <f>VLOOKUP(AC177,'BASE CONDUCTORES'!E:G,3,FALSE)</f>
        <v>#N/A</v>
      </c>
      <c r="AE177" s="165"/>
      <c r="AF177" s="146"/>
      <c r="AG177" s="146"/>
      <c r="AH177" s="146"/>
      <c r="AI177" s="146"/>
      <c r="AJ177" s="121"/>
      <c r="AK177" s="121"/>
      <c r="AL177" s="121"/>
      <c r="AM177" s="121"/>
      <c r="AN177" s="121"/>
      <c r="AO177" s="146"/>
      <c r="AP177" s="146"/>
      <c r="AQ177" s="121"/>
      <c r="AR177" s="121"/>
      <c r="AS177" s="121"/>
      <c r="AT177" s="121"/>
      <c r="AU177" s="147"/>
      <c r="AV177" s="148"/>
      <c r="AW177" s="121"/>
      <c r="AX177" s="121"/>
      <c r="AY177" s="121"/>
      <c r="AZ177" s="121"/>
    </row>
    <row r="178" spans="1:52" s="124" customFormat="1" ht="15.75" x14ac:dyDescent="0.25">
      <c r="A178" s="121"/>
      <c r="B178" s="152">
        <v>44318</v>
      </c>
      <c r="C178" s="152">
        <v>44319</v>
      </c>
      <c r="D178" s="128" t="s">
        <v>29</v>
      </c>
      <c r="E178" s="128" t="s">
        <v>33</v>
      </c>
      <c r="F178" s="124">
        <v>1</v>
      </c>
      <c r="G178" s="167" t="s">
        <v>344</v>
      </c>
      <c r="H178" s="121"/>
      <c r="I178" s="121"/>
      <c r="J178" s="137"/>
      <c r="K178" s="128" t="e">
        <f>VLOOKUP(G178,'BASE PASAJEROS'!A:B,2,FALSE)</f>
        <v>#N/A</v>
      </c>
      <c r="L178" s="128" t="s">
        <v>316</v>
      </c>
      <c r="M178" s="128" t="e">
        <f>VLOOKUP(G178,'BASE PASAJEROS'!A:H,8,FALSE)</f>
        <v>#N/A</v>
      </c>
      <c r="N178" s="128"/>
      <c r="O178" s="128"/>
      <c r="P178" s="128" t="e">
        <f>VLOOKUP(G178,'BASE PASAJEROS'!A:F,6,FALSE)</f>
        <v>#N/A</v>
      </c>
      <c r="Q178" s="128" t="e">
        <f>VLOOKUP(G178,'BASE PASAJEROS'!A:C,3,FALSE)</f>
        <v>#N/A</v>
      </c>
      <c r="R178" s="128" t="e">
        <f>VLOOKUP(G178,'BASE PASAJEROS'!A:G,7,FALSE)</f>
        <v>#N/A</v>
      </c>
      <c r="S178" s="128" t="s">
        <v>305</v>
      </c>
      <c r="T178" s="128" t="s">
        <v>320</v>
      </c>
      <c r="U178" s="130" t="e">
        <f>VLOOKUP(G178,'BASE PASAJEROS'!A:AG,33,FALSE)</f>
        <v>#N/A</v>
      </c>
      <c r="V178" s="130" t="e">
        <f>VLOOKUP(G178,'BASE PASAJEROS'!A:AH,34,FALSE)</f>
        <v>#N/A</v>
      </c>
      <c r="W178" s="121"/>
      <c r="X178" s="165" t="s">
        <v>368</v>
      </c>
      <c r="Y178" s="121" t="s">
        <v>27</v>
      </c>
      <c r="Z178" s="121" t="s">
        <v>328</v>
      </c>
      <c r="AA178" s="128" t="s">
        <v>317</v>
      </c>
      <c r="AB178" s="128" t="e">
        <f>VLOOKUP(AA178,'BASE BANCOS'!$A$2:$D$202,3,FALSE)</f>
        <v>#N/A</v>
      </c>
      <c r="AC178" s="79" t="s">
        <v>405</v>
      </c>
      <c r="AD178" s="129" t="e">
        <f>VLOOKUP(AC178,'BASE CONDUCTORES'!E:G,3,FALSE)</f>
        <v>#N/A</v>
      </c>
      <c r="AE178" s="165"/>
      <c r="AF178" s="146"/>
      <c r="AG178" s="146"/>
      <c r="AH178" s="146"/>
      <c r="AI178" s="146"/>
      <c r="AJ178" s="121"/>
      <c r="AK178" s="121"/>
      <c r="AL178" s="121"/>
      <c r="AM178" s="121"/>
      <c r="AN178" s="121"/>
      <c r="AO178" s="146"/>
      <c r="AP178" s="146"/>
      <c r="AQ178" s="121"/>
      <c r="AR178" s="121"/>
      <c r="AS178" s="121"/>
      <c r="AT178" s="121"/>
      <c r="AU178" s="147"/>
      <c r="AV178" s="148"/>
      <c r="AW178" s="121"/>
      <c r="AX178" s="121"/>
      <c r="AY178" s="121"/>
      <c r="AZ178" s="121"/>
    </row>
    <row r="179" spans="1:52" x14ac:dyDescent="0.25">
      <c r="B179" s="95">
        <v>44318</v>
      </c>
      <c r="C179" s="95">
        <v>44319</v>
      </c>
      <c r="D179" s="128" t="s">
        <v>29</v>
      </c>
      <c r="E179" s="128" t="s">
        <v>33</v>
      </c>
      <c r="F179" s="124">
        <v>1</v>
      </c>
      <c r="G179" s="155" t="s">
        <v>345</v>
      </c>
      <c r="K179" s="128" t="e">
        <f>VLOOKUP(G179,'BASE PASAJEROS'!A:B,2,FALSE)</f>
        <v>#N/A</v>
      </c>
      <c r="L179" s="128" t="s">
        <v>316</v>
      </c>
      <c r="M179" s="128" t="e">
        <f>VLOOKUP(G179,'BASE PASAJEROS'!A:H,8,FALSE)</f>
        <v>#N/A</v>
      </c>
      <c r="N179" s="128"/>
      <c r="O179" s="128"/>
      <c r="P179" s="128" t="e">
        <f>VLOOKUP(G179,'BASE PASAJEROS'!A:F,6,FALSE)</f>
        <v>#N/A</v>
      </c>
      <c r="Q179" s="128" t="e">
        <f>VLOOKUP(G179,'BASE PASAJEROS'!A:C,3,FALSE)</f>
        <v>#N/A</v>
      </c>
      <c r="R179" s="128" t="e">
        <f>VLOOKUP(G179,'BASE PASAJEROS'!A:G,7,FALSE)</f>
        <v>#N/A</v>
      </c>
      <c r="S179" s="128" t="s">
        <v>305</v>
      </c>
      <c r="T179" s="128" t="s">
        <v>320</v>
      </c>
      <c r="U179" s="130" t="e">
        <f>VLOOKUP(G179,'BASE PASAJEROS'!A:AG,33,FALSE)</f>
        <v>#N/A</v>
      </c>
      <c r="V179" s="130" t="e">
        <f>VLOOKUP(G179,'BASE PASAJEROS'!A:AH,34,FALSE)</f>
        <v>#N/A</v>
      </c>
      <c r="X179" s="24" t="s">
        <v>368</v>
      </c>
      <c r="Y179" s="79" t="s">
        <v>374</v>
      </c>
      <c r="Z179" s="79" t="s">
        <v>328</v>
      </c>
      <c r="AA179" s="128" t="s">
        <v>325</v>
      </c>
      <c r="AB179" s="128" t="e">
        <f>VLOOKUP(AA179,'BASE BANCOS'!$A$2:$D$202,3,FALSE)</f>
        <v>#N/A</v>
      </c>
      <c r="AC179" s="128" t="s">
        <v>326</v>
      </c>
      <c r="AD179" s="129" t="e">
        <f>VLOOKUP(AC179,'BASE CONDUCTORES'!E:G,3,FALSE)</f>
        <v>#N/A</v>
      </c>
      <c r="AK179" s="79" t="s">
        <v>416</v>
      </c>
    </row>
    <row r="180" spans="1:52" x14ac:dyDescent="0.25">
      <c r="B180" s="95">
        <v>44318</v>
      </c>
      <c r="C180" s="95">
        <v>44319</v>
      </c>
      <c r="D180" s="128" t="s">
        <v>29</v>
      </c>
      <c r="E180" s="128" t="s">
        <v>33</v>
      </c>
      <c r="F180" s="124">
        <v>1</v>
      </c>
      <c r="G180" s="155" t="s">
        <v>346</v>
      </c>
      <c r="K180" s="128" t="e">
        <f>VLOOKUP(G180,'BASE PASAJEROS'!A:B,2,FALSE)</f>
        <v>#N/A</v>
      </c>
      <c r="L180" s="128" t="s">
        <v>316</v>
      </c>
      <c r="M180" s="128" t="e">
        <f>VLOOKUP(G180,'BASE PASAJEROS'!A:H,8,FALSE)</f>
        <v>#N/A</v>
      </c>
      <c r="N180" s="128"/>
      <c r="O180" s="128"/>
      <c r="P180" s="128" t="e">
        <f>VLOOKUP(G180,'BASE PASAJEROS'!A:F,6,FALSE)</f>
        <v>#N/A</v>
      </c>
      <c r="Q180" s="128" t="e">
        <f>VLOOKUP(G180,'BASE PASAJEROS'!A:C,3,FALSE)</f>
        <v>#N/A</v>
      </c>
      <c r="R180" s="128" t="e">
        <f>VLOOKUP(G180,'BASE PASAJEROS'!A:G,7,FALSE)</f>
        <v>#N/A</v>
      </c>
      <c r="S180" s="128" t="s">
        <v>305</v>
      </c>
      <c r="T180" s="128" t="s">
        <v>320</v>
      </c>
      <c r="U180" s="130" t="e">
        <f>VLOOKUP(G180,'BASE PASAJEROS'!A:AG,33,FALSE)</f>
        <v>#N/A</v>
      </c>
      <c r="V180" s="130" t="e">
        <f>VLOOKUP(G180,'BASE PASAJEROS'!A:AH,34,FALSE)</f>
        <v>#N/A</v>
      </c>
      <c r="X180" s="24" t="s">
        <v>368</v>
      </c>
      <c r="Y180" s="79" t="s">
        <v>374</v>
      </c>
      <c r="Z180" s="79" t="s">
        <v>328</v>
      </c>
      <c r="AA180" s="128" t="s">
        <v>325</v>
      </c>
      <c r="AB180" s="128" t="e">
        <f>VLOOKUP(AA180,'BASE BANCOS'!$A$2:$D$202,3,FALSE)</f>
        <v>#N/A</v>
      </c>
      <c r="AC180" s="128" t="s">
        <v>326</v>
      </c>
      <c r="AD180" s="129" t="e">
        <f>VLOOKUP(AC180,'BASE CONDUCTORES'!E:G,3,FALSE)</f>
        <v>#N/A</v>
      </c>
      <c r="AK180" s="79" t="s">
        <v>416</v>
      </c>
    </row>
    <row r="181" spans="1:52" s="124" customFormat="1" ht="15.75" x14ac:dyDescent="0.25">
      <c r="A181" s="121"/>
      <c r="B181" s="152">
        <v>44318</v>
      </c>
      <c r="C181" s="152">
        <v>44319</v>
      </c>
      <c r="D181" s="128" t="s">
        <v>29</v>
      </c>
      <c r="E181" s="128" t="s">
        <v>33</v>
      </c>
      <c r="F181" s="124">
        <v>1</v>
      </c>
      <c r="G181" s="166" t="s">
        <v>347</v>
      </c>
      <c r="H181" s="121"/>
      <c r="I181" s="121"/>
      <c r="J181" s="137"/>
      <c r="K181" s="128" t="e">
        <f>VLOOKUP(G181,'BASE PASAJEROS'!A:B,2,FALSE)</f>
        <v>#N/A</v>
      </c>
      <c r="L181" s="128" t="s">
        <v>316</v>
      </c>
      <c r="M181" s="128" t="e">
        <f>VLOOKUP(G181,'BASE PASAJEROS'!A:H,8,FALSE)</f>
        <v>#N/A</v>
      </c>
      <c r="N181" s="128"/>
      <c r="O181" s="128"/>
      <c r="P181" s="128" t="e">
        <f>VLOOKUP(G181,'BASE PASAJEROS'!A:F,6,FALSE)</f>
        <v>#N/A</v>
      </c>
      <c r="Q181" s="128" t="e">
        <f>VLOOKUP(G181,'BASE PASAJEROS'!A:C,3,FALSE)</f>
        <v>#N/A</v>
      </c>
      <c r="R181" s="128" t="e">
        <f>VLOOKUP(G181,'BASE PASAJEROS'!A:G,7,FALSE)</f>
        <v>#N/A</v>
      </c>
      <c r="S181" s="128" t="s">
        <v>305</v>
      </c>
      <c r="T181" s="128" t="s">
        <v>320</v>
      </c>
      <c r="U181" s="130" t="e">
        <f>VLOOKUP(G181,'BASE PASAJEROS'!A:AG,33,FALSE)</f>
        <v>#N/A</v>
      </c>
      <c r="V181" s="130" t="e">
        <f>VLOOKUP(G181,'BASE PASAJEROS'!A:AH,34,FALSE)</f>
        <v>#N/A</v>
      </c>
      <c r="W181" s="121"/>
      <c r="X181" s="165" t="s">
        <v>368</v>
      </c>
      <c r="Y181" s="121" t="s">
        <v>27</v>
      </c>
      <c r="Z181" s="121" t="s">
        <v>328</v>
      </c>
      <c r="AA181" s="128" t="s">
        <v>317</v>
      </c>
      <c r="AB181" s="128" t="e">
        <f>VLOOKUP(AA181,'BASE BANCOS'!$A$2:$D$202,3,FALSE)</f>
        <v>#N/A</v>
      </c>
      <c r="AC181" s="143" t="s">
        <v>369</v>
      </c>
      <c r="AD181" s="129" t="e">
        <f>VLOOKUP(AC181,'BASE CONDUCTORES'!E:G,3,FALSE)</f>
        <v>#N/A</v>
      </c>
      <c r="AE181" s="165"/>
      <c r="AF181" s="146"/>
      <c r="AG181" s="146"/>
      <c r="AH181" s="146"/>
      <c r="AI181" s="146"/>
      <c r="AJ181" s="121"/>
      <c r="AK181" s="121"/>
      <c r="AL181" s="121"/>
      <c r="AM181" s="121"/>
      <c r="AN181" s="121"/>
      <c r="AO181" s="146"/>
      <c r="AP181" s="146"/>
      <c r="AQ181" s="121"/>
      <c r="AR181" s="121"/>
      <c r="AS181" s="121"/>
      <c r="AT181" s="121"/>
      <c r="AU181" s="147"/>
      <c r="AV181" s="148"/>
      <c r="AW181" s="121"/>
      <c r="AX181" s="121"/>
      <c r="AY181" s="121"/>
      <c r="AZ181" s="121"/>
    </row>
    <row r="182" spans="1:52" s="124" customFormat="1" ht="15.75" x14ac:dyDescent="0.25">
      <c r="A182" s="121"/>
      <c r="B182" s="152">
        <v>44318</v>
      </c>
      <c r="C182" s="152">
        <v>44319</v>
      </c>
      <c r="D182" s="128" t="s">
        <v>29</v>
      </c>
      <c r="E182" s="128" t="s">
        <v>33</v>
      </c>
      <c r="F182" s="124">
        <v>1</v>
      </c>
      <c r="G182" s="167" t="s">
        <v>348</v>
      </c>
      <c r="H182" s="121"/>
      <c r="I182" s="121"/>
      <c r="J182" s="137"/>
      <c r="K182" s="128" t="e">
        <f>VLOOKUP(G182,'BASE PASAJEROS'!A:B,2,FALSE)</f>
        <v>#N/A</v>
      </c>
      <c r="L182" s="128" t="s">
        <v>316</v>
      </c>
      <c r="M182" s="128" t="e">
        <f>VLOOKUP(G182,'BASE PASAJEROS'!A:H,8,FALSE)</f>
        <v>#N/A</v>
      </c>
      <c r="N182" s="128"/>
      <c r="O182" s="128"/>
      <c r="P182" s="128" t="e">
        <f>VLOOKUP(G182,'BASE PASAJEROS'!A:F,6,FALSE)</f>
        <v>#N/A</v>
      </c>
      <c r="Q182" s="128" t="e">
        <f>VLOOKUP(G182,'BASE PASAJEROS'!A:C,3,FALSE)</f>
        <v>#N/A</v>
      </c>
      <c r="R182" s="128" t="e">
        <f>VLOOKUP(G182,'BASE PASAJEROS'!A:G,7,FALSE)</f>
        <v>#N/A</v>
      </c>
      <c r="S182" s="128" t="s">
        <v>305</v>
      </c>
      <c r="T182" s="128" t="s">
        <v>320</v>
      </c>
      <c r="U182" s="130" t="e">
        <f>VLOOKUP(G182,'BASE PASAJEROS'!A:AG,33,FALSE)</f>
        <v>#N/A</v>
      </c>
      <c r="V182" s="130" t="e">
        <f>VLOOKUP(G182,'BASE PASAJEROS'!A:AH,34,FALSE)</f>
        <v>#N/A</v>
      </c>
      <c r="W182" s="121"/>
      <c r="X182" s="165" t="s">
        <v>368</v>
      </c>
      <c r="Y182" s="121" t="s">
        <v>27</v>
      </c>
      <c r="Z182" s="121" t="s">
        <v>328</v>
      </c>
      <c r="AA182" s="128" t="s">
        <v>317</v>
      </c>
      <c r="AB182" s="128" t="e">
        <f>VLOOKUP(AA182,'BASE BANCOS'!$A$2:$D$202,3,FALSE)</f>
        <v>#N/A</v>
      </c>
      <c r="AC182" s="79" t="s">
        <v>405</v>
      </c>
      <c r="AD182" s="129" t="e">
        <f>VLOOKUP(AC182,'BASE CONDUCTORES'!E:G,3,FALSE)</f>
        <v>#N/A</v>
      </c>
      <c r="AE182" s="165"/>
      <c r="AF182" s="146"/>
      <c r="AG182" s="146"/>
      <c r="AH182" s="146"/>
      <c r="AI182" s="146"/>
      <c r="AJ182" s="121"/>
      <c r="AK182" s="121"/>
      <c r="AL182" s="121"/>
      <c r="AM182" s="121"/>
      <c r="AN182" s="121"/>
      <c r="AO182" s="146"/>
      <c r="AP182" s="146"/>
      <c r="AQ182" s="121"/>
      <c r="AR182" s="121"/>
      <c r="AS182" s="121"/>
      <c r="AT182" s="121"/>
      <c r="AU182" s="147"/>
      <c r="AV182" s="148"/>
      <c r="AW182" s="121"/>
      <c r="AX182" s="121"/>
      <c r="AY182" s="121"/>
      <c r="AZ182" s="121"/>
    </row>
    <row r="183" spans="1:52" s="124" customFormat="1" ht="15.75" x14ac:dyDescent="0.25">
      <c r="A183" s="121"/>
      <c r="B183" s="152">
        <v>44318</v>
      </c>
      <c r="C183" s="152">
        <v>44319</v>
      </c>
      <c r="D183" s="128" t="s">
        <v>29</v>
      </c>
      <c r="E183" s="128" t="s">
        <v>33</v>
      </c>
      <c r="F183" s="124">
        <v>1</v>
      </c>
      <c r="G183" s="166" t="s">
        <v>349</v>
      </c>
      <c r="H183" s="121"/>
      <c r="I183" s="121"/>
      <c r="J183" s="137"/>
      <c r="K183" s="128" t="e">
        <f>VLOOKUP(G183,'BASE PASAJEROS'!A:B,2,FALSE)</f>
        <v>#N/A</v>
      </c>
      <c r="L183" s="128" t="s">
        <v>316</v>
      </c>
      <c r="M183" s="128" t="e">
        <f>VLOOKUP(G183,'BASE PASAJEROS'!A:H,8,FALSE)</f>
        <v>#N/A</v>
      </c>
      <c r="N183" s="128"/>
      <c r="O183" s="128"/>
      <c r="P183" s="128" t="e">
        <f>VLOOKUP(G183,'BASE PASAJEROS'!A:F,6,FALSE)</f>
        <v>#N/A</v>
      </c>
      <c r="Q183" s="128" t="e">
        <f>VLOOKUP(G183,'BASE PASAJEROS'!A:C,3,FALSE)</f>
        <v>#N/A</v>
      </c>
      <c r="R183" s="128" t="e">
        <f>VLOOKUP(G183,'BASE PASAJEROS'!A:G,7,FALSE)</f>
        <v>#N/A</v>
      </c>
      <c r="S183" s="128" t="s">
        <v>305</v>
      </c>
      <c r="T183" s="128" t="s">
        <v>320</v>
      </c>
      <c r="U183" s="130" t="e">
        <f>VLOOKUP(G183,'BASE PASAJEROS'!A:AG,33,FALSE)</f>
        <v>#N/A</v>
      </c>
      <c r="V183" s="130" t="e">
        <f>VLOOKUP(G183,'BASE PASAJEROS'!A:AH,34,FALSE)</f>
        <v>#N/A</v>
      </c>
      <c r="W183" s="121"/>
      <c r="X183" s="165" t="s">
        <v>368</v>
      </c>
      <c r="Y183" s="121" t="s">
        <v>27</v>
      </c>
      <c r="Z183" s="121" t="s">
        <v>328</v>
      </c>
      <c r="AA183" s="128" t="s">
        <v>317</v>
      </c>
      <c r="AB183" s="128" t="e">
        <f>VLOOKUP(AA183,'BASE BANCOS'!$A$2:$D$202,3,FALSE)</f>
        <v>#N/A</v>
      </c>
      <c r="AC183" s="79" t="s">
        <v>405</v>
      </c>
      <c r="AD183" s="129" t="e">
        <f>VLOOKUP(AC183,'BASE CONDUCTORES'!E:G,3,FALSE)</f>
        <v>#N/A</v>
      </c>
      <c r="AE183" s="165"/>
      <c r="AF183" s="146"/>
      <c r="AG183" s="146"/>
      <c r="AH183" s="146"/>
      <c r="AI183" s="146"/>
      <c r="AJ183" s="121"/>
      <c r="AK183" s="121"/>
      <c r="AL183" s="121"/>
      <c r="AM183" s="121"/>
      <c r="AN183" s="121"/>
      <c r="AO183" s="146"/>
      <c r="AP183" s="146"/>
      <c r="AQ183" s="121"/>
      <c r="AR183" s="121"/>
      <c r="AS183" s="121"/>
      <c r="AT183" s="121"/>
      <c r="AU183" s="147"/>
      <c r="AV183" s="148"/>
      <c r="AW183" s="121"/>
      <c r="AX183" s="121"/>
      <c r="AY183" s="121"/>
      <c r="AZ183" s="121"/>
    </row>
    <row r="184" spans="1:52" s="124" customFormat="1" ht="15.75" x14ac:dyDescent="0.25">
      <c r="A184" s="121"/>
      <c r="B184" s="152">
        <v>44318</v>
      </c>
      <c r="C184" s="152">
        <v>44319</v>
      </c>
      <c r="D184" s="128" t="s">
        <v>29</v>
      </c>
      <c r="E184" s="128" t="s">
        <v>33</v>
      </c>
      <c r="F184" s="124">
        <v>1</v>
      </c>
      <c r="G184" s="167" t="s">
        <v>350</v>
      </c>
      <c r="H184" s="121"/>
      <c r="I184" s="121"/>
      <c r="J184" s="137"/>
      <c r="K184" s="128" t="e">
        <f>VLOOKUP(G184,'BASE PASAJEROS'!A:B,2,FALSE)</f>
        <v>#N/A</v>
      </c>
      <c r="L184" s="128" t="s">
        <v>316</v>
      </c>
      <c r="M184" s="128" t="e">
        <f>VLOOKUP(G184,'BASE PASAJEROS'!A:H,8,FALSE)</f>
        <v>#N/A</v>
      </c>
      <c r="N184" s="128"/>
      <c r="O184" s="128"/>
      <c r="P184" s="128" t="e">
        <f>VLOOKUP(G184,'BASE PASAJEROS'!A:F,6,FALSE)</f>
        <v>#N/A</v>
      </c>
      <c r="Q184" s="128" t="e">
        <f>VLOOKUP(G184,'BASE PASAJEROS'!A:C,3,FALSE)</f>
        <v>#N/A</v>
      </c>
      <c r="R184" s="128" t="e">
        <f>VLOOKUP(G184,'BASE PASAJEROS'!A:G,7,FALSE)</f>
        <v>#N/A</v>
      </c>
      <c r="S184" s="128" t="s">
        <v>305</v>
      </c>
      <c r="T184" s="128" t="s">
        <v>320</v>
      </c>
      <c r="U184" s="130" t="e">
        <f>VLOOKUP(G184,'BASE PASAJEROS'!A:AG,33,FALSE)</f>
        <v>#N/A</v>
      </c>
      <c r="V184" s="130" t="e">
        <f>VLOOKUP(G184,'BASE PASAJEROS'!A:AH,34,FALSE)</f>
        <v>#N/A</v>
      </c>
      <c r="W184" s="121"/>
      <c r="X184" s="165" t="s">
        <v>368</v>
      </c>
      <c r="Y184" s="121" t="s">
        <v>27</v>
      </c>
      <c r="Z184" s="121" t="s">
        <v>328</v>
      </c>
      <c r="AA184" s="128" t="s">
        <v>317</v>
      </c>
      <c r="AB184" s="128" t="e">
        <f>VLOOKUP(AA184,'BASE BANCOS'!$A$2:$D$202,3,FALSE)</f>
        <v>#N/A</v>
      </c>
      <c r="AC184" s="79" t="s">
        <v>405</v>
      </c>
      <c r="AD184" s="129" t="e">
        <f>VLOOKUP(AC184,'BASE CONDUCTORES'!E:G,3,FALSE)</f>
        <v>#N/A</v>
      </c>
      <c r="AE184" s="165"/>
      <c r="AF184" s="146"/>
      <c r="AG184" s="146"/>
      <c r="AH184" s="146"/>
      <c r="AI184" s="146"/>
      <c r="AJ184" s="121"/>
      <c r="AK184" s="121"/>
      <c r="AL184" s="121"/>
      <c r="AM184" s="121"/>
      <c r="AN184" s="121"/>
      <c r="AO184" s="146"/>
      <c r="AP184" s="146"/>
      <c r="AQ184" s="121"/>
      <c r="AR184" s="121"/>
      <c r="AS184" s="121"/>
      <c r="AT184" s="121"/>
      <c r="AU184" s="147"/>
      <c r="AV184" s="148"/>
      <c r="AW184" s="121"/>
      <c r="AX184" s="121"/>
      <c r="AY184" s="121"/>
      <c r="AZ184" s="121"/>
    </row>
    <row r="185" spans="1:52" s="124" customFormat="1" ht="15.75" x14ac:dyDescent="0.25">
      <c r="A185" s="121"/>
      <c r="B185" s="152">
        <v>44318</v>
      </c>
      <c r="C185" s="152">
        <v>44319</v>
      </c>
      <c r="D185" s="128" t="s">
        <v>29</v>
      </c>
      <c r="E185" s="128" t="s">
        <v>33</v>
      </c>
      <c r="F185" s="124">
        <v>1</v>
      </c>
      <c r="G185" s="167" t="s">
        <v>351</v>
      </c>
      <c r="H185" s="121"/>
      <c r="I185" s="121"/>
      <c r="J185" s="137"/>
      <c r="K185" s="128" t="e">
        <f>VLOOKUP(G185,'BASE PASAJEROS'!A:B,2,FALSE)</f>
        <v>#N/A</v>
      </c>
      <c r="L185" s="128" t="s">
        <v>316</v>
      </c>
      <c r="M185" s="128" t="e">
        <f>VLOOKUP(G185,'BASE PASAJEROS'!A:H,8,FALSE)</f>
        <v>#N/A</v>
      </c>
      <c r="N185" s="128"/>
      <c r="O185" s="128"/>
      <c r="P185" s="128" t="e">
        <f>VLOOKUP(G185,'BASE PASAJEROS'!A:F,6,FALSE)</f>
        <v>#N/A</v>
      </c>
      <c r="Q185" s="128" t="e">
        <f>VLOOKUP(G185,'BASE PASAJEROS'!A:C,3,FALSE)</f>
        <v>#N/A</v>
      </c>
      <c r="R185" s="128" t="e">
        <f>VLOOKUP(G185,'BASE PASAJEROS'!A:G,7,FALSE)</f>
        <v>#N/A</v>
      </c>
      <c r="S185" s="128" t="s">
        <v>305</v>
      </c>
      <c r="T185" s="128" t="s">
        <v>320</v>
      </c>
      <c r="U185" s="130" t="e">
        <f>VLOOKUP(G185,'BASE PASAJEROS'!A:AG,33,FALSE)</f>
        <v>#N/A</v>
      </c>
      <c r="V185" s="130" t="e">
        <f>VLOOKUP(G185,'BASE PASAJEROS'!A:AH,34,FALSE)</f>
        <v>#N/A</v>
      </c>
      <c r="W185" s="121"/>
      <c r="X185" s="165" t="s">
        <v>368</v>
      </c>
      <c r="Y185" s="121" t="s">
        <v>27</v>
      </c>
      <c r="Z185" s="121" t="s">
        <v>328</v>
      </c>
      <c r="AA185" s="128" t="s">
        <v>317</v>
      </c>
      <c r="AB185" s="128" t="e">
        <f>VLOOKUP(AA185,'BASE BANCOS'!$A$2:$D$202,3,FALSE)</f>
        <v>#N/A</v>
      </c>
      <c r="AC185" s="79" t="s">
        <v>405</v>
      </c>
      <c r="AD185" s="129" t="e">
        <f>VLOOKUP(AC185,'BASE CONDUCTORES'!E:G,3,FALSE)</f>
        <v>#N/A</v>
      </c>
      <c r="AE185" s="165"/>
      <c r="AF185" s="146"/>
      <c r="AG185" s="146"/>
      <c r="AH185" s="146"/>
      <c r="AI185" s="146"/>
      <c r="AJ185" s="121"/>
      <c r="AK185" s="121"/>
      <c r="AL185" s="121"/>
      <c r="AM185" s="121"/>
      <c r="AN185" s="121"/>
      <c r="AO185" s="146"/>
      <c r="AP185" s="146"/>
      <c r="AQ185" s="121"/>
      <c r="AR185" s="121"/>
      <c r="AS185" s="121"/>
      <c r="AT185" s="121"/>
      <c r="AU185" s="147"/>
      <c r="AV185" s="148"/>
      <c r="AW185" s="121"/>
      <c r="AX185" s="121"/>
      <c r="AY185" s="121"/>
      <c r="AZ185" s="121"/>
    </row>
    <row r="186" spans="1:52" x14ac:dyDescent="0.25">
      <c r="B186" s="95">
        <v>44318</v>
      </c>
      <c r="C186" s="95">
        <v>44319</v>
      </c>
      <c r="D186" s="128" t="s">
        <v>29</v>
      </c>
      <c r="E186" s="128" t="s">
        <v>33</v>
      </c>
      <c r="F186" s="124">
        <v>1</v>
      </c>
      <c r="G186" s="155" t="s">
        <v>352</v>
      </c>
      <c r="K186" s="128" t="e">
        <f>VLOOKUP(G186,'BASE PASAJEROS'!A:B,2,FALSE)</f>
        <v>#N/A</v>
      </c>
      <c r="L186" s="128" t="s">
        <v>316</v>
      </c>
      <c r="M186" s="128" t="e">
        <f>VLOOKUP(G186,'BASE PASAJEROS'!A:H,8,FALSE)</f>
        <v>#N/A</v>
      </c>
      <c r="N186" s="128"/>
      <c r="O186" s="128"/>
      <c r="P186" s="128" t="e">
        <f>VLOOKUP(G186,'BASE PASAJEROS'!A:F,6,FALSE)</f>
        <v>#N/A</v>
      </c>
      <c r="Q186" s="128" t="e">
        <f>VLOOKUP(G186,'BASE PASAJEROS'!A:C,3,FALSE)</f>
        <v>#N/A</v>
      </c>
      <c r="R186" s="128" t="e">
        <f>VLOOKUP(G186,'BASE PASAJEROS'!A:G,7,FALSE)</f>
        <v>#N/A</v>
      </c>
      <c r="S186" s="128" t="s">
        <v>305</v>
      </c>
      <c r="T186" s="128" t="s">
        <v>320</v>
      </c>
      <c r="U186" s="130" t="e">
        <f>VLOOKUP(G186,'BASE PASAJEROS'!A:AG,33,FALSE)</f>
        <v>#N/A</v>
      </c>
      <c r="V186" s="130" t="e">
        <f>VLOOKUP(G186,'BASE PASAJEROS'!A:AH,34,FALSE)</f>
        <v>#N/A</v>
      </c>
      <c r="X186" s="24" t="s">
        <v>368</v>
      </c>
      <c r="Y186" s="79" t="s">
        <v>374</v>
      </c>
      <c r="Z186" s="79" t="s">
        <v>328</v>
      </c>
      <c r="AA186" s="128" t="s">
        <v>325</v>
      </c>
      <c r="AB186" s="128" t="e">
        <f>VLOOKUP(AA186,'BASE BANCOS'!$A$2:$D$202,3,FALSE)</f>
        <v>#N/A</v>
      </c>
      <c r="AC186" s="128" t="s">
        <v>326</v>
      </c>
      <c r="AD186" s="129" t="e">
        <f>VLOOKUP(AC186,'BASE CONDUCTORES'!E:G,3,FALSE)</f>
        <v>#N/A</v>
      </c>
      <c r="AK186" s="170" t="s">
        <v>364</v>
      </c>
    </row>
    <row r="187" spans="1:52" s="124" customFormat="1" ht="15.75" x14ac:dyDescent="0.25">
      <c r="A187" s="121"/>
      <c r="B187" s="152">
        <v>44318</v>
      </c>
      <c r="C187" s="152">
        <v>44319</v>
      </c>
      <c r="D187" s="128" t="s">
        <v>29</v>
      </c>
      <c r="E187" s="128" t="s">
        <v>33</v>
      </c>
      <c r="F187" s="124">
        <v>1</v>
      </c>
      <c r="G187" s="166" t="s">
        <v>353</v>
      </c>
      <c r="H187" s="121"/>
      <c r="I187" s="121"/>
      <c r="J187" s="137"/>
      <c r="K187" s="128" t="e">
        <f>VLOOKUP(G187,'BASE PASAJEROS'!A:B,2,FALSE)</f>
        <v>#N/A</v>
      </c>
      <c r="L187" s="128" t="s">
        <v>316</v>
      </c>
      <c r="M187" s="128" t="e">
        <f>VLOOKUP(G187,'BASE PASAJEROS'!A:H,8,FALSE)</f>
        <v>#N/A</v>
      </c>
      <c r="N187" s="128"/>
      <c r="O187" s="128"/>
      <c r="P187" s="128" t="e">
        <f>VLOOKUP(G187,'BASE PASAJEROS'!A:F,6,FALSE)</f>
        <v>#N/A</v>
      </c>
      <c r="Q187" s="128" t="e">
        <f>VLOOKUP(G187,'BASE PASAJEROS'!A:C,3,FALSE)</f>
        <v>#N/A</v>
      </c>
      <c r="R187" s="128" t="e">
        <f>VLOOKUP(G187,'BASE PASAJEROS'!A:G,7,FALSE)</f>
        <v>#N/A</v>
      </c>
      <c r="S187" s="128" t="s">
        <v>305</v>
      </c>
      <c r="T187" s="128" t="s">
        <v>320</v>
      </c>
      <c r="U187" s="130" t="e">
        <f>VLOOKUP(G187,'BASE PASAJEROS'!A:AG,33,FALSE)</f>
        <v>#N/A</v>
      </c>
      <c r="V187" s="130" t="e">
        <f>VLOOKUP(G187,'BASE PASAJEROS'!A:AH,34,FALSE)</f>
        <v>#N/A</v>
      </c>
      <c r="W187" s="121"/>
      <c r="X187" s="165" t="s">
        <v>368</v>
      </c>
      <c r="Y187" s="121" t="s">
        <v>27</v>
      </c>
      <c r="Z187" s="121" t="s">
        <v>328</v>
      </c>
      <c r="AA187" s="128" t="s">
        <v>317</v>
      </c>
      <c r="AB187" s="128" t="e">
        <f>VLOOKUP(AA187,'BASE BANCOS'!$A$2:$D$202,3,FALSE)</f>
        <v>#N/A</v>
      </c>
      <c r="AC187" s="79" t="s">
        <v>405</v>
      </c>
      <c r="AD187" s="129" t="e">
        <f>VLOOKUP(AC187,'BASE CONDUCTORES'!E:G,3,FALSE)</f>
        <v>#N/A</v>
      </c>
      <c r="AE187" s="165"/>
      <c r="AF187" s="146"/>
      <c r="AG187" s="146"/>
      <c r="AH187" s="146"/>
      <c r="AI187" s="146"/>
      <c r="AJ187" s="121"/>
      <c r="AK187" s="121"/>
      <c r="AL187" s="121"/>
      <c r="AM187" s="121"/>
      <c r="AN187" s="121"/>
      <c r="AO187" s="146"/>
      <c r="AP187" s="146"/>
      <c r="AQ187" s="121"/>
      <c r="AR187" s="121"/>
      <c r="AS187" s="121"/>
      <c r="AT187" s="121"/>
      <c r="AU187" s="147"/>
      <c r="AV187" s="148"/>
      <c r="AW187" s="121"/>
      <c r="AX187" s="121"/>
      <c r="AY187" s="121"/>
      <c r="AZ187" s="121"/>
    </row>
    <row r="188" spans="1:52" x14ac:dyDescent="0.25">
      <c r="B188" s="95">
        <v>44318</v>
      </c>
      <c r="C188" s="95">
        <v>44319</v>
      </c>
      <c r="D188" s="128" t="s">
        <v>29</v>
      </c>
      <c r="E188" s="128" t="s">
        <v>33</v>
      </c>
      <c r="F188" s="124">
        <v>1</v>
      </c>
      <c r="G188" s="155" t="s">
        <v>354</v>
      </c>
      <c r="K188" s="128" t="e">
        <f>VLOOKUP(G188,'BASE PASAJEROS'!A:B,2,FALSE)</f>
        <v>#N/A</v>
      </c>
      <c r="L188" s="128" t="s">
        <v>316</v>
      </c>
      <c r="M188" s="128" t="e">
        <f>VLOOKUP(G188,'BASE PASAJEROS'!A:H,8,FALSE)</f>
        <v>#N/A</v>
      </c>
      <c r="N188" s="128"/>
      <c r="O188" s="128"/>
      <c r="P188" s="128" t="e">
        <f>VLOOKUP(G188,'BASE PASAJEROS'!A:F,6,FALSE)</f>
        <v>#N/A</v>
      </c>
      <c r="Q188" s="128" t="e">
        <f>VLOOKUP(G188,'BASE PASAJEROS'!A:C,3,FALSE)</f>
        <v>#N/A</v>
      </c>
      <c r="R188" s="128" t="e">
        <f>VLOOKUP(G188,'BASE PASAJEROS'!A:G,7,FALSE)</f>
        <v>#N/A</v>
      </c>
      <c r="S188" s="128" t="s">
        <v>305</v>
      </c>
      <c r="T188" s="128" t="s">
        <v>320</v>
      </c>
      <c r="U188" s="130" t="e">
        <f>VLOOKUP(G188,'BASE PASAJEROS'!A:AG,33,FALSE)</f>
        <v>#N/A</v>
      </c>
      <c r="V188" s="130" t="e">
        <f>VLOOKUP(G188,'BASE PASAJEROS'!A:AH,34,FALSE)</f>
        <v>#N/A</v>
      </c>
      <c r="X188" s="24" t="s">
        <v>368</v>
      </c>
      <c r="Y188" s="79" t="s">
        <v>374</v>
      </c>
      <c r="Z188" s="79" t="s">
        <v>328</v>
      </c>
      <c r="AA188" s="128" t="s">
        <v>325</v>
      </c>
      <c r="AB188" s="128" t="e">
        <f>VLOOKUP(AA188,'BASE BANCOS'!$A$2:$D$202,3,FALSE)</f>
        <v>#N/A</v>
      </c>
      <c r="AC188" s="128" t="s">
        <v>326</v>
      </c>
      <c r="AD188" s="129" t="e">
        <f>VLOOKUP(AC188,'BASE CONDUCTORES'!E:G,3,FALSE)</f>
        <v>#N/A</v>
      </c>
      <c r="AK188" s="79" t="s">
        <v>416</v>
      </c>
    </row>
    <row r="189" spans="1:52" s="124" customFormat="1" x14ac:dyDescent="0.25">
      <c r="A189" s="121"/>
      <c r="B189" s="152">
        <v>44318</v>
      </c>
      <c r="C189" s="152">
        <v>44319</v>
      </c>
      <c r="D189" s="128" t="s">
        <v>29</v>
      </c>
      <c r="E189" s="128" t="s">
        <v>33</v>
      </c>
      <c r="F189" s="124">
        <v>1</v>
      </c>
      <c r="G189" s="155" t="s">
        <v>355</v>
      </c>
      <c r="H189" s="121"/>
      <c r="I189" s="121"/>
      <c r="J189" s="137"/>
      <c r="K189" s="128" t="e">
        <f>VLOOKUP(G189,'BASE PASAJEROS'!A:B,2,FALSE)</f>
        <v>#N/A</v>
      </c>
      <c r="L189" s="128" t="s">
        <v>316</v>
      </c>
      <c r="M189" s="128" t="e">
        <f>VLOOKUP(G189,'BASE PASAJEROS'!A:H,8,FALSE)</f>
        <v>#N/A</v>
      </c>
      <c r="N189" s="128"/>
      <c r="O189" s="128"/>
      <c r="P189" s="128" t="e">
        <f>VLOOKUP(G189,'BASE PASAJEROS'!A:F,6,FALSE)</f>
        <v>#N/A</v>
      </c>
      <c r="Q189" s="128" t="e">
        <f>VLOOKUP(G189,'BASE PASAJEROS'!A:C,3,FALSE)</f>
        <v>#N/A</v>
      </c>
      <c r="R189" s="128" t="e">
        <f>VLOOKUP(G189,'BASE PASAJEROS'!A:G,7,FALSE)</f>
        <v>#N/A</v>
      </c>
      <c r="S189" s="128" t="s">
        <v>305</v>
      </c>
      <c r="T189" s="128" t="s">
        <v>320</v>
      </c>
      <c r="U189" s="130" t="e">
        <f>VLOOKUP(G189,'BASE PASAJEROS'!A:AG,33,FALSE)</f>
        <v>#N/A</v>
      </c>
      <c r="V189" s="130" t="e">
        <f>VLOOKUP(G189,'BASE PASAJEROS'!A:AH,34,FALSE)</f>
        <v>#N/A</v>
      </c>
      <c r="W189" s="121"/>
      <c r="X189" s="165" t="s">
        <v>368</v>
      </c>
      <c r="Y189" s="121" t="s">
        <v>27</v>
      </c>
      <c r="Z189" s="121" t="s">
        <v>328</v>
      </c>
      <c r="AA189" s="128" t="s">
        <v>317</v>
      </c>
      <c r="AB189" s="128" t="e">
        <f>VLOOKUP(AA189,'BASE BANCOS'!$A$2:$D$202,3,FALSE)</f>
        <v>#N/A</v>
      </c>
      <c r="AC189" s="79" t="s">
        <v>405</v>
      </c>
      <c r="AD189" s="129" t="e">
        <f>VLOOKUP(AC189,'BASE CONDUCTORES'!E:G,3,FALSE)</f>
        <v>#N/A</v>
      </c>
      <c r="AE189" s="165"/>
      <c r="AF189" s="146"/>
      <c r="AG189" s="146"/>
      <c r="AH189" s="146"/>
      <c r="AI189" s="146"/>
      <c r="AJ189" s="121"/>
      <c r="AK189" s="121"/>
      <c r="AL189" s="121"/>
      <c r="AM189" s="121"/>
      <c r="AN189" s="121"/>
      <c r="AO189" s="146"/>
      <c r="AP189" s="146"/>
      <c r="AQ189" s="121"/>
      <c r="AR189" s="121"/>
      <c r="AS189" s="121"/>
      <c r="AT189" s="121"/>
      <c r="AU189" s="147"/>
      <c r="AV189" s="148"/>
      <c r="AW189" s="121"/>
      <c r="AX189" s="121"/>
      <c r="AY189" s="121"/>
      <c r="AZ189" s="121"/>
    </row>
    <row r="190" spans="1:52" s="121" customFormat="1" x14ac:dyDescent="0.25">
      <c r="B190" s="152">
        <v>44318</v>
      </c>
      <c r="C190" s="152">
        <v>44319</v>
      </c>
      <c r="D190" s="128" t="s">
        <v>29</v>
      </c>
      <c r="E190" s="128" t="s">
        <v>33</v>
      </c>
      <c r="F190" s="124">
        <v>1</v>
      </c>
      <c r="G190" s="155" t="s">
        <v>356</v>
      </c>
      <c r="J190" s="137"/>
      <c r="K190" s="128" t="e">
        <f>VLOOKUP(G190,'BASE PASAJEROS'!A:B,2,FALSE)</f>
        <v>#N/A</v>
      </c>
      <c r="L190" s="128" t="s">
        <v>316</v>
      </c>
      <c r="M190" s="128" t="e">
        <f>VLOOKUP(G190,'BASE PASAJEROS'!A:H,8,FALSE)</f>
        <v>#N/A</v>
      </c>
      <c r="N190" s="128"/>
      <c r="O190" s="128"/>
      <c r="P190" s="128" t="e">
        <f>VLOOKUP(G190,'BASE PASAJEROS'!A:F,6,FALSE)</f>
        <v>#N/A</v>
      </c>
      <c r="Q190" s="128" t="e">
        <f>VLOOKUP(G190,'BASE PASAJEROS'!A:C,3,FALSE)</f>
        <v>#N/A</v>
      </c>
      <c r="R190" s="128" t="e">
        <f>VLOOKUP(G190,'BASE PASAJEROS'!A:G,7,FALSE)</f>
        <v>#N/A</v>
      </c>
      <c r="S190" s="128" t="s">
        <v>305</v>
      </c>
      <c r="T190" s="128" t="s">
        <v>320</v>
      </c>
      <c r="U190" s="130" t="e">
        <f>VLOOKUP(G190,'BASE PASAJEROS'!A:AG,33,FALSE)</f>
        <v>#N/A</v>
      </c>
      <c r="V190" s="130" t="e">
        <f>VLOOKUP(G190,'BASE PASAJEROS'!A:AH,34,FALSE)</f>
        <v>#N/A</v>
      </c>
      <c r="X190" s="165" t="s">
        <v>368</v>
      </c>
      <c r="Y190" s="128" t="s">
        <v>32</v>
      </c>
      <c r="Z190" s="128" t="s">
        <v>31</v>
      </c>
      <c r="AA190" s="128" t="s">
        <v>317</v>
      </c>
      <c r="AB190" s="128" t="e">
        <f>VLOOKUP(AA190,'BASE BANCOS'!$A$2:$D$202,3,FALSE)</f>
        <v>#N/A</v>
      </c>
      <c r="AC190" s="79" t="s">
        <v>405</v>
      </c>
      <c r="AD190" s="129" t="e">
        <f>VLOOKUP(AC190,'BASE CONDUCTORES'!E:G,3,FALSE)</f>
        <v>#N/A</v>
      </c>
      <c r="AE190" s="165"/>
      <c r="AF190" s="146"/>
      <c r="AG190" s="146"/>
      <c r="AH190" s="146"/>
      <c r="AI190" s="146"/>
      <c r="AK190" s="143" t="s">
        <v>365</v>
      </c>
      <c r="AO190" s="146"/>
      <c r="AP190" s="146"/>
      <c r="AU190" s="147"/>
      <c r="AV190" s="148"/>
    </row>
    <row r="191" spans="1:52" s="121" customFormat="1" ht="15.75" x14ac:dyDescent="0.25">
      <c r="B191" s="152">
        <v>44318</v>
      </c>
      <c r="C191" s="152">
        <v>44319</v>
      </c>
      <c r="D191" s="128" t="s">
        <v>29</v>
      </c>
      <c r="E191" s="128" t="s">
        <v>33</v>
      </c>
      <c r="F191" s="124">
        <v>1</v>
      </c>
      <c r="G191" s="166" t="s">
        <v>357</v>
      </c>
      <c r="J191" s="137"/>
      <c r="K191" s="128" t="e">
        <f>VLOOKUP(G191,'BASE PASAJEROS'!A:B,2,FALSE)</f>
        <v>#N/A</v>
      </c>
      <c r="L191" s="128" t="s">
        <v>316</v>
      </c>
      <c r="M191" s="128" t="e">
        <f>VLOOKUP(G191,'BASE PASAJEROS'!A:H,8,FALSE)</f>
        <v>#N/A</v>
      </c>
      <c r="N191" s="128"/>
      <c r="O191" s="128"/>
      <c r="P191" s="128" t="e">
        <f>VLOOKUP(G191,'BASE PASAJEROS'!A:F,6,FALSE)</f>
        <v>#N/A</v>
      </c>
      <c r="Q191" s="128" t="e">
        <f>VLOOKUP(G191,'BASE PASAJEROS'!A:C,3,FALSE)</f>
        <v>#N/A</v>
      </c>
      <c r="R191" s="128" t="e">
        <f>VLOOKUP(G191,'BASE PASAJEROS'!A:G,7,FALSE)</f>
        <v>#N/A</v>
      </c>
      <c r="S191" s="128" t="s">
        <v>305</v>
      </c>
      <c r="T191" s="128" t="s">
        <v>320</v>
      </c>
      <c r="U191" s="130" t="e">
        <f>VLOOKUP(G191,'BASE PASAJEROS'!A:AG,33,FALSE)</f>
        <v>#N/A</v>
      </c>
      <c r="V191" s="130" t="e">
        <f>VLOOKUP(G191,'BASE PASAJEROS'!A:AH,34,FALSE)</f>
        <v>#N/A</v>
      </c>
      <c r="X191" s="165" t="s">
        <v>368</v>
      </c>
      <c r="Y191" s="128" t="s">
        <v>32</v>
      </c>
      <c r="Z191" s="128" t="s">
        <v>31</v>
      </c>
      <c r="AA191" s="128" t="s">
        <v>317</v>
      </c>
      <c r="AB191" s="128" t="e">
        <f>VLOOKUP(AA191,'BASE BANCOS'!$A$2:$D$202,3,FALSE)</f>
        <v>#N/A</v>
      </c>
      <c r="AC191" s="143" t="s">
        <v>369</v>
      </c>
      <c r="AD191" s="129" t="e">
        <f>VLOOKUP(AC191,'BASE CONDUCTORES'!E:G,3,FALSE)</f>
        <v>#N/A</v>
      </c>
      <c r="AE191" s="165"/>
      <c r="AF191" s="146"/>
      <c r="AG191" s="146"/>
      <c r="AH191" s="146"/>
      <c r="AI191" s="146"/>
      <c r="AK191" s="143" t="s">
        <v>365</v>
      </c>
      <c r="AO191" s="146"/>
      <c r="AP191" s="146"/>
      <c r="AU191" s="147"/>
      <c r="AV191" s="148"/>
    </row>
    <row r="192" spans="1:52" s="121" customFormat="1" x14ac:dyDescent="0.25">
      <c r="B192" s="152">
        <v>44318</v>
      </c>
      <c r="C192" s="152">
        <v>44319</v>
      </c>
      <c r="D192" s="128" t="s">
        <v>29</v>
      </c>
      <c r="E192" s="128" t="s">
        <v>33</v>
      </c>
      <c r="F192" s="124">
        <v>1</v>
      </c>
      <c r="G192" s="124" t="s">
        <v>358</v>
      </c>
      <c r="J192" s="137"/>
      <c r="K192" s="128" t="e">
        <f>VLOOKUP(G192,'BASE PASAJEROS'!A:B,2,FALSE)</f>
        <v>#N/A</v>
      </c>
      <c r="L192" s="128" t="s">
        <v>316</v>
      </c>
      <c r="M192" s="128" t="e">
        <f>VLOOKUP(G192,'BASE PASAJEROS'!A:H,8,FALSE)</f>
        <v>#N/A</v>
      </c>
      <c r="N192" s="128"/>
      <c r="O192" s="128"/>
      <c r="P192" s="128" t="e">
        <f>VLOOKUP(G192,'BASE PASAJEROS'!A:F,6,FALSE)</f>
        <v>#N/A</v>
      </c>
      <c r="Q192" s="128" t="e">
        <f>VLOOKUP(G192,'BASE PASAJEROS'!A:C,3,FALSE)</f>
        <v>#N/A</v>
      </c>
      <c r="R192" s="128" t="e">
        <f>VLOOKUP(G192,'BASE PASAJEROS'!A:G,7,FALSE)</f>
        <v>#N/A</v>
      </c>
      <c r="S192" s="128" t="s">
        <v>305</v>
      </c>
      <c r="T192" s="128" t="s">
        <v>320</v>
      </c>
      <c r="U192" s="130" t="e">
        <f>VLOOKUP(G192,'BASE PASAJEROS'!A:AG,33,FALSE)</f>
        <v>#N/A</v>
      </c>
      <c r="V192" s="130" t="e">
        <f>VLOOKUP(G192,'BASE PASAJEROS'!A:AH,34,FALSE)</f>
        <v>#N/A</v>
      </c>
      <c r="X192" s="165" t="s">
        <v>368</v>
      </c>
      <c r="Y192" s="121" t="s">
        <v>21</v>
      </c>
      <c r="Z192" s="121" t="s">
        <v>328</v>
      </c>
      <c r="AA192" s="128" t="s">
        <v>319</v>
      </c>
      <c r="AB192" s="128" t="e">
        <f>VLOOKUP(AA192,'BASE BANCOS'!$A$2:$D$202,3,FALSE)</f>
        <v>#N/A</v>
      </c>
      <c r="AD192" s="129" t="e">
        <f>VLOOKUP(AC192,'BASE CONDUCTORES'!E:G,3,FALSE)</f>
        <v>#N/A</v>
      </c>
      <c r="AE192" s="165"/>
      <c r="AF192" s="146"/>
      <c r="AG192" s="146"/>
      <c r="AH192" s="146"/>
      <c r="AI192" s="146"/>
      <c r="AK192" s="143" t="s">
        <v>366</v>
      </c>
      <c r="AO192" s="146"/>
      <c r="AP192" s="146"/>
      <c r="AU192" s="147"/>
      <c r="AV192" s="148"/>
    </row>
    <row r="193" spans="2:48" s="121" customFormat="1" x14ac:dyDescent="0.25">
      <c r="B193" s="152">
        <v>44318</v>
      </c>
      <c r="C193" s="152">
        <v>44319</v>
      </c>
      <c r="D193" s="128" t="s">
        <v>29</v>
      </c>
      <c r="E193" s="128" t="s">
        <v>33</v>
      </c>
      <c r="F193" s="124">
        <v>1</v>
      </c>
      <c r="G193" s="124" t="s">
        <v>359</v>
      </c>
      <c r="J193" s="137"/>
      <c r="K193" s="128" t="e">
        <f>VLOOKUP(G193,'BASE PASAJEROS'!A:B,2,FALSE)</f>
        <v>#N/A</v>
      </c>
      <c r="L193" s="128" t="s">
        <v>316</v>
      </c>
      <c r="M193" s="128" t="e">
        <f>VLOOKUP(G193,'BASE PASAJEROS'!A:H,8,FALSE)</f>
        <v>#N/A</v>
      </c>
      <c r="N193" s="128"/>
      <c r="O193" s="128"/>
      <c r="P193" s="128" t="e">
        <f>VLOOKUP(G193,'BASE PASAJEROS'!A:F,6,FALSE)</f>
        <v>#N/A</v>
      </c>
      <c r="Q193" s="128" t="e">
        <f>VLOOKUP(G193,'BASE PASAJEROS'!A:C,3,FALSE)</f>
        <v>#N/A</v>
      </c>
      <c r="R193" s="128" t="e">
        <f>VLOOKUP(G193,'BASE PASAJEROS'!A:G,7,FALSE)</f>
        <v>#N/A</v>
      </c>
      <c r="S193" s="128" t="s">
        <v>305</v>
      </c>
      <c r="T193" s="128" t="s">
        <v>320</v>
      </c>
      <c r="U193" s="130" t="e">
        <f>VLOOKUP(G193,'BASE PASAJEROS'!A:AG,33,FALSE)</f>
        <v>#N/A</v>
      </c>
      <c r="V193" s="130" t="e">
        <f>VLOOKUP(G193,'BASE PASAJEROS'!A:AH,34,FALSE)</f>
        <v>#N/A</v>
      </c>
      <c r="X193" s="165" t="s">
        <v>368</v>
      </c>
      <c r="Y193" s="121" t="s">
        <v>374</v>
      </c>
      <c r="Z193" s="121" t="s">
        <v>328</v>
      </c>
      <c r="AA193" s="128" t="s">
        <v>325</v>
      </c>
      <c r="AB193" s="128" t="e">
        <f>VLOOKUP(AA193,'BASE BANCOS'!$A$2:$D$202,3,FALSE)</f>
        <v>#N/A</v>
      </c>
      <c r="AC193" s="128" t="s">
        <v>326</v>
      </c>
      <c r="AD193" s="129" t="e">
        <f>VLOOKUP(AC193,'BASE CONDUCTORES'!E:G,3,FALSE)</f>
        <v>#N/A</v>
      </c>
      <c r="AE193" s="165"/>
      <c r="AF193" s="146"/>
      <c r="AG193" s="146"/>
      <c r="AH193" s="146"/>
      <c r="AI193" s="146"/>
      <c r="AK193" s="172" t="s">
        <v>364</v>
      </c>
      <c r="AO193" s="146"/>
      <c r="AP193" s="146"/>
      <c r="AU193" s="147"/>
      <c r="AV193" s="148"/>
    </row>
    <row r="194" spans="2:48" s="121" customFormat="1" x14ac:dyDescent="0.25">
      <c r="B194" s="152">
        <v>44318</v>
      </c>
      <c r="C194" s="152">
        <v>44319</v>
      </c>
      <c r="D194" s="128" t="s">
        <v>29</v>
      </c>
      <c r="E194" s="128" t="s">
        <v>33</v>
      </c>
      <c r="F194" s="124">
        <v>1</v>
      </c>
      <c r="G194" s="124" t="s">
        <v>360</v>
      </c>
      <c r="J194" s="137"/>
      <c r="K194" s="128" t="e">
        <f>VLOOKUP(G194,'BASE PASAJEROS'!A:B,2,FALSE)</f>
        <v>#N/A</v>
      </c>
      <c r="L194" s="128" t="s">
        <v>316</v>
      </c>
      <c r="M194" s="128" t="e">
        <f>VLOOKUP(G194,'BASE PASAJEROS'!A:H,8,FALSE)</f>
        <v>#N/A</v>
      </c>
      <c r="N194" s="128"/>
      <c r="O194" s="128"/>
      <c r="P194" s="128" t="e">
        <f>VLOOKUP(G194,'BASE PASAJEROS'!A:F,6,FALSE)</f>
        <v>#N/A</v>
      </c>
      <c r="Q194" s="128" t="e">
        <f>VLOOKUP(G194,'BASE PASAJEROS'!A:C,3,FALSE)</f>
        <v>#N/A</v>
      </c>
      <c r="R194" s="128" t="e">
        <f>VLOOKUP(G194,'BASE PASAJEROS'!A:G,7,FALSE)</f>
        <v>#N/A</v>
      </c>
      <c r="S194" s="128" t="s">
        <v>305</v>
      </c>
      <c r="T194" s="128" t="s">
        <v>320</v>
      </c>
      <c r="U194" s="130" t="e">
        <f>VLOOKUP(G194,'BASE PASAJEROS'!A:AG,33,FALSE)</f>
        <v>#N/A</v>
      </c>
      <c r="V194" s="130" t="e">
        <f>VLOOKUP(G194,'BASE PASAJEROS'!A:AH,34,FALSE)</f>
        <v>#N/A</v>
      </c>
      <c r="X194" s="165" t="s">
        <v>368</v>
      </c>
      <c r="Y194" s="121" t="s">
        <v>21</v>
      </c>
      <c r="Z194" s="121" t="s">
        <v>328</v>
      </c>
      <c r="AA194" s="128" t="s">
        <v>319</v>
      </c>
      <c r="AB194" s="128" t="e">
        <f>VLOOKUP(AA194,'BASE BANCOS'!$A$2:$D$202,3,FALSE)</f>
        <v>#N/A</v>
      </c>
      <c r="AD194" s="129" t="e">
        <f>VLOOKUP(AC194,'BASE CONDUCTORES'!E:G,3,FALSE)</f>
        <v>#N/A</v>
      </c>
      <c r="AE194" s="165"/>
      <c r="AF194" s="146"/>
      <c r="AG194" s="146"/>
      <c r="AH194" s="146"/>
      <c r="AI194" s="146"/>
      <c r="AK194" s="143" t="s">
        <v>366</v>
      </c>
      <c r="AO194" s="146"/>
      <c r="AP194" s="146"/>
      <c r="AU194" s="147"/>
      <c r="AV194" s="148"/>
    </row>
    <row r="195" spans="2:48" s="121" customFormat="1" x14ac:dyDescent="0.25">
      <c r="B195" s="152">
        <v>44318</v>
      </c>
      <c r="C195" s="152">
        <v>44319</v>
      </c>
      <c r="D195" s="128" t="s">
        <v>29</v>
      </c>
      <c r="E195" s="128" t="s">
        <v>33</v>
      </c>
      <c r="F195" s="124">
        <v>1</v>
      </c>
      <c r="G195" s="155" t="s">
        <v>363</v>
      </c>
      <c r="J195" s="137"/>
      <c r="K195" s="128" t="e">
        <f>VLOOKUP(G195,'BASE PASAJEROS'!A:B,2,FALSE)</f>
        <v>#N/A</v>
      </c>
      <c r="L195" s="128" t="s">
        <v>316</v>
      </c>
      <c r="M195" s="128" t="e">
        <f>VLOOKUP(G195,'BASE PASAJEROS'!A:H,8,FALSE)</f>
        <v>#N/A</v>
      </c>
      <c r="N195" s="128"/>
      <c r="O195" s="128"/>
      <c r="P195" s="128" t="e">
        <f>VLOOKUP(G195,'BASE PASAJEROS'!A:F,6,FALSE)</f>
        <v>#N/A</v>
      </c>
      <c r="Q195" s="128" t="e">
        <f>VLOOKUP(G195,'BASE PASAJEROS'!A:C,3,FALSE)</f>
        <v>#N/A</v>
      </c>
      <c r="R195" s="128" t="e">
        <f>VLOOKUP(G195,'BASE PASAJEROS'!A:G,7,FALSE)</f>
        <v>#N/A</v>
      </c>
      <c r="S195" s="128" t="s">
        <v>305</v>
      </c>
      <c r="T195" s="128" t="s">
        <v>320</v>
      </c>
      <c r="U195" s="130" t="e">
        <f>VLOOKUP(G195,'BASE PASAJEROS'!A:AG,33,FALSE)</f>
        <v>#N/A</v>
      </c>
      <c r="V195" s="130" t="e">
        <f>VLOOKUP(G195,'BASE PASAJEROS'!A:AH,34,FALSE)</f>
        <v>#N/A</v>
      </c>
      <c r="X195" s="165" t="s">
        <v>368</v>
      </c>
      <c r="Y195" s="121" t="s">
        <v>374</v>
      </c>
      <c r="Z195" s="121" t="s">
        <v>328</v>
      </c>
      <c r="AA195" s="128" t="s">
        <v>317</v>
      </c>
      <c r="AB195" s="128" t="e">
        <f>VLOOKUP(AA195,'BASE BANCOS'!$A$2:$D$202,3,FALSE)</f>
        <v>#N/A</v>
      </c>
      <c r="AC195" s="121" t="s">
        <v>420</v>
      </c>
      <c r="AD195" s="129" t="e">
        <f>VLOOKUP(AC195,'BASE CONDUCTORES'!E:G,3,FALSE)</f>
        <v>#N/A</v>
      </c>
      <c r="AE195" s="165"/>
      <c r="AF195" s="146"/>
      <c r="AG195" s="146"/>
      <c r="AH195" s="146"/>
      <c r="AI195" s="146"/>
      <c r="AK195" s="121" t="s">
        <v>367</v>
      </c>
      <c r="AO195" s="146"/>
      <c r="AP195" s="146"/>
      <c r="AU195" s="147"/>
      <c r="AV195" s="148"/>
    </row>
    <row r="196" spans="2:48" x14ac:dyDescent="0.25">
      <c r="C196" s="95">
        <v>44320</v>
      </c>
      <c r="D196" s="128" t="s">
        <v>29</v>
      </c>
      <c r="E196" s="128" t="s">
        <v>33</v>
      </c>
      <c r="F196" s="124">
        <v>1</v>
      </c>
      <c r="G196" s="152" t="s">
        <v>375</v>
      </c>
      <c r="K196" s="128" t="e">
        <f>VLOOKUP(G196,'BASE PASAJEROS'!A:B,2,FALSE)</f>
        <v>#N/A</v>
      </c>
      <c r="L196" s="128" t="s">
        <v>316</v>
      </c>
      <c r="M196" s="128" t="e">
        <f>VLOOKUP(G196,'BASE PASAJEROS'!A:H,8,FALSE)</f>
        <v>#N/A</v>
      </c>
      <c r="N196" s="128"/>
      <c r="O196" s="128"/>
      <c r="P196" s="128" t="e">
        <f>VLOOKUP(G196,'BASE PASAJEROS'!A:F,6,FALSE)</f>
        <v>#N/A</v>
      </c>
      <c r="Q196" s="128" t="e">
        <f>VLOOKUP(G196,'BASE PASAJEROS'!A:C,3,FALSE)</f>
        <v>#N/A</v>
      </c>
      <c r="R196" s="128" t="e">
        <f>VLOOKUP(G196,'BASE PASAJEROS'!A:G,7,FALSE)</f>
        <v>#N/A</v>
      </c>
      <c r="S196" s="128" t="s">
        <v>305</v>
      </c>
      <c r="T196" s="128" t="s">
        <v>320</v>
      </c>
      <c r="U196" s="130" t="e">
        <f>VLOOKUP(G196,'BASE PASAJEROS'!A:AG,33,FALSE)</f>
        <v>#N/A</v>
      </c>
      <c r="V196" s="130" t="e">
        <f>VLOOKUP(G196,'BASE PASAJEROS'!A:AH,34,FALSE)</f>
        <v>#N/A</v>
      </c>
      <c r="W196" s="121"/>
      <c r="X196" s="165" t="s">
        <v>368</v>
      </c>
      <c r="Y196" s="79" t="s">
        <v>374</v>
      </c>
      <c r="Z196" s="79" t="s">
        <v>328</v>
      </c>
      <c r="AA196" s="128" t="s">
        <v>325</v>
      </c>
      <c r="AB196" s="128" t="e">
        <f>VLOOKUP(AA196,'BASE BANCOS'!$A$2:$D$202,3,FALSE)</f>
        <v>#N/A</v>
      </c>
      <c r="AC196" s="128" t="s">
        <v>326</v>
      </c>
      <c r="AD196" s="129" t="e">
        <f>VLOOKUP(AC196,'BASE CONDUCTORES'!E:G,3,FALSE)</f>
        <v>#N/A</v>
      </c>
      <c r="AK196" s="79" t="s">
        <v>364</v>
      </c>
    </row>
    <row r="197" spans="2:48" x14ac:dyDescent="0.25">
      <c r="C197" s="95">
        <v>44320</v>
      </c>
      <c r="D197" s="128" t="s">
        <v>29</v>
      </c>
      <c r="E197" s="128" t="s">
        <v>33</v>
      </c>
      <c r="F197" s="124">
        <v>1</v>
      </c>
      <c r="G197" s="152" t="s">
        <v>376</v>
      </c>
      <c r="K197" s="128" t="e">
        <f>VLOOKUP(G197,'BASE PASAJEROS'!A:B,2,FALSE)</f>
        <v>#N/A</v>
      </c>
      <c r="L197" s="128" t="s">
        <v>316</v>
      </c>
      <c r="M197" s="128" t="e">
        <f>VLOOKUP(G197,'BASE PASAJEROS'!A:H,8,FALSE)</f>
        <v>#N/A</v>
      </c>
      <c r="N197" s="128"/>
      <c r="O197" s="128"/>
      <c r="P197" s="128" t="e">
        <f>VLOOKUP(G197,'BASE PASAJEROS'!A:F,6,FALSE)</f>
        <v>#N/A</v>
      </c>
      <c r="Q197" s="128" t="e">
        <f>VLOOKUP(G197,'BASE PASAJEROS'!A:C,3,FALSE)</f>
        <v>#N/A</v>
      </c>
      <c r="R197" s="128" t="e">
        <f>VLOOKUP(G197,'BASE PASAJEROS'!A:G,7,FALSE)</f>
        <v>#N/A</v>
      </c>
      <c r="S197" s="128" t="s">
        <v>305</v>
      </c>
      <c r="T197" s="128" t="s">
        <v>320</v>
      </c>
      <c r="U197" s="130" t="e">
        <f>VLOOKUP(G197,'BASE PASAJEROS'!A:AG,33,FALSE)</f>
        <v>#N/A</v>
      </c>
      <c r="V197" s="130" t="e">
        <f>VLOOKUP(G197,'BASE PASAJEROS'!A:AH,34,FALSE)</f>
        <v>#N/A</v>
      </c>
      <c r="W197" s="121"/>
      <c r="X197" s="165" t="s">
        <v>368</v>
      </c>
      <c r="Y197" s="79" t="s">
        <v>374</v>
      </c>
      <c r="Z197" s="79" t="s">
        <v>328</v>
      </c>
      <c r="AA197" s="128" t="s">
        <v>325</v>
      </c>
      <c r="AB197" s="128" t="e">
        <f>VLOOKUP(AA197,'BASE BANCOS'!$A$2:$D$202,3,FALSE)</f>
        <v>#N/A</v>
      </c>
      <c r="AC197" s="128" t="s">
        <v>326</v>
      </c>
      <c r="AD197" s="129" t="e">
        <f>VLOOKUP(AC197,'BASE CONDUCTORES'!E:G,3,FALSE)</f>
        <v>#N/A</v>
      </c>
      <c r="AK197" s="79" t="s">
        <v>364</v>
      </c>
    </row>
    <row r="198" spans="2:48" x14ac:dyDescent="0.25">
      <c r="C198" s="95">
        <v>44320</v>
      </c>
      <c r="D198" s="128" t="s">
        <v>29</v>
      </c>
      <c r="E198" s="128" t="s">
        <v>33</v>
      </c>
      <c r="F198" s="124">
        <v>1</v>
      </c>
      <c r="G198" s="152" t="s">
        <v>377</v>
      </c>
      <c r="K198" s="128" t="e">
        <f>VLOOKUP(G198,'BASE PASAJEROS'!A:B,2,FALSE)</f>
        <v>#N/A</v>
      </c>
      <c r="L198" s="128" t="s">
        <v>316</v>
      </c>
      <c r="M198" s="128" t="e">
        <f>VLOOKUP(G198,'BASE PASAJEROS'!A:H,8,FALSE)</f>
        <v>#N/A</v>
      </c>
      <c r="N198" s="128"/>
      <c r="O198" s="128"/>
      <c r="P198" s="128" t="e">
        <f>VLOOKUP(G198,'BASE PASAJEROS'!A:F,6,FALSE)</f>
        <v>#N/A</v>
      </c>
      <c r="Q198" s="128" t="e">
        <f>VLOOKUP(G198,'BASE PASAJEROS'!A:C,3,FALSE)</f>
        <v>#N/A</v>
      </c>
      <c r="R198" s="128" t="e">
        <f>VLOOKUP(G198,'BASE PASAJEROS'!A:G,7,FALSE)</f>
        <v>#N/A</v>
      </c>
      <c r="S198" s="128" t="s">
        <v>305</v>
      </c>
      <c r="T198" s="128" t="s">
        <v>320</v>
      </c>
      <c r="U198" s="130" t="e">
        <f>VLOOKUP(G198,'BASE PASAJEROS'!A:AG,33,FALSE)</f>
        <v>#N/A</v>
      </c>
      <c r="V198" s="130" t="e">
        <f>VLOOKUP(G198,'BASE PASAJEROS'!A:AH,34,FALSE)</f>
        <v>#N/A</v>
      </c>
      <c r="W198" s="121"/>
      <c r="X198" s="165" t="s">
        <v>368</v>
      </c>
      <c r="Y198" s="79" t="s">
        <v>374</v>
      </c>
      <c r="Z198" s="79" t="s">
        <v>328</v>
      </c>
      <c r="AA198" s="128" t="s">
        <v>325</v>
      </c>
      <c r="AB198" s="128" t="e">
        <f>VLOOKUP(AA198,'BASE BANCOS'!$A$2:$D$202,3,FALSE)</f>
        <v>#N/A</v>
      </c>
      <c r="AC198" s="128" t="s">
        <v>326</v>
      </c>
      <c r="AD198" s="129" t="e">
        <f>VLOOKUP(AC198,'BASE CONDUCTORES'!E:G,3,FALSE)</f>
        <v>#N/A</v>
      </c>
      <c r="AK198" s="79" t="s">
        <v>364</v>
      </c>
    </row>
    <row r="199" spans="2:48" x14ac:dyDescent="0.25">
      <c r="C199" s="95">
        <v>44320</v>
      </c>
      <c r="D199" s="128" t="s">
        <v>29</v>
      </c>
      <c r="E199" s="128" t="s">
        <v>33</v>
      </c>
      <c r="F199" s="124">
        <v>1</v>
      </c>
      <c r="G199" s="152" t="s">
        <v>363</v>
      </c>
      <c r="K199" s="128" t="e">
        <f>VLOOKUP(G199,'BASE PASAJEROS'!A:B,2,FALSE)</f>
        <v>#N/A</v>
      </c>
      <c r="L199" s="128" t="s">
        <v>316</v>
      </c>
      <c r="M199" s="128" t="e">
        <f>VLOOKUP(G199,'BASE PASAJEROS'!A:H,8,FALSE)</f>
        <v>#N/A</v>
      </c>
      <c r="N199" s="128"/>
      <c r="O199" s="128"/>
      <c r="P199" s="128" t="e">
        <f>VLOOKUP(G199,'BASE PASAJEROS'!A:F,6,FALSE)</f>
        <v>#N/A</v>
      </c>
      <c r="Q199" s="128" t="e">
        <f>VLOOKUP(G199,'BASE PASAJEROS'!A:C,3,FALSE)</f>
        <v>#N/A</v>
      </c>
      <c r="R199" s="128" t="e">
        <f>VLOOKUP(G199,'BASE PASAJEROS'!A:G,7,FALSE)</f>
        <v>#N/A</v>
      </c>
      <c r="S199" s="128" t="s">
        <v>305</v>
      </c>
      <c r="T199" s="128" t="s">
        <v>320</v>
      </c>
      <c r="U199" s="130" t="e">
        <f>VLOOKUP(G199,'BASE PASAJEROS'!A:AG,33,FALSE)</f>
        <v>#N/A</v>
      </c>
      <c r="V199" s="130" t="e">
        <f>VLOOKUP(G199,'BASE PASAJEROS'!A:AH,34,FALSE)</f>
        <v>#N/A</v>
      </c>
      <c r="W199" s="121"/>
      <c r="X199" s="165" t="s">
        <v>368</v>
      </c>
      <c r="Y199" s="79" t="s">
        <v>21</v>
      </c>
      <c r="Z199" s="79" t="s">
        <v>328</v>
      </c>
      <c r="AA199" s="128" t="s">
        <v>319</v>
      </c>
      <c r="AB199" s="128" t="e">
        <f>VLOOKUP(AA199,'BASE BANCOS'!$A$2:$D$202,3,FALSE)</f>
        <v>#N/A</v>
      </c>
      <c r="AD199" s="129" t="e">
        <f>VLOOKUP(AC199,'BASE CONDUCTORES'!E:G,3,FALSE)</f>
        <v>#N/A</v>
      </c>
      <c r="AK199" s="79" t="s">
        <v>407</v>
      </c>
    </row>
    <row r="200" spans="2:48" x14ac:dyDescent="0.25">
      <c r="C200" s="95">
        <v>44320</v>
      </c>
      <c r="D200" s="128" t="s">
        <v>29</v>
      </c>
      <c r="E200" s="128" t="s">
        <v>33</v>
      </c>
      <c r="F200" s="124">
        <v>1</v>
      </c>
      <c r="G200" s="152" t="s">
        <v>378</v>
      </c>
      <c r="K200" s="128" t="e">
        <f>VLOOKUP(G200,'BASE PASAJEROS'!A:B,2,FALSE)</f>
        <v>#N/A</v>
      </c>
      <c r="L200" s="128" t="s">
        <v>316</v>
      </c>
      <c r="M200" s="128" t="e">
        <f>VLOOKUP(G200,'BASE PASAJEROS'!A:H,8,FALSE)</f>
        <v>#N/A</v>
      </c>
      <c r="N200" s="128"/>
      <c r="O200" s="128"/>
      <c r="P200" s="128" t="e">
        <f>VLOOKUP(G200,'BASE PASAJEROS'!A:F,6,FALSE)</f>
        <v>#N/A</v>
      </c>
      <c r="Q200" s="128" t="e">
        <f>VLOOKUP(G200,'BASE PASAJEROS'!A:C,3,FALSE)</f>
        <v>#N/A</v>
      </c>
      <c r="R200" s="128" t="e">
        <f>VLOOKUP(G200,'BASE PASAJEROS'!A:G,7,FALSE)</f>
        <v>#N/A</v>
      </c>
      <c r="S200" s="128" t="s">
        <v>305</v>
      </c>
      <c r="T200" s="128" t="s">
        <v>320</v>
      </c>
      <c r="U200" s="130" t="e">
        <f>VLOOKUP(G200,'BASE PASAJEROS'!A:AG,33,FALSE)</f>
        <v>#N/A</v>
      </c>
      <c r="V200" s="130" t="e">
        <f>VLOOKUP(G200,'BASE PASAJEROS'!A:AH,34,FALSE)</f>
        <v>#N/A</v>
      </c>
      <c r="W200" s="121"/>
      <c r="X200" s="165" t="s">
        <v>368</v>
      </c>
      <c r="Y200" s="79" t="s">
        <v>374</v>
      </c>
      <c r="Z200" s="79" t="s">
        <v>328</v>
      </c>
      <c r="AA200" s="128" t="s">
        <v>325</v>
      </c>
      <c r="AB200" s="128" t="e">
        <f>VLOOKUP(AA200,'BASE BANCOS'!$A$2:$D$202,3,FALSE)</f>
        <v>#N/A</v>
      </c>
      <c r="AC200" s="128" t="s">
        <v>326</v>
      </c>
      <c r="AD200" s="129" t="e">
        <f>VLOOKUP(AC200,'BASE CONDUCTORES'!E:G,3,FALSE)</f>
        <v>#N/A</v>
      </c>
      <c r="AK200" s="79" t="s">
        <v>403</v>
      </c>
    </row>
    <row r="201" spans="2:48" x14ac:dyDescent="0.25">
      <c r="C201" s="95">
        <v>44320</v>
      </c>
      <c r="D201" s="128" t="s">
        <v>29</v>
      </c>
      <c r="E201" s="128" t="s">
        <v>33</v>
      </c>
      <c r="F201" s="124">
        <v>1</v>
      </c>
      <c r="G201" s="152" t="s">
        <v>356</v>
      </c>
      <c r="K201" s="128" t="e">
        <f>VLOOKUP(G201,'BASE PASAJEROS'!A:B,2,FALSE)</f>
        <v>#N/A</v>
      </c>
      <c r="L201" s="128" t="s">
        <v>316</v>
      </c>
      <c r="M201" s="128" t="e">
        <f>VLOOKUP(G201,'BASE PASAJEROS'!A:H,8,FALSE)</f>
        <v>#N/A</v>
      </c>
      <c r="N201" s="128"/>
      <c r="O201" s="128"/>
      <c r="P201" s="128" t="e">
        <f>VLOOKUP(G201,'BASE PASAJEROS'!A:F,6,FALSE)</f>
        <v>#N/A</v>
      </c>
      <c r="Q201" s="128" t="e">
        <f>VLOOKUP(G201,'BASE PASAJEROS'!A:C,3,FALSE)</f>
        <v>#N/A</v>
      </c>
      <c r="R201" s="128" t="e">
        <f>VLOOKUP(G201,'BASE PASAJEROS'!A:G,7,FALSE)</f>
        <v>#N/A</v>
      </c>
      <c r="S201" s="128" t="s">
        <v>305</v>
      </c>
      <c r="T201" s="128" t="s">
        <v>320</v>
      </c>
      <c r="U201" s="130" t="e">
        <f>VLOOKUP(G201,'BASE PASAJEROS'!A:AG,33,FALSE)</f>
        <v>#N/A</v>
      </c>
      <c r="V201" s="130" t="e">
        <f>VLOOKUP(G201,'BASE PASAJEROS'!A:AH,34,FALSE)</f>
        <v>#N/A</v>
      </c>
      <c r="W201" s="121"/>
      <c r="X201" s="165" t="s">
        <v>368</v>
      </c>
      <c r="Y201" s="79" t="s">
        <v>21</v>
      </c>
      <c r="Z201" s="79" t="s">
        <v>406</v>
      </c>
      <c r="AA201" s="128" t="s">
        <v>319</v>
      </c>
      <c r="AB201" s="128" t="e">
        <f>VLOOKUP(AA201,'BASE BANCOS'!$A$2:$D$202,3,FALSE)</f>
        <v>#N/A</v>
      </c>
      <c r="AD201" s="129" t="e">
        <f>VLOOKUP(AC201,'BASE CONDUCTORES'!E:G,3,FALSE)</f>
        <v>#N/A</v>
      </c>
      <c r="AK201" s="79" t="s">
        <v>404</v>
      </c>
    </row>
    <row r="202" spans="2:48" x14ac:dyDescent="0.25">
      <c r="C202" s="95">
        <v>44320</v>
      </c>
      <c r="D202" s="128" t="s">
        <v>29</v>
      </c>
      <c r="E202" s="128" t="s">
        <v>33</v>
      </c>
      <c r="F202" s="124">
        <v>1</v>
      </c>
      <c r="G202" s="152" t="s">
        <v>379</v>
      </c>
      <c r="K202" s="128" t="e">
        <f>VLOOKUP(G202,'BASE PASAJEROS'!A:B,2,FALSE)</f>
        <v>#N/A</v>
      </c>
      <c r="L202" s="128" t="s">
        <v>316</v>
      </c>
      <c r="M202" s="128" t="e">
        <f>VLOOKUP(G202,'BASE PASAJEROS'!A:H,8,FALSE)</f>
        <v>#N/A</v>
      </c>
      <c r="N202" s="128"/>
      <c r="O202" s="128"/>
      <c r="P202" s="128" t="e">
        <f>VLOOKUP(G202,'BASE PASAJEROS'!A:F,6,FALSE)</f>
        <v>#N/A</v>
      </c>
      <c r="Q202" s="128" t="e">
        <f>VLOOKUP(G202,'BASE PASAJEROS'!A:C,3,FALSE)</f>
        <v>#N/A</v>
      </c>
      <c r="R202" s="128" t="e">
        <f>VLOOKUP(G202,'BASE PASAJEROS'!A:G,7,FALSE)</f>
        <v>#N/A</v>
      </c>
      <c r="S202" s="128" t="s">
        <v>305</v>
      </c>
      <c r="T202" s="128" t="s">
        <v>320</v>
      </c>
      <c r="U202" s="130" t="e">
        <f>VLOOKUP(G202,'BASE PASAJEROS'!A:AG,33,FALSE)</f>
        <v>#N/A</v>
      </c>
      <c r="V202" s="130" t="e">
        <f>VLOOKUP(G202,'BASE PASAJEROS'!A:AH,34,FALSE)</f>
        <v>#N/A</v>
      </c>
      <c r="W202" s="121"/>
      <c r="X202" s="165" t="s">
        <v>368</v>
      </c>
      <c r="Y202" s="79" t="s">
        <v>374</v>
      </c>
      <c r="Z202" s="79" t="s">
        <v>328</v>
      </c>
      <c r="AA202" s="128" t="s">
        <v>317</v>
      </c>
      <c r="AB202" s="128" t="e">
        <f>VLOOKUP(AA202,'BASE BANCOS'!$A$2:$D$202,3,FALSE)</f>
        <v>#N/A</v>
      </c>
      <c r="AC202" s="143" t="s">
        <v>369</v>
      </c>
      <c r="AD202" s="129" t="e">
        <f>VLOOKUP(AC202,'BASE CONDUCTORES'!E:G,3,FALSE)</f>
        <v>#N/A</v>
      </c>
    </row>
    <row r="203" spans="2:48" x14ac:dyDescent="0.25">
      <c r="C203" s="95">
        <v>44320</v>
      </c>
      <c r="D203" s="128" t="s">
        <v>29</v>
      </c>
      <c r="E203" s="128" t="s">
        <v>33</v>
      </c>
      <c r="F203" s="124">
        <v>1</v>
      </c>
      <c r="G203" s="152" t="s">
        <v>380</v>
      </c>
      <c r="K203" s="128" t="e">
        <f>VLOOKUP(G203,'BASE PASAJEROS'!A:B,2,FALSE)</f>
        <v>#N/A</v>
      </c>
      <c r="L203" s="128" t="s">
        <v>316</v>
      </c>
      <c r="M203" s="128" t="e">
        <f>VLOOKUP(G203,'BASE PASAJEROS'!A:H,8,FALSE)</f>
        <v>#N/A</v>
      </c>
      <c r="N203" s="128"/>
      <c r="O203" s="128"/>
      <c r="P203" s="128" t="e">
        <f>VLOOKUP(G203,'BASE PASAJEROS'!A:F,6,FALSE)</f>
        <v>#N/A</v>
      </c>
      <c r="Q203" s="128" t="e">
        <f>VLOOKUP(G203,'BASE PASAJEROS'!A:C,3,FALSE)</f>
        <v>#N/A</v>
      </c>
      <c r="R203" s="128" t="e">
        <f>VLOOKUP(G203,'BASE PASAJEROS'!A:G,7,FALSE)</f>
        <v>#N/A</v>
      </c>
      <c r="S203" s="128" t="s">
        <v>305</v>
      </c>
      <c r="T203" s="128" t="s">
        <v>320</v>
      </c>
      <c r="U203" s="130" t="e">
        <f>VLOOKUP(G203,'BASE PASAJEROS'!A:AG,33,FALSE)</f>
        <v>#N/A</v>
      </c>
      <c r="V203" s="130" t="e">
        <f>VLOOKUP(G203,'BASE PASAJEROS'!A:AH,34,FALSE)</f>
        <v>#N/A</v>
      </c>
      <c r="W203" s="121"/>
      <c r="X203" s="165" t="s">
        <v>368</v>
      </c>
      <c r="Y203" s="79" t="s">
        <v>374</v>
      </c>
      <c r="Z203" s="79" t="s">
        <v>328</v>
      </c>
      <c r="AA203" s="128" t="s">
        <v>317</v>
      </c>
      <c r="AB203" s="128" t="e">
        <f>VLOOKUP(AA203,'BASE BANCOS'!$A$2:$D$202,3,FALSE)</f>
        <v>#N/A</v>
      </c>
      <c r="AC203" s="79" t="s">
        <v>405</v>
      </c>
      <c r="AD203" s="129" t="e">
        <f>VLOOKUP(AC203,'BASE CONDUCTORES'!E:G,3,FALSE)</f>
        <v>#N/A</v>
      </c>
    </row>
    <row r="204" spans="2:48" x14ac:dyDescent="0.25">
      <c r="C204" s="95">
        <v>44320</v>
      </c>
      <c r="D204" s="128" t="s">
        <v>29</v>
      </c>
      <c r="E204" s="128" t="s">
        <v>33</v>
      </c>
      <c r="F204" s="124">
        <v>1</v>
      </c>
      <c r="G204" s="152" t="s">
        <v>381</v>
      </c>
      <c r="K204" s="128" t="e">
        <f>VLOOKUP(G204,'BASE PASAJEROS'!A:B,2,FALSE)</f>
        <v>#N/A</v>
      </c>
      <c r="L204" s="128" t="s">
        <v>316</v>
      </c>
      <c r="M204" s="128" t="e">
        <f>VLOOKUP(G204,'BASE PASAJEROS'!A:H,8,FALSE)</f>
        <v>#N/A</v>
      </c>
      <c r="N204" s="128"/>
      <c r="O204" s="128"/>
      <c r="P204" s="128" t="e">
        <f>VLOOKUP(G204,'BASE PASAJEROS'!A:F,6,FALSE)</f>
        <v>#N/A</v>
      </c>
      <c r="Q204" s="128" t="e">
        <f>VLOOKUP(G204,'BASE PASAJEROS'!A:C,3,FALSE)</f>
        <v>#N/A</v>
      </c>
      <c r="R204" s="128" t="e">
        <f>VLOOKUP(G204,'BASE PASAJEROS'!A:G,7,FALSE)</f>
        <v>#N/A</v>
      </c>
      <c r="S204" s="128" t="s">
        <v>305</v>
      </c>
      <c r="T204" s="128" t="s">
        <v>320</v>
      </c>
      <c r="U204" s="130" t="e">
        <f>VLOOKUP(G204,'BASE PASAJEROS'!A:AG,33,FALSE)</f>
        <v>#N/A</v>
      </c>
      <c r="V204" s="130" t="e">
        <f>VLOOKUP(G204,'BASE PASAJEROS'!A:AH,34,FALSE)</f>
        <v>#N/A</v>
      </c>
      <c r="W204" s="121"/>
      <c r="X204" s="165" t="s">
        <v>368</v>
      </c>
      <c r="Y204" s="79" t="s">
        <v>374</v>
      </c>
      <c r="Z204" s="79" t="s">
        <v>328</v>
      </c>
      <c r="AA204" s="128" t="s">
        <v>317</v>
      </c>
      <c r="AB204" s="128" t="e">
        <f>VLOOKUP(AA204,'BASE BANCOS'!$A$2:$D$202,3,FALSE)</f>
        <v>#N/A</v>
      </c>
      <c r="AC204" s="128" t="s">
        <v>318</v>
      </c>
      <c r="AD204" s="129" t="e">
        <f>VLOOKUP(AC204,'BASE CONDUCTORES'!E:G,3,FALSE)</f>
        <v>#N/A</v>
      </c>
    </row>
    <row r="205" spans="2:48" x14ac:dyDescent="0.25">
      <c r="C205" s="95">
        <v>44320</v>
      </c>
      <c r="D205" s="128" t="s">
        <v>29</v>
      </c>
      <c r="E205" s="128" t="s">
        <v>33</v>
      </c>
      <c r="F205" s="124">
        <v>1</v>
      </c>
      <c r="G205" s="152" t="s">
        <v>382</v>
      </c>
      <c r="K205" s="128" t="e">
        <f>VLOOKUP(G205,'BASE PASAJEROS'!A:B,2,FALSE)</f>
        <v>#N/A</v>
      </c>
      <c r="L205" s="128" t="s">
        <v>316</v>
      </c>
      <c r="M205" s="128" t="e">
        <f>VLOOKUP(G205,'BASE PASAJEROS'!A:H,8,FALSE)</f>
        <v>#N/A</v>
      </c>
      <c r="N205" s="128"/>
      <c r="O205" s="128"/>
      <c r="P205" s="128" t="e">
        <f>VLOOKUP(G205,'BASE PASAJEROS'!A:F,6,FALSE)</f>
        <v>#N/A</v>
      </c>
      <c r="Q205" s="128" t="e">
        <f>VLOOKUP(G205,'BASE PASAJEROS'!A:C,3,FALSE)</f>
        <v>#N/A</v>
      </c>
      <c r="R205" s="128" t="e">
        <f>VLOOKUP(G205,'BASE PASAJEROS'!A:G,7,FALSE)</f>
        <v>#N/A</v>
      </c>
      <c r="S205" s="128" t="s">
        <v>305</v>
      </c>
      <c r="T205" s="128" t="s">
        <v>320</v>
      </c>
      <c r="U205" s="130" t="e">
        <f>VLOOKUP(G205,'BASE PASAJEROS'!A:AG,33,FALSE)</f>
        <v>#N/A</v>
      </c>
      <c r="V205" s="130" t="e">
        <f>VLOOKUP(G205,'BASE PASAJEROS'!A:AH,34,FALSE)</f>
        <v>#N/A</v>
      </c>
      <c r="W205" s="121"/>
      <c r="X205" s="165" t="s">
        <v>368</v>
      </c>
      <c r="Y205" s="79" t="s">
        <v>374</v>
      </c>
      <c r="Z205" s="79" t="s">
        <v>328</v>
      </c>
      <c r="AA205" s="128" t="s">
        <v>317</v>
      </c>
      <c r="AB205" s="128" t="e">
        <f>VLOOKUP(AA205,'BASE BANCOS'!$A$2:$D$202,3,FALSE)</f>
        <v>#N/A</v>
      </c>
      <c r="AC205" s="128" t="s">
        <v>318</v>
      </c>
      <c r="AD205" s="129" t="e">
        <f>VLOOKUP(AC205,'BASE CONDUCTORES'!E:G,3,FALSE)</f>
        <v>#N/A</v>
      </c>
    </row>
    <row r="206" spans="2:48" x14ac:dyDescent="0.25">
      <c r="C206" s="95">
        <v>44320</v>
      </c>
      <c r="D206" s="128" t="s">
        <v>29</v>
      </c>
      <c r="E206" s="128" t="s">
        <v>33</v>
      </c>
      <c r="F206" s="124">
        <v>1</v>
      </c>
      <c r="G206" s="152" t="s">
        <v>383</v>
      </c>
      <c r="K206" s="128" t="e">
        <f>VLOOKUP(G206,'BASE PASAJEROS'!A:B,2,FALSE)</f>
        <v>#N/A</v>
      </c>
      <c r="L206" s="128" t="s">
        <v>316</v>
      </c>
      <c r="M206" s="128" t="e">
        <f>VLOOKUP(G206,'BASE PASAJEROS'!A:H,8,FALSE)</f>
        <v>#N/A</v>
      </c>
      <c r="N206" s="128"/>
      <c r="O206" s="128"/>
      <c r="P206" s="128" t="e">
        <f>VLOOKUP(G206,'BASE PASAJEROS'!A:F,6,FALSE)</f>
        <v>#N/A</v>
      </c>
      <c r="Q206" s="128" t="e">
        <f>VLOOKUP(G206,'BASE PASAJEROS'!A:C,3,FALSE)</f>
        <v>#N/A</v>
      </c>
      <c r="R206" s="128" t="e">
        <f>VLOOKUP(G206,'BASE PASAJEROS'!A:G,7,FALSE)</f>
        <v>#N/A</v>
      </c>
      <c r="S206" s="128" t="s">
        <v>305</v>
      </c>
      <c r="T206" s="128" t="s">
        <v>320</v>
      </c>
      <c r="U206" s="130" t="e">
        <f>VLOOKUP(G206,'BASE PASAJEROS'!A:AG,33,FALSE)</f>
        <v>#N/A</v>
      </c>
      <c r="V206" s="130" t="e">
        <f>VLOOKUP(G206,'BASE PASAJEROS'!A:AH,34,FALSE)</f>
        <v>#N/A</v>
      </c>
      <c r="W206" s="121"/>
      <c r="X206" s="165" t="s">
        <v>368</v>
      </c>
      <c r="Y206" s="79" t="s">
        <v>374</v>
      </c>
      <c r="Z206" s="79" t="s">
        <v>328</v>
      </c>
      <c r="AA206" s="128" t="s">
        <v>317</v>
      </c>
      <c r="AB206" s="128" t="e">
        <f>VLOOKUP(AA206,'BASE BANCOS'!$A$2:$D$202,3,FALSE)</f>
        <v>#N/A</v>
      </c>
      <c r="AC206" s="79" t="s">
        <v>405</v>
      </c>
      <c r="AD206" s="129" t="e">
        <f>VLOOKUP(AC206,'BASE CONDUCTORES'!E:G,3,FALSE)</f>
        <v>#N/A</v>
      </c>
    </row>
    <row r="207" spans="2:48" x14ac:dyDescent="0.25">
      <c r="C207" s="95">
        <v>44320</v>
      </c>
      <c r="D207" s="128" t="s">
        <v>29</v>
      </c>
      <c r="E207" s="128" t="s">
        <v>33</v>
      </c>
      <c r="F207" s="124">
        <v>1</v>
      </c>
      <c r="G207" s="152" t="s">
        <v>384</v>
      </c>
      <c r="K207" s="128" t="e">
        <f>VLOOKUP(G207,'BASE PASAJEROS'!A:B,2,FALSE)</f>
        <v>#N/A</v>
      </c>
      <c r="L207" s="128" t="s">
        <v>316</v>
      </c>
      <c r="M207" s="128" t="e">
        <f>VLOOKUP(G207,'BASE PASAJEROS'!A:H,8,FALSE)</f>
        <v>#N/A</v>
      </c>
      <c r="N207" s="128"/>
      <c r="O207" s="128"/>
      <c r="P207" s="128" t="e">
        <f>VLOOKUP(G207,'BASE PASAJEROS'!A:F,6,FALSE)</f>
        <v>#N/A</v>
      </c>
      <c r="Q207" s="128" t="e">
        <f>VLOOKUP(G207,'BASE PASAJEROS'!A:C,3,FALSE)</f>
        <v>#N/A</v>
      </c>
      <c r="R207" s="128" t="e">
        <f>VLOOKUP(G207,'BASE PASAJEROS'!A:G,7,FALSE)</f>
        <v>#N/A</v>
      </c>
      <c r="S207" s="128" t="s">
        <v>305</v>
      </c>
      <c r="T207" s="128" t="s">
        <v>320</v>
      </c>
      <c r="U207" s="130" t="e">
        <f>VLOOKUP(G207,'BASE PASAJEROS'!A:AG,33,FALSE)</f>
        <v>#N/A</v>
      </c>
      <c r="V207" s="130" t="e">
        <f>VLOOKUP(G207,'BASE PASAJEROS'!A:AH,34,FALSE)</f>
        <v>#N/A</v>
      </c>
      <c r="W207" s="121"/>
      <c r="X207" s="165" t="s">
        <v>368</v>
      </c>
      <c r="Y207" s="79" t="s">
        <v>374</v>
      </c>
      <c r="Z207" s="79" t="s">
        <v>328</v>
      </c>
      <c r="AA207" s="128" t="s">
        <v>317</v>
      </c>
      <c r="AB207" s="128" t="e">
        <f>VLOOKUP(AA207,'BASE BANCOS'!$A$2:$D$202,3,FALSE)</f>
        <v>#N/A</v>
      </c>
      <c r="AC207" s="79" t="s">
        <v>405</v>
      </c>
      <c r="AD207" s="129" t="e">
        <f>VLOOKUP(AC207,'BASE CONDUCTORES'!E:G,3,FALSE)</f>
        <v>#N/A</v>
      </c>
    </row>
    <row r="208" spans="2:48" x14ac:dyDescent="0.25">
      <c r="C208" s="95">
        <v>44320</v>
      </c>
      <c r="D208" s="128" t="s">
        <v>29</v>
      </c>
      <c r="E208" s="128" t="s">
        <v>33</v>
      </c>
      <c r="F208" s="124">
        <v>1</v>
      </c>
      <c r="G208" s="152" t="s">
        <v>385</v>
      </c>
      <c r="K208" s="128" t="e">
        <f>VLOOKUP(G208,'BASE PASAJEROS'!A:B,2,FALSE)</f>
        <v>#N/A</v>
      </c>
      <c r="L208" s="128" t="s">
        <v>316</v>
      </c>
      <c r="M208" s="128" t="e">
        <f>VLOOKUP(G208,'BASE PASAJEROS'!A:H,8,FALSE)</f>
        <v>#N/A</v>
      </c>
      <c r="N208" s="128"/>
      <c r="O208" s="128"/>
      <c r="P208" s="128" t="e">
        <f>VLOOKUP(G208,'BASE PASAJEROS'!A:F,6,FALSE)</f>
        <v>#N/A</v>
      </c>
      <c r="Q208" s="128" t="e">
        <f>VLOOKUP(G208,'BASE PASAJEROS'!A:C,3,FALSE)</f>
        <v>#N/A</v>
      </c>
      <c r="R208" s="128" t="e">
        <f>VLOOKUP(G208,'BASE PASAJEROS'!A:G,7,FALSE)</f>
        <v>#N/A</v>
      </c>
      <c r="S208" s="128" t="s">
        <v>305</v>
      </c>
      <c r="T208" s="128" t="s">
        <v>320</v>
      </c>
      <c r="U208" s="130" t="e">
        <f>VLOOKUP(G208,'BASE PASAJEROS'!A:AG,33,FALSE)</f>
        <v>#N/A</v>
      </c>
      <c r="V208" s="130" t="e">
        <f>VLOOKUP(G208,'BASE PASAJEROS'!A:AH,34,FALSE)</f>
        <v>#N/A</v>
      </c>
      <c r="W208" s="121"/>
      <c r="X208" s="165" t="s">
        <v>368</v>
      </c>
      <c r="Y208" s="79" t="s">
        <v>374</v>
      </c>
      <c r="Z208" s="79" t="s">
        <v>328</v>
      </c>
      <c r="AA208" s="128" t="s">
        <v>317</v>
      </c>
      <c r="AB208" s="128" t="e">
        <f>VLOOKUP(AA208,'BASE BANCOS'!$A$2:$D$202,3,FALSE)</f>
        <v>#N/A</v>
      </c>
      <c r="AC208" s="143" t="s">
        <v>369</v>
      </c>
      <c r="AD208" s="129" t="e">
        <f>VLOOKUP(AC208,'BASE CONDUCTORES'!E:G,3,FALSE)</f>
        <v>#N/A</v>
      </c>
    </row>
    <row r="209" spans="3:37" x14ac:dyDescent="0.25">
      <c r="C209" s="95">
        <v>44320</v>
      </c>
      <c r="D209" s="128" t="s">
        <v>29</v>
      </c>
      <c r="E209" s="128" t="s">
        <v>33</v>
      </c>
      <c r="F209" s="124">
        <v>1</v>
      </c>
      <c r="G209" s="152" t="s">
        <v>386</v>
      </c>
      <c r="K209" s="128" t="e">
        <f>VLOOKUP(G209,'BASE PASAJEROS'!A:B,2,FALSE)</f>
        <v>#N/A</v>
      </c>
      <c r="L209" s="128" t="s">
        <v>316</v>
      </c>
      <c r="M209" s="128" t="e">
        <f>VLOOKUP(G209,'BASE PASAJEROS'!A:H,8,FALSE)</f>
        <v>#N/A</v>
      </c>
      <c r="N209" s="128"/>
      <c r="O209" s="128"/>
      <c r="P209" s="128" t="e">
        <f>VLOOKUP(G209,'BASE PASAJEROS'!A:F,6,FALSE)</f>
        <v>#N/A</v>
      </c>
      <c r="Q209" s="128" t="e">
        <f>VLOOKUP(G209,'BASE PASAJEROS'!A:C,3,FALSE)</f>
        <v>#N/A</v>
      </c>
      <c r="R209" s="128" t="e">
        <f>VLOOKUP(G209,'BASE PASAJEROS'!A:G,7,FALSE)</f>
        <v>#N/A</v>
      </c>
      <c r="S209" s="128" t="s">
        <v>305</v>
      </c>
      <c r="T209" s="128" t="s">
        <v>320</v>
      </c>
      <c r="U209" s="130" t="e">
        <f>VLOOKUP(G209,'BASE PASAJEROS'!A:AG,33,FALSE)</f>
        <v>#N/A</v>
      </c>
      <c r="V209" s="130" t="e">
        <f>VLOOKUP(G209,'BASE PASAJEROS'!A:AH,34,FALSE)</f>
        <v>#N/A</v>
      </c>
      <c r="W209" s="121"/>
      <c r="X209" s="165" t="s">
        <v>368</v>
      </c>
      <c r="Y209" s="79" t="s">
        <v>374</v>
      </c>
      <c r="Z209" s="79" t="s">
        <v>328</v>
      </c>
      <c r="AA209" s="128" t="s">
        <v>317</v>
      </c>
      <c r="AB209" s="128" t="e">
        <f>VLOOKUP(AA209,'BASE BANCOS'!$A$2:$D$202,3,FALSE)</f>
        <v>#N/A</v>
      </c>
      <c r="AC209" s="79" t="s">
        <v>405</v>
      </c>
      <c r="AD209" s="129" t="e">
        <f>VLOOKUP(AC209,'BASE CONDUCTORES'!E:G,3,FALSE)</f>
        <v>#N/A</v>
      </c>
    </row>
    <row r="210" spans="3:37" x14ac:dyDescent="0.25">
      <c r="C210" s="95">
        <v>44320</v>
      </c>
      <c r="D210" s="128" t="s">
        <v>29</v>
      </c>
      <c r="E210" s="128" t="s">
        <v>33</v>
      </c>
      <c r="F210" s="124">
        <v>1</v>
      </c>
      <c r="G210" s="152" t="s">
        <v>387</v>
      </c>
      <c r="K210" s="128" t="e">
        <f>VLOOKUP(G210,'BASE PASAJEROS'!A:B,2,FALSE)</f>
        <v>#N/A</v>
      </c>
      <c r="L210" s="128" t="s">
        <v>316</v>
      </c>
      <c r="M210" s="128" t="e">
        <f>VLOOKUP(G210,'BASE PASAJEROS'!A:H,8,FALSE)</f>
        <v>#N/A</v>
      </c>
      <c r="N210" s="128"/>
      <c r="O210" s="128"/>
      <c r="P210" s="128" t="e">
        <f>VLOOKUP(G210,'BASE PASAJEROS'!A:F,6,FALSE)</f>
        <v>#N/A</v>
      </c>
      <c r="Q210" s="128" t="e">
        <f>VLOOKUP(G210,'BASE PASAJEROS'!A:C,3,FALSE)</f>
        <v>#N/A</v>
      </c>
      <c r="R210" s="128" t="e">
        <f>VLOOKUP(G210,'BASE PASAJEROS'!A:G,7,FALSE)</f>
        <v>#N/A</v>
      </c>
      <c r="S210" s="128" t="s">
        <v>305</v>
      </c>
      <c r="T210" s="128" t="s">
        <v>320</v>
      </c>
      <c r="U210" s="130" t="e">
        <f>VLOOKUP(G210,'BASE PASAJEROS'!A:AG,33,FALSE)</f>
        <v>#N/A</v>
      </c>
      <c r="V210" s="130" t="e">
        <f>VLOOKUP(G210,'BASE PASAJEROS'!A:AH,34,FALSE)</f>
        <v>#N/A</v>
      </c>
      <c r="W210" s="121"/>
      <c r="X210" s="165" t="s">
        <v>368</v>
      </c>
      <c r="Y210" s="79" t="s">
        <v>374</v>
      </c>
      <c r="Z210" s="79" t="s">
        <v>328</v>
      </c>
      <c r="AA210" s="128" t="s">
        <v>317</v>
      </c>
      <c r="AB210" s="128" t="e">
        <f>VLOOKUP(AA210,'BASE BANCOS'!$A$2:$D$202,3,FALSE)</f>
        <v>#N/A</v>
      </c>
      <c r="AC210" s="143" t="s">
        <v>369</v>
      </c>
      <c r="AD210" s="129" t="e">
        <f>VLOOKUP(AC210,'BASE CONDUCTORES'!E:G,3,FALSE)</f>
        <v>#N/A</v>
      </c>
    </row>
    <row r="211" spans="3:37" x14ac:dyDescent="0.25">
      <c r="C211" s="95">
        <v>44320</v>
      </c>
      <c r="D211" s="128" t="s">
        <v>29</v>
      </c>
      <c r="E211" s="128" t="s">
        <v>33</v>
      </c>
      <c r="F211" s="124">
        <v>1</v>
      </c>
      <c r="G211" s="152" t="s">
        <v>388</v>
      </c>
      <c r="K211" s="128" t="e">
        <f>VLOOKUP(G211,'BASE PASAJEROS'!A:B,2,FALSE)</f>
        <v>#N/A</v>
      </c>
      <c r="L211" s="128" t="s">
        <v>316</v>
      </c>
      <c r="M211" s="128" t="e">
        <f>VLOOKUP(G211,'BASE PASAJEROS'!A:H,8,FALSE)</f>
        <v>#N/A</v>
      </c>
      <c r="N211" s="128"/>
      <c r="O211" s="128"/>
      <c r="P211" s="128" t="e">
        <f>VLOOKUP(G211,'BASE PASAJEROS'!A:F,6,FALSE)</f>
        <v>#N/A</v>
      </c>
      <c r="Q211" s="128" t="e">
        <f>VLOOKUP(G211,'BASE PASAJEROS'!A:C,3,FALSE)</f>
        <v>#N/A</v>
      </c>
      <c r="R211" s="128" t="e">
        <f>VLOOKUP(G211,'BASE PASAJEROS'!A:G,7,FALSE)</f>
        <v>#N/A</v>
      </c>
      <c r="S211" s="128" t="s">
        <v>305</v>
      </c>
      <c r="T211" s="128" t="s">
        <v>320</v>
      </c>
      <c r="U211" s="130" t="e">
        <f>VLOOKUP(G211,'BASE PASAJEROS'!A:AG,33,FALSE)</f>
        <v>#N/A</v>
      </c>
      <c r="V211" s="130" t="e">
        <f>VLOOKUP(G211,'BASE PASAJEROS'!A:AH,34,FALSE)</f>
        <v>#N/A</v>
      </c>
      <c r="W211" s="121"/>
      <c r="X211" s="165" t="s">
        <v>368</v>
      </c>
      <c r="Y211" s="79" t="s">
        <v>374</v>
      </c>
      <c r="Z211" s="79" t="s">
        <v>328</v>
      </c>
      <c r="AA211" s="128" t="s">
        <v>317</v>
      </c>
      <c r="AB211" s="128" t="e">
        <f>VLOOKUP(AA211,'BASE BANCOS'!$A$2:$D$202,3,FALSE)</f>
        <v>#N/A</v>
      </c>
      <c r="AC211" s="79" t="s">
        <v>405</v>
      </c>
      <c r="AD211" s="129" t="e">
        <f>VLOOKUP(AC211,'BASE CONDUCTORES'!E:G,3,FALSE)</f>
        <v>#N/A</v>
      </c>
    </row>
    <row r="212" spans="3:37" x14ac:dyDescent="0.25">
      <c r="C212" s="95">
        <v>44320</v>
      </c>
      <c r="D212" s="128" t="s">
        <v>29</v>
      </c>
      <c r="E212" s="128" t="s">
        <v>33</v>
      </c>
      <c r="F212" s="124">
        <v>1</v>
      </c>
      <c r="G212" s="152" t="s">
        <v>389</v>
      </c>
      <c r="K212" s="128" t="e">
        <f>VLOOKUP(G212,'BASE PASAJEROS'!A:B,2,FALSE)</f>
        <v>#N/A</v>
      </c>
      <c r="L212" s="128" t="s">
        <v>316</v>
      </c>
      <c r="M212" s="128" t="e">
        <f>VLOOKUP(G212,'BASE PASAJEROS'!A:H,8,FALSE)</f>
        <v>#N/A</v>
      </c>
      <c r="N212" s="128"/>
      <c r="O212" s="128"/>
      <c r="P212" s="128" t="e">
        <f>VLOOKUP(G212,'BASE PASAJEROS'!A:F,6,FALSE)</f>
        <v>#N/A</v>
      </c>
      <c r="Q212" s="128" t="e">
        <f>VLOOKUP(G212,'BASE PASAJEROS'!A:C,3,FALSE)</f>
        <v>#N/A</v>
      </c>
      <c r="R212" s="128" t="e">
        <f>VLOOKUP(G212,'BASE PASAJEROS'!A:G,7,FALSE)</f>
        <v>#N/A</v>
      </c>
      <c r="S212" s="128" t="s">
        <v>305</v>
      </c>
      <c r="T212" s="128" t="s">
        <v>320</v>
      </c>
      <c r="U212" s="130" t="e">
        <f>VLOOKUP(G212,'BASE PASAJEROS'!A:AG,33,FALSE)</f>
        <v>#N/A</v>
      </c>
      <c r="V212" s="130" t="e">
        <f>VLOOKUP(G212,'BASE PASAJEROS'!A:AH,34,FALSE)</f>
        <v>#N/A</v>
      </c>
      <c r="W212" s="121"/>
      <c r="X212" s="165" t="s">
        <v>368</v>
      </c>
      <c r="Y212" s="79" t="s">
        <v>374</v>
      </c>
      <c r="Z212" s="79" t="s">
        <v>328</v>
      </c>
      <c r="AA212" s="128" t="s">
        <v>317</v>
      </c>
      <c r="AB212" s="128" t="e">
        <f>VLOOKUP(AA212,'BASE BANCOS'!$A$2:$D$202,3,FALSE)</f>
        <v>#N/A</v>
      </c>
      <c r="AC212" s="143" t="s">
        <v>369</v>
      </c>
      <c r="AD212" s="129" t="e">
        <f>VLOOKUP(AC212,'BASE CONDUCTORES'!E:G,3,FALSE)</f>
        <v>#N/A</v>
      </c>
    </row>
    <row r="213" spans="3:37" x14ac:dyDescent="0.25">
      <c r="C213" s="95">
        <v>44320</v>
      </c>
      <c r="D213" s="128" t="s">
        <v>29</v>
      </c>
      <c r="E213" s="128" t="s">
        <v>33</v>
      </c>
      <c r="F213" s="124">
        <v>1</v>
      </c>
      <c r="G213" s="152" t="s">
        <v>390</v>
      </c>
      <c r="K213" s="128" t="e">
        <f>VLOOKUP(G213,'BASE PASAJEROS'!A:B,2,FALSE)</f>
        <v>#N/A</v>
      </c>
      <c r="L213" s="128" t="s">
        <v>316</v>
      </c>
      <c r="M213" s="128" t="e">
        <f>VLOOKUP(G213,'BASE PASAJEROS'!A:H,8,FALSE)</f>
        <v>#N/A</v>
      </c>
      <c r="N213" s="128"/>
      <c r="O213" s="128"/>
      <c r="P213" s="128" t="e">
        <f>VLOOKUP(G213,'BASE PASAJEROS'!A:F,6,FALSE)</f>
        <v>#N/A</v>
      </c>
      <c r="Q213" s="128" t="e">
        <f>VLOOKUP(G213,'BASE PASAJEROS'!A:C,3,FALSE)</f>
        <v>#N/A</v>
      </c>
      <c r="R213" s="128" t="e">
        <f>VLOOKUP(G213,'BASE PASAJEROS'!A:G,7,FALSE)</f>
        <v>#N/A</v>
      </c>
      <c r="S213" s="128" t="s">
        <v>305</v>
      </c>
      <c r="T213" s="128" t="s">
        <v>320</v>
      </c>
      <c r="U213" s="130" t="e">
        <f>VLOOKUP(G213,'BASE PASAJEROS'!A:AG,33,FALSE)</f>
        <v>#N/A</v>
      </c>
      <c r="V213" s="130" t="e">
        <f>VLOOKUP(G213,'BASE PASAJEROS'!A:AH,34,FALSE)</f>
        <v>#N/A</v>
      </c>
      <c r="W213" s="121"/>
      <c r="X213" s="165" t="s">
        <v>368</v>
      </c>
      <c r="Y213" s="79" t="s">
        <v>374</v>
      </c>
      <c r="Z213" s="79" t="s">
        <v>328</v>
      </c>
      <c r="AA213" s="128" t="s">
        <v>317</v>
      </c>
      <c r="AB213" s="128" t="e">
        <f>VLOOKUP(AA213,'BASE BANCOS'!$A$2:$D$202,3,FALSE)</f>
        <v>#N/A</v>
      </c>
      <c r="AC213" s="143" t="s">
        <v>369</v>
      </c>
      <c r="AD213" s="129" t="e">
        <f>VLOOKUP(AC213,'BASE CONDUCTORES'!E:G,3,FALSE)</f>
        <v>#N/A</v>
      </c>
    </row>
    <row r="214" spans="3:37" x14ac:dyDescent="0.25">
      <c r="C214" s="95">
        <v>44320</v>
      </c>
      <c r="D214" s="128" t="s">
        <v>29</v>
      </c>
      <c r="E214" s="128" t="s">
        <v>33</v>
      </c>
      <c r="F214" s="124">
        <v>1</v>
      </c>
      <c r="G214" s="152" t="s">
        <v>391</v>
      </c>
      <c r="K214" s="128" t="e">
        <f>VLOOKUP(G214,'BASE PASAJEROS'!A:B,2,FALSE)</f>
        <v>#N/A</v>
      </c>
      <c r="L214" s="128" t="s">
        <v>316</v>
      </c>
      <c r="M214" s="128" t="e">
        <f>VLOOKUP(G214,'BASE PASAJEROS'!A:H,8,FALSE)</f>
        <v>#N/A</v>
      </c>
      <c r="N214" s="128"/>
      <c r="O214" s="128"/>
      <c r="P214" s="128" t="e">
        <f>VLOOKUP(G214,'BASE PASAJEROS'!A:F,6,FALSE)</f>
        <v>#N/A</v>
      </c>
      <c r="Q214" s="128" t="e">
        <f>VLOOKUP(G214,'BASE PASAJEROS'!A:C,3,FALSE)</f>
        <v>#N/A</v>
      </c>
      <c r="R214" s="128" t="e">
        <f>VLOOKUP(G214,'BASE PASAJEROS'!A:G,7,FALSE)</f>
        <v>#N/A</v>
      </c>
      <c r="S214" s="128" t="s">
        <v>305</v>
      </c>
      <c r="T214" s="128" t="s">
        <v>320</v>
      </c>
      <c r="U214" s="130" t="e">
        <f>VLOOKUP(G214,'BASE PASAJEROS'!A:AG,33,FALSE)</f>
        <v>#N/A</v>
      </c>
      <c r="V214" s="130" t="e">
        <f>VLOOKUP(G214,'BASE PASAJEROS'!A:AH,34,FALSE)</f>
        <v>#N/A</v>
      </c>
      <c r="W214" s="121"/>
      <c r="X214" s="165" t="s">
        <v>368</v>
      </c>
      <c r="Y214" s="79" t="s">
        <v>374</v>
      </c>
      <c r="Z214" s="79" t="s">
        <v>328</v>
      </c>
      <c r="AA214" s="128" t="s">
        <v>317</v>
      </c>
      <c r="AB214" s="128" t="e">
        <f>VLOOKUP(AA214,'BASE BANCOS'!$A$2:$D$202,3,FALSE)</f>
        <v>#N/A</v>
      </c>
      <c r="AC214" s="128" t="s">
        <v>318</v>
      </c>
      <c r="AD214" s="129" t="e">
        <f>VLOOKUP(AC214,'BASE CONDUCTORES'!E:G,3,FALSE)</f>
        <v>#N/A</v>
      </c>
    </row>
    <row r="215" spans="3:37" x14ac:dyDescent="0.25">
      <c r="C215" s="95">
        <v>44320</v>
      </c>
      <c r="D215" s="128" t="s">
        <v>29</v>
      </c>
      <c r="E215" s="128" t="s">
        <v>33</v>
      </c>
      <c r="F215" s="124">
        <v>1</v>
      </c>
      <c r="G215" s="152" t="s">
        <v>392</v>
      </c>
      <c r="K215" s="128" t="e">
        <f>VLOOKUP(G215,'BASE PASAJEROS'!A:B,2,FALSE)</f>
        <v>#N/A</v>
      </c>
      <c r="L215" s="128" t="s">
        <v>316</v>
      </c>
      <c r="M215" s="128" t="e">
        <f>VLOOKUP(G215,'BASE PASAJEROS'!A:H,8,FALSE)</f>
        <v>#N/A</v>
      </c>
      <c r="N215" s="128"/>
      <c r="O215" s="128"/>
      <c r="P215" s="128" t="e">
        <f>VLOOKUP(G215,'BASE PASAJEROS'!A:F,6,FALSE)</f>
        <v>#N/A</v>
      </c>
      <c r="Q215" s="128" t="e">
        <f>VLOOKUP(G215,'BASE PASAJEROS'!A:C,3,FALSE)</f>
        <v>#N/A</v>
      </c>
      <c r="R215" s="128" t="e">
        <f>VLOOKUP(G215,'BASE PASAJEROS'!A:G,7,FALSE)</f>
        <v>#N/A</v>
      </c>
      <c r="S215" s="128" t="s">
        <v>305</v>
      </c>
      <c r="T215" s="128" t="s">
        <v>320</v>
      </c>
      <c r="U215" s="130" t="e">
        <f>VLOOKUP(G215,'BASE PASAJEROS'!A:AG,33,FALSE)</f>
        <v>#N/A</v>
      </c>
      <c r="V215" s="130" t="e">
        <f>VLOOKUP(G215,'BASE PASAJEROS'!A:AH,34,FALSE)</f>
        <v>#N/A</v>
      </c>
      <c r="W215" s="121"/>
      <c r="X215" s="165" t="s">
        <v>368</v>
      </c>
      <c r="Y215" s="79" t="s">
        <v>374</v>
      </c>
      <c r="Z215" s="79" t="s">
        <v>328</v>
      </c>
      <c r="AA215" s="128" t="s">
        <v>317</v>
      </c>
      <c r="AB215" s="128" t="e">
        <f>VLOOKUP(AA215,'BASE BANCOS'!$A$2:$D$202,3,FALSE)</f>
        <v>#N/A</v>
      </c>
      <c r="AC215" s="128" t="s">
        <v>318</v>
      </c>
      <c r="AD215" s="129" t="e">
        <f>VLOOKUP(AC215,'BASE CONDUCTORES'!E:G,3,FALSE)</f>
        <v>#N/A</v>
      </c>
    </row>
    <row r="216" spans="3:37" x14ac:dyDescent="0.25">
      <c r="C216" s="95">
        <v>44320</v>
      </c>
      <c r="D216" s="128" t="s">
        <v>29</v>
      </c>
      <c r="E216" s="128" t="s">
        <v>33</v>
      </c>
      <c r="F216" s="124">
        <v>1</v>
      </c>
      <c r="G216" s="152" t="s">
        <v>393</v>
      </c>
      <c r="K216" s="128" t="e">
        <f>VLOOKUP(G216,'BASE PASAJEROS'!A:B,2,FALSE)</f>
        <v>#N/A</v>
      </c>
      <c r="L216" s="128" t="s">
        <v>316</v>
      </c>
      <c r="M216" s="128" t="e">
        <f>VLOOKUP(G216,'BASE PASAJEROS'!A:H,8,FALSE)</f>
        <v>#N/A</v>
      </c>
      <c r="N216" s="128"/>
      <c r="O216" s="128"/>
      <c r="P216" s="128" t="e">
        <f>VLOOKUP(G216,'BASE PASAJEROS'!A:F,6,FALSE)</f>
        <v>#N/A</v>
      </c>
      <c r="Q216" s="128" t="e">
        <f>VLOOKUP(G216,'BASE PASAJEROS'!A:C,3,FALSE)</f>
        <v>#N/A</v>
      </c>
      <c r="R216" s="128" t="e">
        <f>VLOOKUP(G216,'BASE PASAJEROS'!A:G,7,FALSE)</f>
        <v>#N/A</v>
      </c>
      <c r="S216" s="128" t="s">
        <v>305</v>
      </c>
      <c r="T216" s="128" t="s">
        <v>320</v>
      </c>
      <c r="U216" s="130" t="e">
        <f>VLOOKUP(G216,'BASE PASAJEROS'!A:AG,33,FALSE)</f>
        <v>#N/A</v>
      </c>
      <c r="V216" s="130" t="e">
        <f>VLOOKUP(G216,'BASE PASAJEROS'!A:AH,34,FALSE)</f>
        <v>#N/A</v>
      </c>
      <c r="W216" s="121"/>
      <c r="X216" s="165" t="s">
        <v>368</v>
      </c>
      <c r="Y216" s="79" t="s">
        <v>374</v>
      </c>
      <c r="Z216" s="79" t="s">
        <v>328</v>
      </c>
      <c r="AA216" s="128" t="s">
        <v>317</v>
      </c>
      <c r="AB216" s="128" t="e">
        <f>VLOOKUP(AA216,'BASE BANCOS'!$A$2:$D$202,3,FALSE)</f>
        <v>#N/A</v>
      </c>
      <c r="AC216" s="79" t="s">
        <v>405</v>
      </c>
      <c r="AD216" s="129" t="e">
        <f>VLOOKUP(AC216,'BASE CONDUCTORES'!E:G,3,FALSE)</f>
        <v>#N/A</v>
      </c>
    </row>
    <row r="217" spans="3:37" x14ac:dyDescent="0.25">
      <c r="C217" s="95">
        <v>44320</v>
      </c>
      <c r="D217" s="128" t="s">
        <v>29</v>
      </c>
      <c r="E217" s="128" t="s">
        <v>33</v>
      </c>
      <c r="F217" s="124">
        <v>1</v>
      </c>
      <c r="G217" s="152" t="s">
        <v>394</v>
      </c>
      <c r="K217" s="128" t="e">
        <f>VLOOKUP(G217,'BASE PASAJEROS'!A:B,2,FALSE)</f>
        <v>#N/A</v>
      </c>
      <c r="L217" s="128" t="s">
        <v>316</v>
      </c>
      <c r="M217" s="128" t="e">
        <f>VLOOKUP(G217,'BASE PASAJEROS'!A:H,8,FALSE)</f>
        <v>#N/A</v>
      </c>
      <c r="N217" s="128"/>
      <c r="O217" s="128"/>
      <c r="P217" s="128" t="e">
        <f>VLOOKUP(G217,'BASE PASAJEROS'!A:F,6,FALSE)</f>
        <v>#N/A</v>
      </c>
      <c r="Q217" s="128" t="e">
        <f>VLOOKUP(G217,'BASE PASAJEROS'!A:C,3,FALSE)</f>
        <v>#N/A</v>
      </c>
      <c r="R217" s="128" t="e">
        <f>VLOOKUP(G217,'BASE PASAJEROS'!A:G,7,FALSE)</f>
        <v>#N/A</v>
      </c>
      <c r="S217" s="128" t="s">
        <v>305</v>
      </c>
      <c r="T217" s="128" t="s">
        <v>320</v>
      </c>
      <c r="U217" s="130" t="e">
        <f>VLOOKUP(G217,'BASE PASAJEROS'!A:AG,33,FALSE)</f>
        <v>#N/A</v>
      </c>
      <c r="V217" s="130" t="e">
        <f>VLOOKUP(G217,'BASE PASAJEROS'!A:AH,34,FALSE)</f>
        <v>#N/A</v>
      </c>
      <c r="W217" s="121"/>
      <c r="X217" s="165" t="s">
        <v>368</v>
      </c>
      <c r="Y217" s="79" t="s">
        <v>374</v>
      </c>
      <c r="Z217" s="79" t="s">
        <v>328</v>
      </c>
      <c r="AA217" s="128" t="s">
        <v>317</v>
      </c>
      <c r="AB217" s="128" t="e">
        <f>VLOOKUP(AA217,'BASE BANCOS'!$A$2:$D$202,3,FALSE)</f>
        <v>#N/A</v>
      </c>
      <c r="AC217" s="79" t="s">
        <v>405</v>
      </c>
      <c r="AD217" s="129" t="e">
        <f>VLOOKUP(AC217,'BASE CONDUCTORES'!E:G,3,FALSE)</f>
        <v>#N/A</v>
      </c>
    </row>
    <row r="218" spans="3:37" x14ac:dyDescent="0.25">
      <c r="C218" s="95">
        <v>44320</v>
      </c>
      <c r="D218" s="128" t="s">
        <v>29</v>
      </c>
      <c r="E218" s="128" t="s">
        <v>33</v>
      </c>
      <c r="F218" s="124">
        <v>1</v>
      </c>
      <c r="G218" s="152" t="s">
        <v>395</v>
      </c>
      <c r="K218" s="128" t="e">
        <f>VLOOKUP(G218,'BASE PASAJEROS'!A:B,2,FALSE)</f>
        <v>#N/A</v>
      </c>
      <c r="L218" s="128" t="s">
        <v>316</v>
      </c>
      <c r="M218" s="128" t="e">
        <f>VLOOKUP(G218,'BASE PASAJEROS'!A:H,8,FALSE)</f>
        <v>#N/A</v>
      </c>
      <c r="N218" s="128"/>
      <c r="O218" s="128"/>
      <c r="P218" s="128" t="e">
        <f>VLOOKUP(G218,'BASE PASAJEROS'!A:F,6,FALSE)</f>
        <v>#N/A</v>
      </c>
      <c r="Q218" s="128" t="e">
        <f>VLOOKUP(G218,'BASE PASAJEROS'!A:C,3,FALSE)</f>
        <v>#N/A</v>
      </c>
      <c r="R218" s="128" t="e">
        <f>VLOOKUP(G218,'BASE PASAJEROS'!A:G,7,FALSE)</f>
        <v>#N/A</v>
      </c>
      <c r="S218" s="128" t="s">
        <v>305</v>
      </c>
      <c r="T218" s="128" t="s">
        <v>320</v>
      </c>
      <c r="U218" s="130" t="e">
        <f>VLOOKUP(G218,'BASE PASAJEROS'!A:AG,33,FALSE)</f>
        <v>#N/A</v>
      </c>
      <c r="V218" s="130" t="e">
        <f>VLOOKUP(G218,'BASE PASAJEROS'!A:AH,34,FALSE)</f>
        <v>#N/A</v>
      </c>
      <c r="W218" s="121"/>
      <c r="X218" s="165" t="s">
        <v>368</v>
      </c>
      <c r="Y218" s="79" t="s">
        <v>374</v>
      </c>
      <c r="Z218" s="79" t="s">
        <v>328</v>
      </c>
      <c r="AA218" s="128" t="s">
        <v>317</v>
      </c>
      <c r="AB218" s="128" t="e">
        <f>VLOOKUP(AA218,'BASE BANCOS'!$A$2:$D$202,3,FALSE)</f>
        <v>#N/A</v>
      </c>
      <c r="AC218" s="128" t="s">
        <v>318</v>
      </c>
      <c r="AD218" s="129" t="e">
        <f>VLOOKUP(AC218,'BASE CONDUCTORES'!E:G,3,FALSE)</f>
        <v>#N/A</v>
      </c>
    </row>
    <row r="219" spans="3:37" x14ac:dyDescent="0.25">
      <c r="C219" s="95">
        <v>44320</v>
      </c>
      <c r="D219" s="128" t="s">
        <v>29</v>
      </c>
      <c r="E219" s="128" t="s">
        <v>33</v>
      </c>
      <c r="F219" s="124">
        <v>1</v>
      </c>
      <c r="G219" s="152" t="s">
        <v>396</v>
      </c>
      <c r="K219" s="128" t="e">
        <f>VLOOKUP(G219,'BASE PASAJEROS'!A:B,2,FALSE)</f>
        <v>#N/A</v>
      </c>
      <c r="L219" s="128" t="s">
        <v>316</v>
      </c>
      <c r="M219" s="128" t="e">
        <f>VLOOKUP(G219,'BASE PASAJEROS'!A:H,8,FALSE)</f>
        <v>#N/A</v>
      </c>
      <c r="N219" s="128"/>
      <c r="O219" s="128"/>
      <c r="P219" s="128" t="e">
        <f>VLOOKUP(G219,'BASE PASAJEROS'!A:F,6,FALSE)</f>
        <v>#N/A</v>
      </c>
      <c r="Q219" s="128" t="e">
        <f>VLOOKUP(G219,'BASE PASAJEROS'!A:C,3,FALSE)</f>
        <v>#N/A</v>
      </c>
      <c r="R219" s="128" t="e">
        <f>VLOOKUP(G219,'BASE PASAJEROS'!A:G,7,FALSE)</f>
        <v>#N/A</v>
      </c>
      <c r="S219" s="128" t="s">
        <v>305</v>
      </c>
      <c r="T219" s="128" t="s">
        <v>320</v>
      </c>
      <c r="U219" s="130" t="e">
        <f>VLOOKUP(G219,'BASE PASAJEROS'!A:AG,33,FALSE)</f>
        <v>#N/A</v>
      </c>
      <c r="V219" s="130" t="e">
        <f>VLOOKUP(G219,'BASE PASAJEROS'!A:AH,34,FALSE)</f>
        <v>#N/A</v>
      </c>
      <c r="W219" s="121"/>
      <c r="X219" s="165" t="s">
        <v>368</v>
      </c>
      <c r="Y219" s="79" t="s">
        <v>374</v>
      </c>
      <c r="Z219" s="79" t="s">
        <v>328</v>
      </c>
      <c r="AA219" s="128" t="s">
        <v>317</v>
      </c>
      <c r="AB219" s="128" t="e">
        <f>VLOOKUP(AA219,'BASE BANCOS'!$A$2:$D$202,3,FALSE)</f>
        <v>#N/A</v>
      </c>
      <c r="AC219" s="79" t="s">
        <v>405</v>
      </c>
      <c r="AD219" s="129" t="e">
        <f>VLOOKUP(AC219,'BASE CONDUCTORES'!E:G,3,FALSE)</f>
        <v>#N/A</v>
      </c>
    </row>
    <row r="220" spans="3:37" x14ac:dyDescent="0.25">
      <c r="C220" s="95">
        <v>44320</v>
      </c>
      <c r="D220" s="128" t="s">
        <v>29</v>
      </c>
      <c r="E220" s="128" t="s">
        <v>33</v>
      </c>
      <c r="F220" s="124">
        <v>1</v>
      </c>
      <c r="G220" s="152" t="s">
        <v>397</v>
      </c>
      <c r="K220" s="128" t="e">
        <f>VLOOKUP(G220,'BASE PASAJEROS'!A:B,2,FALSE)</f>
        <v>#N/A</v>
      </c>
      <c r="L220" s="128" t="s">
        <v>316</v>
      </c>
      <c r="M220" s="128" t="e">
        <f>VLOOKUP(G220,'BASE PASAJEROS'!A:H,8,FALSE)</f>
        <v>#N/A</v>
      </c>
      <c r="N220" s="128"/>
      <c r="O220" s="128"/>
      <c r="P220" s="128" t="e">
        <f>VLOOKUP(G220,'BASE PASAJEROS'!A:F,6,FALSE)</f>
        <v>#N/A</v>
      </c>
      <c r="Q220" s="128" t="e">
        <f>VLOOKUP(G220,'BASE PASAJEROS'!A:C,3,FALSE)</f>
        <v>#N/A</v>
      </c>
      <c r="R220" s="128" t="e">
        <f>VLOOKUP(G220,'BASE PASAJEROS'!A:G,7,FALSE)</f>
        <v>#N/A</v>
      </c>
      <c r="S220" s="128" t="s">
        <v>305</v>
      </c>
      <c r="T220" s="128" t="s">
        <v>320</v>
      </c>
      <c r="U220" s="130" t="e">
        <f>VLOOKUP(G220,'BASE PASAJEROS'!A:AG,33,FALSE)</f>
        <v>#N/A</v>
      </c>
      <c r="V220" s="130" t="e">
        <f>VLOOKUP(G220,'BASE PASAJEROS'!A:AH,34,FALSE)</f>
        <v>#N/A</v>
      </c>
      <c r="W220" s="121"/>
      <c r="X220" s="165" t="s">
        <v>368</v>
      </c>
      <c r="Y220" s="79" t="s">
        <v>374</v>
      </c>
      <c r="Z220" s="79" t="s">
        <v>328</v>
      </c>
      <c r="AA220" s="128" t="s">
        <v>317</v>
      </c>
      <c r="AB220" s="128" t="e">
        <f>VLOOKUP(AA220,'BASE BANCOS'!$A$2:$D$202,3,FALSE)</f>
        <v>#N/A</v>
      </c>
      <c r="AC220" s="143" t="s">
        <v>369</v>
      </c>
      <c r="AD220" s="129" t="e">
        <f>VLOOKUP(AC220,'BASE CONDUCTORES'!E:G,3,FALSE)</f>
        <v>#N/A</v>
      </c>
    </row>
    <row r="221" spans="3:37" x14ac:dyDescent="0.25">
      <c r="C221" s="95">
        <v>44320</v>
      </c>
      <c r="D221" s="128" t="s">
        <v>29</v>
      </c>
      <c r="E221" s="128" t="s">
        <v>33</v>
      </c>
      <c r="F221" s="124">
        <v>1</v>
      </c>
      <c r="G221" s="152" t="s">
        <v>398</v>
      </c>
      <c r="K221" s="128" t="e">
        <f>VLOOKUP(G221,'BASE PASAJEROS'!A:B,2,FALSE)</f>
        <v>#N/A</v>
      </c>
      <c r="L221" s="128" t="s">
        <v>316</v>
      </c>
      <c r="M221" s="128" t="e">
        <f>VLOOKUP(G221,'BASE PASAJEROS'!A:H,8,FALSE)</f>
        <v>#N/A</v>
      </c>
      <c r="N221" s="128"/>
      <c r="O221" s="128"/>
      <c r="P221" s="128" t="e">
        <f>VLOOKUP(G221,'BASE PASAJEROS'!A:F,6,FALSE)</f>
        <v>#N/A</v>
      </c>
      <c r="Q221" s="128" t="e">
        <f>VLOOKUP(G221,'BASE PASAJEROS'!A:C,3,FALSE)</f>
        <v>#N/A</v>
      </c>
      <c r="R221" s="128" t="e">
        <f>VLOOKUP(G221,'BASE PASAJEROS'!A:G,7,FALSE)</f>
        <v>#N/A</v>
      </c>
      <c r="S221" s="128" t="s">
        <v>305</v>
      </c>
      <c r="T221" s="128" t="s">
        <v>320</v>
      </c>
      <c r="U221" s="130" t="e">
        <f>VLOOKUP(G221,'BASE PASAJEROS'!A:AG,33,FALSE)</f>
        <v>#N/A</v>
      </c>
      <c r="V221" s="130" t="e">
        <f>VLOOKUP(G221,'BASE PASAJEROS'!A:AH,34,FALSE)</f>
        <v>#N/A</v>
      </c>
      <c r="W221" s="121"/>
      <c r="X221" s="165" t="s">
        <v>368</v>
      </c>
      <c r="Y221" s="79" t="s">
        <v>374</v>
      </c>
      <c r="Z221" s="79" t="s">
        <v>328</v>
      </c>
      <c r="AA221" s="128" t="s">
        <v>317</v>
      </c>
      <c r="AB221" s="128" t="e">
        <f>VLOOKUP(AA221,'BASE BANCOS'!$A$2:$D$202,3,FALSE)</f>
        <v>#N/A</v>
      </c>
      <c r="AC221" s="128" t="s">
        <v>318</v>
      </c>
      <c r="AD221" s="129" t="e">
        <f>VLOOKUP(AC221,'BASE CONDUCTORES'!E:G,3,FALSE)</f>
        <v>#N/A</v>
      </c>
    </row>
    <row r="222" spans="3:37" x14ac:dyDescent="0.25">
      <c r="C222" s="95">
        <v>44320</v>
      </c>
      <c r="D222" s="128" t="s">
        <v>29</v>
      </c>
      <c r="E222" s="128" t="s">
        <v>33</v>
      </c>
      <c r="F222" s="124">
        <v>1</v>
      </c>
      <c r="G222" s="152" t="s">
        <v>399</v>
      </c>
      <c r="K222" s="128" t="e">
        <f>VLOOKUP(G222,'BASE PASAJEROS'!A:B,2,FALSE)</f>
        <v>#N/A</v>
      </c>
      <c r="L222" s="128" t="s">
        <v>316</v>
      </c>
      <c r="M222" s="128" t="e">
        <f>VLOOKUP(G222,'BASE PASAJEROS'!A:H,8,FALSE)</f>
        <v>#N/A</v>
      </c>
      <c r="N222" s="128"/>
      <c r="O222" s="128"/>
      <c r="P222" s="128" t="e">
        <f>VLOOKUP(G222,'BASE PASAJEROS'!A:F,6,FALSE)</f>
        <v>#N/A</v>
      </c>
      <c r="Q222" s="128" t="e">
        <f>VLOOKUP(G222,'BASE PASAJEROS'!A:C,3,FALSE)</f>
        <v>#N/A</v>
      </c>
      <c r="R222" s="128" t="e">
        <f>VLOOKUP(G222,'BASE PASAJEROS'!A:G,7,FALSE)</f>
        <v>#N/A</v>
      </c>
      <c r="S222" s="128" t="s">
        <v>305</v>
      </c>
      <c r="T222" s="128" t="s">
        <v>320</v>
      </c>
      <c r="U222" s="130" t="e">
        <f>VLOOKUP(G222,'BASE PASAJEROS'!A:AG,33,FALSE)</f>
        <v>#N/A</v>
      </c>
      <c r="V222" s="130" t="e">
        <f>VLOOKUP(G222,'BASE PASAJEROS'!A:AH,34,FALSE)</f>
        <v>#N/A</v>
      </c>
      <c r="W222" s="121"/>
      <c r="X222" s="165" t="s">
        <v>368</v>
      </c>
      <c r="Y222" s="79" t="s">
        <v>374</v>
      </c>
      <c r="Z222" s="79" t="s">
        <v>328</v>
      </c>
      <c r="AA222" s="128" t="s">
        <v>317</v>
      </c>
      <c r="AB222" s="128" t="e">
        <f>VLOOKUP(AA222,'BASE BANCOS'!$A$2:$D$202,3,FALSE)</f>
        <v>#N/A</v>
      </c>
      <c r="AC222" s="128" t="s">
        <v>318</v>
      </c>
      <c r="AD222" s="129" t="e">
        <f>VLOOKUP(AC222,'BASE CONDUCTORES'!E:G,3,FALSE)</f>
        <v>#N/A</v>
      </c>
    </row>
    <row r="223" spans="3:37" x14ac:dyDescent="0.25">
      <c r="C223" s="95">
        <v>44320</v>
      </c>
      <c r="D223" s="128" t="s">
        <v>29</v>
      </c>
      <c r="E223" s="128" t="s">
        <v>33</v>
      </c>
      <c r="F223" s="124">
        <v>1</v>
      </c>
      <c r="G223" s="152" t="s">
        <v>400</v>
      </c>
      <c r="K223" s="128" t="e">
        <f>VLOOKUP(G223,'BASE PASAJEROS'!A:B,2,FALSE)</f>
        <v>#N/A</v>
      </c>
      <c r="L223" s="128" t="s">
        <v>316</v>
      </c>
      <c r="M223" s="128" t="e">
        <f>VLOOKUP(G223,'BASE PASAJEROS'!A:H,8,FALSE)</f>
        <v>#N/A</v>
      </c>
      <c r="N223" s="128"/>
      <c r="O223" s="128"/>
      <c r="P223" s="128" t="e">
        <f>VLOOKUP(G223,'BASE PASAJEROS'!A:F,6,FALSE)</f>
        <v>#N/A</v>
      </c>
      <c r="Q223" s="128" t="e">
        <f>VLOOKUP(G223,'BASE PASAJEROS'!A:C,3,FALSE)</f>
        <v>#N/A</v>
      </c>
      <c r="R223" s="128" t="e">
        <f>VLOOKUP(G223,'BASE PASAJEROS'!A:G,7,FALSE)</f>
        <v>#N/A</v>
      </c>
      <c r="S223" s="128" t="s">
        <v>305</v>
      </c>
      <c r="T223" s="128" t="s">
        <v>320</v>
      </c>
      <c r="U223" s="130" t="e">
        <f>VLOOKUP(G223,'BASE PASAJEROS'!A:AG,33,FALSE)</f>
        <v>#N/A</v>
      </c>
      <c r="V223" s="130" t="e">
        <f>VLOOKUP(G223,'BASE PASAJEROS'!A:AH,34,FALSE)</f>
        <v>#N/A</v>
      </c>
      <c r="W223" s="121"/>
      <c r="X223" s="165" t="s">
        <v>368</v>
      </c>
      <c r="Y223" s="79" t="s">
        <v>374</v>
      </c>
      <c r="Z223" s="79" t="s">
        <v>328</v>
      </c>
      <c r="AA223" s="128" t="s">
        <v>317</v>
      </c>
      <c r="AB223" s="128" t="e">
        <f>VLOOKUP(AA223,'BASE BANCOS'!$A$2:$D$202,3,FALSE)</f>
        <v>#N/A</v>
      </c>
      <c r="AC223" s="143" t="s">
        <v>369</v>
      </c>
      <c r="AD223" s="129" t="e">
        <f>VLOOKUP(AC223,'BASE CONDUCTORES'!E:G,3,FALSE)</f>
        <v>#N/A</v>
      </c>
    </row>
    <row r="224" spans="3:37" x14ac:dyDescent="0.25">
      <c r="C224" s="95">
        <v>44320</v>
      </c>
      <c r="D224" s="128" t="s">
        <v>29</v>
      </c>
      <c r="E224" s="128" t="s">
        <v>33</v>
      </c>
      <c r="F224" s="124">
        <v>1</v>
      </c>
      <c r="G224" s="152" t="s">
        <v>401</v>
      </c>
      <c r="K224" s="128" t="e">
        <f>VLOOKUP(G224,'BASE PASAJEROS'!A:B,2,FALSE)</f>
        <v>#N/A</v>
      </c>
      <c r="L224" s="128" t="s">
        <v>316</v>
      </c>
      <c r="M224" s="128" t="e">
        <f>VLOOKUP(G224,'BASE PASAJEROS'!A:H,8,FALSE)</f>
        <v>#N/A</v>
      </c>
      <c r="N224" s="128"/>
      <c r="O224" s="128"/>
      <c r="P224" s="128" t="e">
        <f>VLOOKUP(G224,'BASE PASAJEROS'!A:F,6,FALSE)</f>
        <v>#N/A</v>
      </c>
      <c r="Q224" s="128" t="e">
        <f>VLOOKUP(G224,'BASE PASAJEROS'!A:C,3,FALSE)</f>
        <v>#N/A</v>
      </c>
      <c r="R224" s="128" t="e">
        <f>VLOOKUP(G224,'BASE PASAJEROS'!A:G,7,FALSE)</f>
        <v>#N/A</v>
      </c>
      <c r="S224" s="128" t="s">
        <v>305</v>
      </c>
      <c r="T224" s="128" t="s">
        <v>320</v>
      </c>
      <c r="U224" s="130" t="e">
        <f>VLOOKUP(G224,'BASE PASAJEROS'!A:AG,33,FALSE)</f>
        <v>#N/A</v>
      </c>
      <c r="V224" s="130" t="e">
        <f>VLOOKUP(G224,'BASE PASAJEROS'!A:AH,34,FALSE)</f>
        <v>#N/A</v>
      </c>
      <c r="W224" s="121"/>
      <c r="X224" s="165" t="s">
        <v>368</v>
      </c>
      <c r="Y224" s="79" t="s">
        <v>21</v>
      </c>
      <c r="Z224" s="79" t="s">
        <v>328</v>
      </c>
      <c r="AA224" s="128" t="s">
        <v>319</v>
      </c>
      <c r="AB224" s="128" t="e">
        <f>VLOOKUP(AA224,'BASE BANCOS'!$A$2:$D$202,3,FALSE)</f>
        <v>#N/A</v>
      </c>
      <c r="AD224" s="129" t="e">
        <f>VLOOKUP(AC224,'BASE CONDUCTORES'!E:G,3,FALSE)</f>
        <v>#N/A</v>
      </c>
      <c r="AK224" s="79" t="s">
        <v>402</v>
      </c>
    </row>
    <row r="225" spans="3:52" s="124" customFormat="1" x14ac:dyDescent="0.25">
      <c r="C225" s="127">
        <v>44320</v>
      </c>
      <c r="D225" s="128" t="s">
        <v>29</v>
      </c>
      <c r="E225" s="128" t="s">
        <v>33</v>
      </c>
      <c r="F225" s="124">
        <v>1</v>
      </c>
      <c r="G225" s="174" t="s">
        <v>408</v>
      </c>
      <c r="J225" s="71"/>
      <c r="K225" s="128" t="e">
        <f>VLOOKUP(G225,'BASE PASAJEROS'!A:B,2,FALSE)</f>
        <v>#N/A</v>
      </c>
      <c r="L225" s="128" t="s">
        <v>316</v>
      </c>
      <c r="M225" s="128" t="e">
        <f>VLOOKUP(G225,'BASE PASAJEROS'!A:H,8,FALSE)</f>
        <v>#N/A</v>
      </c>
      <c r="N225" s="128"/>
      <c r="O225" s="128"/>
      <c r="P225" s="128" t="e">
        <f>VLOOKUP(G225,'BASE PASAJEROS'!A:F,6,FALSE)</f>
        <v>#N/A</v>
      </c>
      <c r="Q225" s="128" t="e">
        <f>VLOOKUP(G225,'BASE PASAJEROS'!A:C,3,FALSE)</f>
        <v>#N/A</v>
      </c>
      <c r="R225" s="128" t="e">
        <f>VLOOKUP(G225,'BASE PASAJEROS'!A:G,7,FALSE)</f>
        <v>#N/A</v>
      </c>
      <c r="S225" s="128" t="s">
        <v>305</v>
      </c>
      <c r="T225" s="128" t="s">
        <v>409</v>
      </c>
      <c r="U225" s="130" t="e">
        <f>VLOOKUP(G225,'BASE PASAJEROS'!A:AG,33,FALSE)</f>
        <v>#N/A</v>
      </c>
      <c r="V225" s="130" t="e">
        <f>VLOOKUP(G225,'BASE PASAJEROS'!A:AH,34,FALSE)</f>
        <v>#N/A</v>
      </c>
      <c r="X225" s="155" t="s">
        <v>368</v>
      </c>
      <c r="Y225" s="124" t="s">
        <v>374</v>
      </c>
      <c r="Z225" s="124" t="s">
        <v>328</v>
      </c>
      <c r="AA225" s="128" t="s">
        <v>325</v>
      </c>
      <c r="AB225" s="128" t="e">
        <f>VLOOKUP(AA225,'BASE BANCOS'!$A$2:$D$202,3,FALSE)</f>
        <v>#N/A</v>
      </c>
      <c r="AC225" s="128" t="s">
        <v>326</v>
      </c>
      <c r="AD225" s="129" t="e">
        <f>VLOOKUP(AC225,'BASE CONDUCTORES'!E:G,3,FALSE)</f>
        <v>#N/A</v>
      </c>
      <c r="AE225" s="155"/>
      <c r="AF225" s="150"/>
      <c r="AG225" s="75"/>
      <c r="AH225" s="150"/>
      <c r="AI225" s="75"/>
      <c r="AJ225" s="79"/>
      <c r="AK225" s="124" t="s">
        <v>410</v>
      </c>
      <c r="AL225" s="79"/>
      <c r="AM225" s="79"/>
      <c r="AN225" s="79"/>
      <c r="AO225" s="75"/>
      <c r="AP225" s="75"/>
      <c r="AQ225" s="79"/>
      <c r="AR225" s="79"/>
      <c r="AS225" s="79"/>
      <c r="AT225" s="79"/>
      <c r="AU225" s="104"/>
      <c r="AV225" s="105"/>
      <c r="AW225" s="79"/>
      <c r="AX225" s="79"/>
      <c r="AY225" s="79"/>
      <c r="AZ225" s="79"/>
    </row>
    <row r="226" spans="3:52" s="124" customFormat="1" x14ac:dyDescent="0.25">
      <c r="C226" s="127">
        <v>44320</v>
      </c>
      <c r="D226" s="128" t="s">
        <v>29</v>
      </c>
      <c r="E226" s="128" t="s">
        <v>33</v>
      </c>
      <c r="F226" s="124">
        <v>1</v>
      </c>
      <c r="G226" s="144" t="s">
        <v>411</v>
      </c>
      <c r="J226" s="71"/>
      <c r="K226" s="128" t="e">
        <f>VLOOKUP(G226,'BASE PASAJEROS'!A:B,2,FALSE)</f>
        <v>#N/A</v>
      </c>
      <c r="L226" s="128" t="s">
        <v>316</v>
      </c>
      <c r="M226" s="128" t="e">
        <f>VLOOKUP(G226,'BASE PASAJEROS'!A:H,8,FALSE)</f>
        <v>#N/A</v>
      </c>
      <c r="N226" s="128"/>
      <c r="O226" s="128"/>
      <c r="P226" s="128" t="e">
        <f>VLOOKUP(G226,'BASE PASAJEROS'!A:F,6,FALSE)</f>
        <v>#N/A</v>
      </c>
      <c r="Q226" s="128" t="e">
        <f>VLOOKUP(G226,'BASE PASAJEROS'!A:C,3,FALSE)</f>
        <v>#N/A</v>
      </c>
      <c r="R226" s="128" t="e">
        <f>VLOOKUP(G226,'BASE PASAJEROS'!A:G,7,FALSE)</f>
        <v>#N/A</v>
      </c>
      <c r="S226" s="128" t="s">
        <v>305</v>
      </c>
      <c r="T226" s="128" t="s">
        <v>409</v>
      </c>
      <c r="U226" s="130" t="e">
        <f>VLOOKUP(G226,'BASE PASAJEROS'!A:AG,33,FALSE)</f>
        <v>#N/A</v>
      </c>
      <c r="V226" s="130" t="e">
        <f>VLOOKUP(G226,'BASE PASAJEROS'!A:AH,34,FALSE)</f>
        <v>#N/A</v>
      </c>
      <c r="X226" s="155" t="s">
        <v>368</v>
      </c>
      <c r="Y226" s="124" t="s">
        <v>374</v>
      </c>
      <c r="Z226" s="124" t="s">
        <v>328</v>
      </c>
      <c r="AA226" s="128" t="s">
        <v>325</v>
      </c>
      <c r="AB226" s="128" t="e">
        <f>VLOOKUP(AA226,'BASE BANCOS'!$A$2:$D$202,3,FALSE)</f>
        <v>#N/A</v>
      </c>
      <c r="AC226" s="128" t="s">
        <v>326</v>
      </c>
      <c r="AD226" s="129" t="e">
        <f>VLOOKUP(AC226,'BASE CONDUCTORES'!E:G,3,FALSE)</f>
        <v>#N/A</v>
      </c>
      <c r="AE226" s="155"/>
      <c r="AF226" s="150"/>
      <c r="AG226" s="75"/>
      <c r="AH226" s="150"/>
      <c r="AI226" s="75"/>
      <c r="AJ226" s="79"/>
      <c r="AK226" s="124" t="s">
        <v>410</v>
      </c>
      <c r="AL226" s="79"/>
      <c r="AM226" s="79"/>
      <c r="AN226" s="79"/>
      <c r="AO226" s="75"/>
      <c r="AP226" s="75"/>
      <c r="AQ226" s="79"/>
      <c r="AR226" s="79"/>
      <c r="AS226" s="79"/>
      <c r="AT226" s="79"/>
      <c r="AU226" s="104"/>
      <c r="AV226" s="105"/>
      <c r="AW226" s="79"/>
      <c r="AX226" s="79"/>
      <c r="AY226" s="79"/>
      <c r="AZ226" s="79"/>
    </row>
    <row r="227" spans="3:52" s="124" customFormat="1" ht="15.75" x14ac:dyDescent="0.25">
      <c r="C227" s="127">
        <v>44321</v>
      </c>
      <c r="D227" s="128" t="s">
        <v>29</v>
      </c>
      <c r="E227" s="128" t="s">
        <v>33</v>
      </c>
      <c r="F227" s="124">
        <v>1</v>
      </c>
      <c r="G227" s="166" t="s">
        <v>336</v>
      </c>
      <c r="J227" s="71"/>
      <c r="K227" s="128" t="e">
        <f>VLOOKUP(G227,'BASE PASAJEROS'!A:B,2,FALSE)</f>
        <v>#N/A</v>
      </c>
      <c r="L227" s="128" t="s">
        <v>316</v>
      </c>
      <c r="M227" s="128" t="e">
        <f>VLOOKUP(G227,'BASE PASAJEROS'!A:H,8,FALSE)</f>
        <v>#N/A</v>
      </c>
      <c r="N227" s="79"/>
      <c r="O227" s="79"/>
      <c r="P227" s="128" t="e">
        <f>VLOOKUP(G227,'BASE PASAJEROS'!A:F,6,FALSE)</f>
        <v>#N/A</v>
      </c>
      <c r="Q227" s="128" t="e">
        <f>VLOOKUP(G227,'BASE PASAJEROS'!A:C,3,FALSE)</f>
        <v>#N/A</v>
      </c>
      <c r="R227" s="128" t="e">
        <f>VLOOKUP(G227,'BASE PASAJEROS'!A:G,7,FALSE)</f>
        <v>#N/A</v>
      </c>
      <c r="S227" s="128" t="s">
        <v>305</v>
      </c>
      <c r="T227" s="128" t="s">
        <v>409</v>
      </c>
      <c r="U227" s="130" t="e">
        <f>VLOOKUP(G227,'BASE PASAJEROS'!A:AG,33,FALSE)</f>
        <v>#N/A</v>
      </c>
      <c r="V227" s="130" t="e">
        <f>VLOOKUP(G227,'BASE PASAJEROS'!A:AH,34,FALSE)</f>
        <v>#N/A</v>
      </c>
      <c r="X227" s="155" t="s">
        <v>368</v>
      </c>
      <c r="Y227" s="124" t="s">
        <v>374</v>
      </c>
      <c r="Z227" s="124" t="s">
        <v>328</v>
      </c>
      <c r="AA227" s="128" t="s">
        <v>317</v>
      </c>
      <c r="AB227" s="128" t="e">
        <f>VLOOKUP(AA227,'BASE BANCOS'!$A$2:$D$202,3,FALSE)</f>
        <v>#N/A</v>
      </c>
      <c r="AC227" s="143" t="s">
        <v>369</v>
      </c>
      <c r="AD227" s="129" t="e">
        <f>VLOOKUP(AC227,'BASE CONDUCTORES'!E:G,3,FALSE)</f>
        <v>#N/A</v>
      </c>
      <c r="AE227" s="155"/>
      <c r="AF227" s="150"/>
      <c r="AG227" s="75"/>
      <c r="AH227" s="150"/>
      <c r="AI227" s="75"/>
      <c r="AJ227" s="79"/>
      <c r="AL227" s="79"/>
      <c r="AM227" s="79"/>
      <c r="AN227" s="79"/>
      <c r="AO227" s="75"/>
      <c r="AP227" s="75"/>
      <c r="AQ227" s="79"/>
      <c r="AR227" s="79"/>
      <c r="AS227" s="79"/>
      <c r="AT227" s="79"/>
      <c r="AU227" s="104"/>
      <c r="AV227" s="105"/>
      <c r="AW227" s="79"/>
      <c r="AX227" s="79"/>
      <c r="AY227" s="79"/>
      <c r="AZ227" s="79"/>
    </row>
    <row r="228" spans="3:52" s="124" customFormat="1" ht="15.75" x14ac:dyDescent="0.25">
      <c r="C228" s="127">
        <v>44321</v>
      </c>
      <c r="D228" s="128" t="s">
        <v>29</v>
      </c>
      <c r="E228" s="128" t="s">
        <v>33</v>
      </c>
      <c r="F228" s="124">
        <v>1</v>
      </c>
      <c r="G228" s="167" t="s">
        <v>337</v>
      </c>
      <c r="J228" s="71"/>
      <c r="K228" s="128" t="e">
        <f>VLOOKUP(G228,'BASE PASAJEROS'!A:B,2,FALSE)</f>
        <v>#N/A</v>
      </c>
      <c r="L228" s="128" t="s">
        <v>316</v>
      </c>
      <c r="M228" s="128" t="e">
        <f>VLOOKUP(G228,'BASE PASAJEROS'!A:H,8,FALSE)</f>
        <v>#N/A</v>
      </c>
      <c r="N228" s="79"/>
      <c r="O228" s="79"/>
      <c r="P228" s="128" t="e">
        <f>VLOOKUP(G228,'BASE PASAJEROS'!A:F,6,FALSE)</f>
        <v>#N/A</v>
      </c>
      <c r="Q228" s="128" t="e">
        <f>VLOOKUP(G228,'BASE PASAJEROS'!A:C,3,FALSE)</f>
        <v>#N/A</v>
      </c>
      <c r="R228" s="128" t="e">
        <f>VLOOKUP(G228,'BASE PASAJEROS'!A:G,7,FALSE)</f>
        <v>#N/A</v>
      </c>
      <c r="S228" s="128" t="s">
        <v>305</v>
      </c>
      <c r="T228" s="128" t="s">
        <v>409</v>
      </c>
      <c r="U228" s="130" t="e">
        <f>VLOOKUP(G228,'BASE PASAJEROS'!A:AG,33,FALSE)</f>
        <v>#N/A</v>
      </c>
      <c r="V228" s="130" t="e">
        <f>VLOOKUP(G228,'BASE PASAJEROS'!A:AH,34,FALSE)</f>
        <v>#N/A</v>
      </c>
      <c r="X228" s="155" t="s">
        <v>368</v>
      </c>
      <c r="Y228" s="124" t="s">
        <v>374</v>
      </c>
      <c r="Z228" s="124" t="s">
        <v>328</v>
      </c>
      <c r="AA228" s="128" t="s">
        <v>317</v>
      </c>
      <c r="AB228" s="128" t="e">
        <f>VLOOKUP(AA228,'BASE BANCOS'!$A$2:$D$202,3,FALSE)</f>
        <v>#N/A</v>
      </c>
      <c r="AC228" s="79" t="s">
        <v>405</v>
      </c>
      <c r="AD228" s="129" t="e">
        <f>VLOOKUP(AC228,'BASE CONDUCTORES'!E:G,3,FALSE)</f>
        <v>#N/A</v>
      </c>
      <c r="AE228" s="155"/>
      <c r="AF228" s="150"/>
      <c r="AG228" s="75"/>
      <c r="AH228" s="150"/>
      <c r="AI228" s="75"/>
      <c r="AJ228" s="79"/>
      <c r="AL228" s="79"/>
      <c r="AM228" s="79"/>
      <c r="AN228" s="79"/>
      <c r="AO228" s="75"/>
      <c r="AP228" s="75"/>
      <c r="AQ228" s="79"/>
      <c r="AR228" s="79"/>
      <c r="AS228" s="79"/>
      <c r="AT228" s="79"/>
      <c r="AU228" s="104"/>
      <c r="AV228" s="105"/>
      <c r="AW228" s="79"/>
      <c r="AX228" s="79"/>
      <c r="AY228" s="79"/>
      <c r="AZ228" s="79"/>
    </row>
    <row r="229" spans="3:52" s="124" customFormat="1" ht="15.75" x14ac:dyDescent="0.25">
      <c r="C229" s="127">
        <v>44321</v>
      </c>
      <c r="D229" s="128" t="s">
        <v>29</v>
      </c>
      <c r="E229" s="128" t="s">
        <v>33</v>
      </c>
      <c r="F229" s="124">
        <v>1</v>
      </c>
      <c r="G229" s="166" t="s">
        <v>338</v>
      </c>
      <c r="J229" s="71"/>
      <c r="K229" s="128" t="e">
        <f>VLOOKUP(G229,'BASE PASAJEROS'!A:B,2,FALSE)</f>
        <v>#N/A</v>
      </c>
      <c r="L229" s="128" t="s">
        <v>316</v>
      </c>
      <c r="M229" s="128" t="e">
        <f>VLOOKUP(G229,'BASE PASAJEROS'!A:H,8,FALSE)</f>
        <v>#N/A</v>
      </c>
      <c r="N229" s="79"/>
      <c r="O229" s="79"/>
      <c r="P229" s="128" t="e">
        <f>VLOOKUP(G229,'BASE PASAJEROS'!A:F,6,FALSE)</f>
        <v>#N/A</v>
      </c>
      <c r="Q229" s="128" t="e">
        <f>VLOOKUP(G229,'BASE PASAJEROS'!A:C,3,FALSE)</f>
        <v>#N/A</v>
      </c>
      <c r="R229" s="128" t="e">
        <f>VLOOKUP(G229,'BASE PASAJEROS'!A:G,7,FALSE)</f>
        <v>#N/A</v>
      </c>
      <c r="S229" s="128" t="s">
        <v>305</v>
      </c>
      <c r="T229" s="128" t="s">
        <v>409</v>
      </c>
      <c r="U229" s="130" t="e">
        <f>VLOOKUP(G229,'BASE PASAJEROS'!A:AG,33,FALSE)</f>
        <v>#N/A</v>
      </c>
      <c r="V229" s="130" t="e">
        <f>VLOOKUP(G229,'BASE PASAJEROS'!A:AH,34,FALSE)</f>
        <v>#N/A</v>
      </c>
      <c r="X229" s="155" t="s">
        <v>368</v>
      </c>
      <c r="Y229" s="124" t="s">
        <v>374</v>
      </c>
      <c r="Z229" s="124" t="s">
        <v>328</v>
      </c>
      <c r="AA229" s="128" t="s">
        <v>317</v>
      </c>
      <c r="AB229" s="128" t="e">
        <f>VLOOKUP(AA229,'BASE BANCOS'!$A$2:$D$202,3,FALSE)</f>
        <v>#N/A</v>
      </c>
      <c r="AC229" s="143" t="s">
        <v>369</v>
      </c>
      <c r="AD229" s="129" t="e">
        <f>VLOOKUP(AC229,'BASE CONDUCTORES'!E:G,3,FALSE)</f>
        <v>#N/A</v>
      </c>
      <c r="AE229" s="155"/>
      <c r="AF229" s="150"/>
      <c r="AG229" s="75"/>
      <c r="AH229" s="150"/>
      <c r="AI229" s="75"/>
      <c r="AJ229" s="79"/>
      <c r="AL229" s="79"/>
      <c r="AM229" s="79"/>
      <c r="AN229" s="79"/>
      <c r="AO229" s="75"/>
      <c r="AP229" s="75"/>
      <c r="AQ229" s="79"/>
      <c r="AR229" s="79"/>
      <c r="AS229" s="79"/>
      <c r="AT229" s="79"/>
      <c r="AU229" s="104"/>
      <c r="AV229" s="105"/>
      <c r="AW229" s="79"/>
      <c r="AX229" s="79"/>
      <c r="AY229" s="79"/>
      <c r="AZ229" s="79"/>
    </row>
    <row r="230" spans="3:52" s="124" customFormat="1" ht="15.75" x14ac:dyDescent="0.25">
      <c r="C230" s="127">
        <v>44321</v>
      </c>
      <c r="D230" s="128" t="s">
        <v>29</v>
      </c>
      <c r="E230" s="128" t="s">
        <v>33</v>
      </c>
      <c r="F230" s="124">
        <v>1</v>
      </c>
      <c r="G230" s="166" t="s">
        <v>339</v>
      </c>
      <c r="J230" s="71"/>
      <c r="K230" s="128" t="e">
        <f>VLOOKUP(G230,'BASE PASAJEROS'!A:B,2,FALSE)</f>
        <v>#N/A</v>
      </c>
      <c r="L230" s="128" t="s">
        <v>316</v>
      </c>
      <c r="M230" s="128" t="e">
        <f>VLOOKUP(G230,'BASE PASAJEROS'!A:H,8,FALSE)</f>
        <v>#N/A</v>
      </c>
      <c r="N230" s="79"/>
      <c r="O230" s="79"/>
      <c r="P230" s="128" t="e">
        <f>VLOOKUP(G230,'BASE PASAJEROS'!A:F,6,FALSE)</f>
        <v>#N/A</v>
      </c>
      <c r="Q230" s="128" t="e">
        <f>VLOOKUP(G230,'BASE PASAJEROS'!A:C,3,FALSE)</f>
        <v>#N/A</v>
      </c>
      <c r="R230" s="128" t="e">
        <f>VLOOKUP(G230,'BASE PASAJEROS'!A:G,7,FALSE)</f>
        <v>#N/A</v>
      </c>
      <c r="S230" s="128" t="s">
        <v>305</v>
      </c>
      <c r="T230" s="128" t="s">
        <v>409</v>
      </c>
      <c r="U230" s="130" t="e">
        <f>VLOOKUP(G230,'BASE PASAJEROS'!A:AG,33,FALSE)</f>
        <v>#N/A</v>
      </c>
      <c r="V230" s="130" t="e">
        <f>VLOOKUP(G230,'BASE PASAJEROS'!A:AH,34,FALSE)</f>
        <v>#N/A</v>
      </c>
      <c r="X230" s="155" t="s">
        <v>368</v>
      </c>
      <c r="Y230" s="124" t="s">
        <v>374</v>
      </c>
      <c r="Z230" s="124" t="s">
        <v>328</v>
      </c>
      <c r="AA230" s="128" t="s">
        <v>317</v>
      </c>
      <c r="AB230" s="128" t="e">
        <f>VLOOKUP(AA230,'BASE BANCOS'!$A$2:$D$202,3,FALSE)</f>
        <v>#N/A</v>
      </c>
      <c r="AC230" s="143" t="s">
        <v>369</v>
      </c>
      <c r="AD230" s="129" t="e">
        <f>VLOOKUP(AC230,'BASE CONDUCTORES'!E:G,3,FALSE)</f>
        <v>#N/A</v>
      </c>
      <c r="AE230" s="155"/>
      <c r="AF230" s="150"/>
      <c r="AG230" s="75"/>
      <c r="AH230" s="150"/>
      <c r="AI230" s="75"/>
      <c r="AJ230" s="79"/>
      <c r="AL230" s="79"/>
      <c r="AM230" s="79"/>
      <c r="AN230" s="79"/>
      <c r="AO230" s="75"/>
      <c r="AP230" s="75"/>
      <c r="AQ230" s="79"/>
      <c r="AR230" s="79"/>
      <c r="AS230" s="79"/>
      <c r="AT230" s="79"/>
      <c r="AU230" s="104"/>
      <c r="AV230" s="105"/>
      <c r="AW230" s="79"/>
      <c r="AX230" s="79"/>
      <c r="AY230" s="79"/>
      <c r="AZ230" s="79"/>
    </row>
    <row r="231" spans="3:52" s="124" customFormat="1" ht="15.75" x14ac:dyDescent="0.25">
      <c r="C231" s="127">
        <v>44321</v>
      </c>
      <c r="D231" s="128" t="s">
        <v>29</v>
      </c>
      <c r="E231" s="128" t="s">
        <v>33</v>
      </c>
      <c r="F231" s="124">
        <v>1</v>
      </c>
      <c r="G231" s="167" t="s">
        <v>340</v>
      </c>
      <c r="J231" s="71"/>
      <c r="K231" s="128" t="e">
        <f>VLOOKUP(G231,'BASE PASAJEROS'!A:B,2,FALSE)</f>
        <v>#N/A</v>
      </c>
      <c r="L231" s="128" t="s">
        <v>316</v>
      </c>
      <c r="M231" s="128" t="e">
        <f>VLOOKUP(G231,'BASE PASAJEROS'!A:H,8,FALSE)</f>
        <v>#N/A</v>
      </c>
      <c r="N231" s="79"/>
      <c r="O231" s="79"/>
      <c r="P231" s="128" t="e">
        <f>VLOOKUP(G231,'BASE PASAJEROS'!A:F,6,FALSE)</f>
        <v>#N/A</v>
      </c>
      <c r="Q231" s="128" t="e">
        <f>VLOOKUP(G231,'BASE PASAJEROS'!A:C,3,FALSE)</f>
        <v>#N/A</v>
      </c>
      <c r="R231" s="128" t="e">
        <f>VLOOKUP(G231,'BASE PASAJEROS'!A:G,7,FALSE)</f>
        <v>#N/A</v>
      </c>
      <c r="S231" s="128" t="s">
        <v>305</v>
      </c>
      <c r="T231" s="128" t="s">
        <v>409</v>
      </c>
      <c r="U231" s="130" t="e">
        <f>VLOOKUP(G231,'BASE PASAJEROS'!A:AG,33,FALSE)</f>
        <v>#N/A</v>
      </c>
      <c r="V231" s="130" t="e">
        <f>VLOOKUP(G231,'BASE PASAJEROS'!A:AH,34,FALSE)</f>
        <v>#N/A</v>
      </c>
      <c r="X231" s="155" t="s">
        <v>368</v>
      </c>
      <c r="Y231" s="124" t="s">
        <v>374</v>
      </c>
      <c r="Z231" s="124" t="s">
        <v>328</v>
      </c>
      <c r="AA231" s="128" t="s">
        <v>317</v>
      </c>
      <c r="AB231" s="128" t="e">
        <f>VLOOKUP(AA231,'BASE BANCOS'!$A$2:$D$202,3,FALSE)</f>
        <v>#N/A</v>
      </c>
      <c r="AC231" s="79" t="s">
        <v>405</v>
      </c>
      <c r="AD231" s="129" t="e">
        <f>VLOOKUP(AC231,'BASE CONDUCTORES'!E:G,3,FALSE)</f>
        <v>#N/A</v>
      </c>
      <c r="AE231" s="155"/>
      <c r="AF231" s="150"/>
      <c r="AG231" s="75"/>
      <c r="AH231" s="150"/>
      <c r="AI231" s="75"/>
      <c r="AJ231" s="79"/>
      <c r="AL231" s="79"/>
      <c r="AM231" s="79"/>
      <c r="AN231" s="79"/>
      <c r="AO231" s="75"/>
      <c r="AP231" s="75"/>
      <c r="AQ231" s="79"/>
      <c r="AR231" s="79"/>
      <c r="AS231" s="79"/>
      <c r="AT231" s="79"/>
      <c r="AU231" s="104"/>
      <c r="AV231" s="105"/>
      <c r="AW231" s="79"/>
      <c r="AX231" s="79"/>
      <c r="AY231" s="79"/>
      <c r="AZ231" s="79"/>
    </row>
    <row r="232" spans="3:52" s="124" customFormat="1" ht="15.75" x14ac:dyDescent="0.25">
      <c r="C232" s="127">
        <v>44321</v>
      </c>
      <c r="D232" s="128" t="s">
        <v>29</v>
      </c>
      <c r="E232" s="128" t="s">
        <v>33</v>
      </c>
      <c r="F232" s="124">
        <v>1</v>
      </c>
      <c r="G232" s="166" t="s">
        <v>341</v>
      </c>
      <c r="J232" s="71"/>
      <c r="K232" s="128" t="e">
        <f>VLOOKUP(G232,'BASE PASAJEROS'!A:B,2,FALSE)</f>
        <v>#N/A</v>
      </c>
      <c r="L232" s="128" t="s">
        <v>316</v>
      </c>
      <c r="M232" s="128" t="e">
        <f>VLOOKUP(G232,'BASE PASAJEROS'!A:H,8,FALSE)</f>
        <v>#N/A</v>
      </c>
      <c r="N232" s="79"/>
      <c r="O232" s="79"/>
      <c r="P232" s="128" t="e">
        <f>VLOOKUP(G232,'BASE PASAJEROS'!A:F,6,FALSE)</f>
        <v>#N/A</v>
      </c>
      <c r="Q232" s="128" t="e">
        <f>VLOOKUP(G232,'BASE PASAJEROS'!A:C,3,FALSE)</f>
        <v>#N/A</v>
      </c>
      <c r="R232" s="128" t="e">
        <f>VLOOKUP(G232,'BASE PASAJEROS'!A:G,7,FALSE)</f>
        <v>#N/A</v>
      </c>
      <c r="S232" s="128" t="s">
        <v>305</v>
      </c>
      <c r="T232" s="128" t="s">
        <v>409</v>
      </c>
      <c r="U232" s="130" t="e">
        <f>VLOOKUP(G232,'BASE PASAJEROS'!A:AG,33,FALSE)</f>
        <v>#N/A</v>
      </c>
      <c r="V232" s="130" t="e">
        <f>VLOOKUP(G232,'BASE PASAJEROS'!A:AH,34,FALSE)</f>
        <v>#N/A</v>
      </c>
      <c r="X232" s="155" t="s">
        <v>368</v>
      </c>
      <c r="Y232" s="124" t="s">
        <v>374</v>
      </c>
      <c r="Z232" s="124" t="s">
        <v>328</v>
      </c>
      <c r="AA232" s="128" t="s">
        <v>317</v>
      </c>
      <c r="AB232" s="128" t="e">
        <f>VLOOKUP(AA232,'BASE BANCOS'!$A$2:$D$202,3,FALSE)</f>
        <v>#N/A</v>
      </c>
      <c r="AC232" s="143" t="s">
        <v>369</v>
      </c>
      <c r="AD232" s="129" t="e">
        <f>VLOOKUP(AC232,'BASE CONDUCTORES'!E:G,3,FALSE)</f>
        <v>#N/A</v>
      </c>
      <c r="AE232" s="155"/>
      <c r="AF232" s="150"/>
      <c r="AG232" s="75"/>
      <c r="AH232" s="150"/>
      <c r="AI232" s="75"/>
      <c r="AJ232" s="79"/>
      <c r="AL232" s="79"/>
      <c r="AM232" s="79"/>
      <c r="AN232" s="79"/>
      <c r="AO232" s="75"/>
      <c r="AP232" s="75"/>
      <c r="AQ232" s="79"/>
      <c r="AR232" s="79"/>
      <c r="AS232" s="79"/>
      <c r="AT232" s="79"/>
      <c r="AU232" s="104"/>
      <c r="AV232" s="105"/>
      <c r="AW232" s="79"/>
      <c r="AX232" s="79"/>
      <c r="AY232" s="79"/>
      <c r="AZ232" s="79"/>
    </row>
    <row r="233" spans="3:52" s="124" customFormat="1" ht="15.75" x14ac:dyDescent="0.25">
      <c r="C233" s="127">
        <v>44321</v>
      </c>
      <c r="D233" s="128" t="s">
        <v>29</v>
      </c>
      <c r="E233" s="128" t="s">
        <v>33</v>
      </c>
      <c r="F233" s="124">
        <v>1</v>
      </c>
      <c r="G233" s="166" t="s">
        <v>342</v>
      </c>
      <c r="J233" s="71"/>
      <c r="K233" s="128" t="e">
        <f>VLOOKUP(G233,'BASE PASAJEROS'!A:B,2,FALSE)</f>
        <v>#N/A</v>
      </c>
      <c r="L233" s="128" t="s">
        <v>316</v>
      </c>
      <c r="M233" s="128" t="e">
        <f>VLOOKUP(G233,'BASE PASAJEROS'!A:H,8,FALSE)</f>
        <v>#N/A</v>
      </c>
      <c r="N233" s="79"/>
      <c r="O233" s="79"/>
      <c r="P233" s="128" t="e">
        <f>VLOOKUP(G233,'BASE PASAJEROS'!A:F,6,FALSE)</f>
        <v>#N/A</v>
      </c>
      <c r="Q233" s="128" t="e">
        <f>VLOOKUP(G233,'BASE PASAJEROS'!A:C,3,FALSE)</f>
        <v>#N/A</v>
      </c>
      <c r="R233" s="128" t="e">
        <f>VLOOKUP(G233,'BASE PASAJEROS'!A:G,7,FALSE)</f>
        <v>#N/A</v>
      </c>
      <c r="S233" s="128" t="s">
        <v>305</v>
      </c>
      <c r="T233" s="128" t="s">
        <v>409</v>
      </c>
      <c r="U233" s="130" t="e">
        <f>VLOOKUP(G233,'BASE PASAJEROS'!A:AG,33,FALSE)</f>
        <v>#N/A</v>
      </c>
      <c r="V233" s="130" t="e">
        <f>VLOOKUP(G233,'BASE PASAJEROS'!A:AH,34,FALSE)</f>
        <v>#N/A</v>
      </c>
      <c r="X233" s="155" t="s">
        <v>368</v>
      </c>
      <c r="Y233" s="124" t="s">
        <v>374</v>
      </c>
      <c r="Z233" s="124" t="s">
        <v>328</v>
      </c>
      <c r="AA233" s="128" t="s">
        <v>317</v>
      </c>
      <c r="AB233" s="128" t="e">
        <f>VLOOKUP(AA233,'BASE BANCOS'!$A$2:$D$202,3,FALSE)</f>
        <v>#N/A</v>
      </c>
      <c r="AC233" s="143" t="s">
        <v>369</v>
      </c>
      <c r="AD233" s="129" t="e">
        <f>VLOOKUP(AC233,'BASE CONDUCTORES'!E:G,3,FALSE)</f>
        <v>#N/A</v>
      </c>
      <c r="AE233" s="155"/>
      <c r="AF233" s="150"/>
      <c r="AG233" s="75"/>
      <c r="AH233" s="150"/>
      <c r="AI233" s="75"/>
      <c r="AJ233" s="79"/>
      <c r="AL233" s="79"/>
      <c r="AM233" s="79"/>
      <c r="AN233" s="79"/>
      <c r="AO233" s="75"/>
      <c r="AP233" s="75"/>
      <c r="AQ233" s="79"/>
      <c r="AR233" s="79"/>
      <c r="AS233" s="79"/>
      <c r="AT233" s="79"/>
      <c r="AU233" s="104"/>
      <c r="AV233" s="105"/>
      <c r="AW233" s="79"/>
      <c r="AX233" s="79"/>
      <c r="AY233" s="79"/>
      <c r="AZ233" s="79"/>
    </row>
    <row r="234" spans="3:52" s="124" customFormat="1" ht="15.75" x14ac:dyDescent="0.25">
      <c r="C234" s="127">
        <v>44321</v>
      </c>
      <c r="D234" s="128" t="s">
        <v>29</v>
      </c>
      <c r="E234" s="128" t="s">
        <v>33</v>
      </c>
      <c r="F234" s="124">
        <v>1</v>
      </c>
      <c r="G234" s="166" t="s">
        <v>343</v>
      </c>
      <c r="J234" s="71"/>
      <c r="K234" s="128" t="e">
        <f>VLOOKUP(G234,'BASE PASAJEROS'!A:B,2,FALSE)</f>
        <v>#N/A</v>
      </c>
      <c r="L234" s="128" t="s">
        <v>316</v>
      </c>
      <c r="M234" s="128" t="e">
        <f>VLOOKUP(G234,'BASE PASAJEROS'!A:H,8,FALSE)</f>
        <v>#N/A</v>
      </c>
      <c r="N234" s="79"/>
      <c r="O234" s="79"/>
      <c r="P234" s="128" t="e">
        <f>VLOOKUP(G234,'BASE PASAJEROS'!A:F,6,FALSE)</f>
        <v>#N/A</v>
      </c>
      <c r="Q234" s="128" t="e">
        <f>VLOOKUP(G234,'BASE PASAJEROS'!A:C,3,FALSE)</f>
        <v>#N/A</v>
      </c>
      <c r="R234" s="128" t="e">
        <f>VLOOKUP(G234,'BASE PASAJEROS'!A:G,7,FALSE)</f>
        <v>#N/A</v>
      </c>
      <c r="S234" s="128" t="s">
        <v>305</v>
      </c>
      <c r="T234" s="128" t="s">
        <v>409</v>
      </c>
      <c r="U234" s="130" t="e">
        <f>VLOOKUP(G234,'BASE PASAJEROS'!A:AG,33,FALSE)</f>
        <v>#N/A</v>
      </c>
      <c r="V234" s="130" t="e">
        <f>VLOOKUP(G234,'BASE PASAJEROS'!A:AH,34,FALSE)</f>
        <v>#N/A</v>
      </c>
      <c r="X234" s="155" t="s">
        <v>368</v>
      </c>
      <c r="Y234" s="124" t="s">
        <v>374</v>
      </c>
      <c r="Z234" s="124" t="s">
        <v>328</v>
      </c>
      <c r="AA234" s="128" t="s">
        <v>317</v>
      </c>
      <c r="AB234" s="128" t="e">
        <f>VLOOKUP(AA234,'BASE BANCOS'!$A$2:$D$202,3,FALSE)</f>
        <v>#N/A</v>
      </c>
      <c r="AC234" s="143" t="s">
        <v>369</v>
      </c>
      <c r="AD234" s="129" t="e">
        <f>VLOOKUP(AC234,'BASE CONDUCTORES'!E:G,3,FALSE)</f>
        <v>#N/A</v>
      </c>
      <c r="AE234" s="155"/>
      <c r="AF234" s="150"/>
      <c r="AG234" s="75"/>
      <c r="AH234" s="150"/>
      <c r="AI234" s="75"/>
      <c r="AJ234" s="79"/>
      <c r="AL234" s="79"/>
      <c r="AM234" s="79"/>
      <c r="AN234" s="79"/>
      <c r="AO234" s="75"/>
      <c r="AP234" s="75"/>
      <c r="AQ234" s="79"/>
      <c r="AR234" s="79"/>
      <c r="AS234" s="79"/>
      <c r="AT234" s="79"/>
      <c r="AU234" s="104"/>
      <c r="AV234" s="105"/>
      <c r="AW234" s="79"/>
      <c r="AX234" s="79"/>
      <c r="AY234" s="79"/>
      <c r="AZ234" s="79"/>
    </row>
    <row r="235" spans="3:52" s="124" customFormat="1" ht="15.75" x14ac:dyDescent="0.25">
      <c r="C235" s="127">
        <v>44321</v>
      </c>
      <c r="D235" s="128" t="s">
        <v>29</v>
      </c>
      <c r="E235" s="128" t="s">
        <v>33</v>
      </c>
      <c r="F235" s="124">
        <v>1</v>
      </c>
      <c r="G235" s="167" t="s">
        <v>344</v>
      </c>
      <c r="J235" s="71"/>
      <c r="K235" s="128" t="e">
        <f>VLOOKUP(G235,'BASE PASAJEROS'!A:B,2,FALSE)</f>
        <v>#N/A</v>
      </c>
      <c r="L235" s="128" t="s">
        <v>316</v>
      </c>
      <c r="M235" s="128" t="e">
        <f>VLOOKUP(G235,'BASE PASAJEROS'!A:H,8,FALSE)</f>
        <v>#N/A</v>
      </c>
      <c r="N235" s="79"/>
      <c r="O235" s="79"/>
      <c r="P235" s="128" t="e">
        <f>VLOOKUP(G235,'BASE PASAJEROS'!A:F,6,FALSE)</f>
        <v>#N/A</v>
      </c>
      <c r="Q235" s="128" t="e">
        <f>VLOOKUP(G235,'BASE PASAJEROS'!A:C,3,FALSE)</f>
        <v>#N/A</v>
      </c>
      <c r="R235" s="128" t="e">
        <f>VLOOKUP(G235,'BASE PASAJEROS'!A:G,7,FALSE)</f>
        <v>#N/A</v>
      </c>
      <c r="S235" s="128" t="s">
        <v>305</v>
      </c>
      <c r="T235" s="128" t="s">
        <v>409</v>
      </c>
      <c r="U235" s="130" t="e">
        <f>VLOOKUP(G235,'BASE PASAJEROS'!A:AG,33,FALSE)</f>
        <v>#N/A</v>
      </c>
      <c r="V235" s="130" t="e">
        <f>VLOOKUP(G235,'BASE PASAJEROS'!A:AH,34,FALSE)</f>
        <v>#N/A</v>
      </c>
      <c r="X235" s="155" t="s">
        <v>368</v>
      </c>
      <c r="Y235" s="124" t="s">
        <v>374</v>
      </c>
      <c r="Z235" s="124" t="s">
        <v>328</v>
      </c>
      <c r="AA235" s="128" t="s">
        <v>317</v>
      </c>
      <c r="AB235" s="128" t="e">
        <f>VLOOKUP(AA235,'BASE BANCOS'!$A$2:$D$202,3,FALSE)</f>
        <v>#N/A</v>
      </c>
      <c r="AC235" s="79" t="s">
        <v>405</v>
      </c>
      <c r="AD235" s="129" t="e">
        <f>VLOOKUP(AC235,'BASE CONDUCTORES'!E:G,3,FALSE)</f>
        <v>#N/A</v>
      </c>
      <c r="AE235" s="155"/>
      <c r="AF235" s="150"/>
      <c r="AG235" s="75"/>
      <c r="AH235" s="150"/>
      <c r="AI235" s="75"/>
      <c r="AJ235" s="79"/>
      <c r="AL235" s="79"/>
      <c r="AM235" s="79"/>
      <c r="AN235" s="79"/>
      <c r="AO235" s="75"/>
      <c r="AP235" s="75"/>
      <c r="AQ235" s="79"/>
      <c r="AR235" s="79"/>
      <c r="AS235" s="79"/>
      <c r="AT235" s="79"/>
      <c r="AU235" s="104"/>
      <c r="AV235" s="105"/>
      <c r="AW235" s="79"/>
      <c r="AX235" s="79"/>
      <c r="AY235" s="79"/>
      <c r="AZ235" s="79"/>
    </row>
    <row r="236" spans="3:52" s="124" customFormat="1" x14ac:dyDescent="0.25">
      <c r="C236" s="127">
        <v>44321</v>
      </c>
      <c r="D236" s="128" t="s">
        <v>29</v>
      </c>
      <c r="E236" s="128" t="s">
        <v>33</v>
      </c>
      <c r="F236" s="124">
        <v>1</v>
      </c>
      <c r="G236" s="155" t="s">
        <v>345</v>
      </c>
      <c r="J236" s="71"/>
      <c r="K236" s="128" t="e">
        <f>VLOOKUP(G236,'BASE PASAJEROS'!A:B,2,FALSE)</f>
        <v>#N/A</v>
      </c>
      <c r="L236" s="128" t="s">
        <v>316</v>
      </c>
      <c r="M236" s="128" t="e">
        <f>VLOOKUP(G236,'BASE PASAJEROS'!A:H,8,FALSE)</f>
        <v>#N/A</v>
      </c>
      <c r="N236" s="79"/>
      <c r="O236" s="79"/>
      <c r="P236" s="128" t="e">
        <f>VLOOKUP(G236,'BASE PASAJEROS'!A:F,6,FALSE)</f>
        <v>#N/A</v>
      </c>
      <c r="Q236" s="128" t="e">
        <f>VLOOKUP(G236,'BASE PASAJEROS'!A:C,3,FALSE)</f>
        <v>#N/A</v>
      </c>
      <c r="R236" s="128" t="e">
        <f>VLOOKUP(G236,'BASE PASAJEROS'!A:G,7,FALSE)</f>
        <v>#N/A</v>
      </c>
      <c r="S236" s="128" t="s">
        <v>305</v>
      </c>
      <c r="T236" s="128" t="s">
        <v>409</v>
      </c>
      <c r="U236" s="130" t="e">
        <f>VLOOKUP(G236,'BASE PASAJEROS'!A:AG,33,FALSE)</f>
        <v>#N/A</v>
      </c>
      <c r="V236" s="130" t="e">
        <f>VLOOKUP(G236,'BASE PASAJEROS'!A:AH,34,FALSE)</f>
        <v>#N/A</v>
      </c>
      <c r="X236" s="155" t="s">
        <v>368</v>
      </c>
      <c r="Y236" s="124" t="s">
        <v>374</v>
      </c>
      <c r="Z236" s="124" t="s">
        <v>328</v>
      </c>
      <c r="AA236" s="124" t="s">
        <v>414</v>
      </c>
      <c r="AB236" s="128" t="e">
        <f>VLOOKUP(AA236,'BASE BANCOS'!$A$2:$D$202,3,FALSE)</f>
        <v>#N/A</v>
      </c>
      <c r="AC236" s="124" t="s">
        <v>414</v>
      </c>
      <c r="AD236" s="129" t="e">
        <f>VLOOKUP(AC236,'BASE CONDUCTORES'!E:G,3,FALSE)</f>
        <v>#N/A</v>
      </c>
      <c r="AE236" s="155"/>
      <c r="AF236" s="150"/>
      <c r="AG236" s="75"/>
      <c r="AH236" s="150"/>
      <c r="AI236" s="75"/>
      <c r="AJ236" s="79"/>
      <c r="AK236" s="124" t="s">
        <v>415</v>
      </c>
      <c r="AL236" s="79"/>
      <c r="AM236" s="79"/>
      <c r="AN236" s="79"/>
      <c r="AO236" s="75"/>
      <c r="AP236" s="75"/>
      <c r="AQ236" s="79"/>
      <c r="AR236" s="79"/>
      <c r="AS236" s="79"/>
      <c r="AT236" s="79"/>
      <c r="AU236" s="104"/>
      <c r="AV236" s="105"/>
      <c r="AW236" s="79"/>
      <c r="AX236" s="79"/>
      <c r="AY236" s="79"/>
      <c r="AZ236" s="79"/>
    </row>
    <row r="237" spans="3:52" s="124" customFormat="1" x14ac:dyDescent="0.25">
      <c r="C237" s="127">
        <v>44321</v>
      </c>
      <c r="D237" s="128" t="s">
        <v>29</v>
      </c>
      <c r="E237" s="128" t="s">
        <v>33</v>
      </c>
      <c r="F237" s="124">
        <v>1</v>
      </c>
      <c r="G237" s="155" t="s">
        <v>346</v>
      </c>
      <c r="J237" s="71"/>
      <c r="K237" s="128" t="e">
        <f>VLOOKUP(G237,'BASE PASAJEROS'!A:B,2,FALSE)</f>
        <v>#N/A</v>
      </c>
      <c r="L237" s="128" t="s">
        <v>316</v>
      </c>
      <c r="M237" s="128" t="e">
        <f>VLOOKUP(G237,'BASE PASAJEROS'!A:H,8,FALSE)</f>
        <v>#N/A</v>
      </c>
      <c r="N237" s="79"/>
      <c r="O237" s="79"/>
      <c r="P237" s="128" t="e">
        <f>VLOOKUP(G237,'BASE PASAJEROS'!A:F,6,FALSE)</f>
        <v>#N/A</v>
      </c>
      <c r="Q237" s="128" t="e">
        <f>VLOOKUP(G237,'BASE PASAJEROS'!A:C,3,FALSE)</f>
        <v>#N/A</v>
      </c>
      <c r="R237" s="128" t="e">
        <f>VLOOKUP(G237,'BASE PASAJEROS'!A:G,7,FALSE)</f>
        <v>#N/A</v>
      </c>
      <c r="S237" s="128" t="s">
        <v>305</v>
      </c>
      <c r="T237" s="128" t="s">
        <v>409</v>
      </c>
      <c r="U237" s="130" t="e">
        <f>VLOOKUP(G237,'BASE PASAJEROS'!A:AG,33,FALSE)</f>
        <v>#N/A</v>
      </c>
      <c r="V237" s="130" t="e">
        <f>VLOOKUP(G237,'BASE PASAJEROS'!A:AH,34,FALSE)</f>
        <v>#N/A</v>
      </c>
      <c r="X237" s="155" t="s">
        <v>368</v>
      </c>
      <c r="Y237" s="124" t="s">
        <v>374</v>
      </c>
      <c r="Z237" s="124" t="s">
        <v>328</v>
      </c>
      <c r="AA237" s="124" t="s">
        <v>414</v>
      </c>
      <c r="AB237" s="128" t="e">
        <f>VLOOKUP(AA237,'BASE BANCOS'!$A$2:$D$202,3,FALSE)</f>
        <v>#N/A</v>
      </c>
      <c r="AC237" s="124" t="s">
        <v>414</v>
      </c>
      <c r="AD237" s="129" t="e">
        <f>VLOOKUP(AC237,'BASE CONDUCTORES'!E:G,3,FALSE)</f>
        <v>#N/A</v>
      </c>
      <c r="AE237" s="155"/>
      <c r="AF237" s="150"/>
      <c r="AG237" s="75"/>
      <c r="AH237" s="150"/>
      <c r="AI237" s="75"/>
      <c r="AJ237" s="79"/>
      <c r="AK237" s="124" t="s">
        <v>415</v>
      </c>
      <c r="AL237" s="79"/>
      <c r="AM237" s="79"/>
      <c r="AN237" s="79"/>
      <c r="AO237" s="75"/>
      <c r="AP237" s="75"/>
      <c r="AQ237" s="79"/>
      <c r="AR237" s="79"/>
      <c r="AS237" s="79"/>
      <c r="AT237" s="79"/>
      <c r="AU237" s="104"/>
      <c r="AV237" s="105"/>
      <c r="AW237" s="79"/>
      <c r="AX237" s="79"/>
      <c r="AY237" s="79"/>
      <c r="AZ237" s="79"/>
    </row>
    <row r="238" spans="3:52" s="124" customFormat="1" ht="15.75" x14ac:dyDescent="0.25">
      <c r="C238" s="127">
        <v>44321</v>
      </c>
      <c r="D238" s="128" t="s">
        <v>29</v>
      </c>
      <c r="E238" s="128" t="s">
        <v>33</v>
      </c>
      <c r="F238" s="124">
        <v>1</v>
      </c>
      <c r="G238" s="166" t="s">
        <v>347</v>
      </c>
      <c r="J238" s="71"/>
      <c r="K238" s="128" t="e">
        <f>VLOOKUP(G238,'BASE PASAJEROS'!A:B,2,FALSE)</f>
        <v>#N/A</v>
      </c>
      <c r="L238" s="128" t="s">
        <v>316</v>
      </c>
      <c r="M238" s="128" t="e">
        <f>VLOOKUP(G238,'BASE PASAJEROS'!A:H,8,FALSE)</f>
        <v>#N/A</v>
      </c>
      <c r="N238" s="79"/>
      <c r="O238" s="79"/>
      <c r="P238" s="128" t="e">
        <f>VLOOKUP(G238,'BASE PASAJEROS'!A:F,6,FALSE)</f>
        <v>#N/A</v>
      </c>
      <c r="Q238" s="128" t="e">
        <f>VLOOKUP(G238,'BASE PASAJEROS'!A:C,3,FALSE)</f>
        <v>#N/A</v>
      </c>
      <c r="R238" s="128" t="e">
        <f>VLOOKUP(G238,'BASE PASAJEROS'!A:G,7,FALSE)</f>
        <v>#N/A</v>
      </c>
      <c r="S238" s="128" t="s">
        <v>305</v>
      </c>
      <c r="T238" s="128" t="s">
        <v>409</v>
      </c>
      <c r="U238" s="130" t="e">
        <f>VLOOKUP(G238,'BASE PASAJEROS'!A:AG,33,FALSE)</f>
        <v>#N/A</v>
      </c>
      <c r="V238" s="130" t="e">
        <f>VLOOKUP(G238,'BASE PASAJEROS'!A:AH,34,FALSE)</f>
        <v>#N/A</v>
      </c>
      <c r="X238" s="155" t="s">
        <v>368</v>
      </c>
      <c r="Y238" s="124" t="s">
        <v>374</v>
      </c>
      <c r="Z238" s="124" t="s">
        <v>328</v>
      </c>
      <c r="AA238" s="128" t="s">
        <v>317</v>
      </c>
      <c r="AB238" s="128" t="e">
        <f>VLOOKUP(AA238,'BASE BANCOS'!$A$2:$D$202,3,FALSE)</f>
        <v>#N/A</v>
      </c>
      <c r="AC238" s="143" t="s">
        <v>369</v>
      </c>
      <c r="AD238" s="129" t="e">
        <f>VLOOKUP(AC238,'BASE CONDUCTORES'!E:G,3,FALSE)</f>
        <v>#N/A</v>
      </c>
      <c r="AE238" s="155"/>
      <c r="AF238" s="150"/>
      <c r="AG238" s="75"/>
      <c r="AH238" s="150"/>
      <c r="AI238" s="75"/>
      <c r="AJ238" s="79"/>
      <c r="AL238" s="79"/>
      <c r="AM238" s="79"/>
      <c r="AN238" s="79"/>
      <c r="AO238" s="75"/>
      <c r="AP238" s="75"/>
      <c r="AQ238" s="79"/>
      <c r="AR238" s="79"/>
      <c r="AS238" s="79"/>
      <c r="AT238" s="79"/>
      <c r="AU238" s="104"/>
      <c r="AV238" s="105"/>
      <c r="AW238" s="79"/>
      <c r="AX238" s="79"/>
      <c r="AY238" s="79"/>
      <c r="AZ238" s="79"/>
    </row>
    <row r="239" spans="3:52" s="124" customFormat="1" ht="15.75" x14ac:dyDescent="0.25">
      <c r="C239" s="127">
        <v>44321</v>
      </c>
      <c r="D239" s="128" t="s">
        <v>29</v>
      </c>
      <c r="E239" s="128" t="s">
        <v>33</v>
      </c>
      <c r="F239" s="124">
        <v>1</v>
      </c>
      <c r="G239" s="167" t="s">
        <v>348</v>
      </c>
      <c r="J239" s="71"/>
      <c r="K239" s="128" t="e">
        <f>VLOOKUP(G239,'BASE PASAJEROS'!A:B,2,FALSE)</f>
        <v>#N/A</v>
      </c>
      <c r="L239" s="128" t="s">
        <v>316</v>
      </c>
      <c r="M239" s="128" t="e">
        <f>VLOOKUP(G239,'BASE PASAJEROS'!A:H,8,FALSE)</f>
        <v>#N/A</v>
      </c>
      <c r="N239" s="79"/>
      <c r="O239" s="79"/>
      <c r="P239" s="128" t="e">
        <f>VLOOKUP(G239,'BASE PASAJEROS'!A:F,6,FALSE)</f>
        <v>#N/A</v>
      </c>
      <c r="Q239" s="128" t="e">
        <f>VLOOKUP(G239,'BASE PASAJEROS'!A:C,3,FALSE)</f>
        <v>#N/A</v>
      </c>
      <c r="R239" s="128" t="e">
        <f>VLOOKUP(G239,'BASE PASAJEROS'!A:G,7,FALSE)</f>
        <v>#N/A</v>
      </c>
      <c r="S239" s="128" t="s">
        <v>305</v>
      </c>
      <c r="T239" s="128" t="s">
        <v>409</v>
      </c>
      <c r="U239" s="130" t="e">
        <f>VLOOKUP(G239,'BASE PASAJEROS'!A:AG,33,FALSE)</f>
        <v>#N/A</v>
      </c>
      <c r="V239" s="130" t="e">
        <f>VLOOKUP(G239,'BASE PASAJEROS'!A:AH,34,FALSE)</f>
        <v>#N/A</v>
      </c>
      <c r="X239" s="155" t="s">
        <v>368</v>
      </c>
      <c r="Y239" s="124" t="s">
        <v>374</v>
      </c>
      <c r="Z239" s="124" t="s">
        <v>328</v>
      </c>
      <c r="AA239" s="128" t="s">
        <v>317</v>
      </c>
      <c r="AB239" s="128" t="e">
        <f>VLOOKUP(AA239,'BASE BANCOS'!$A$2:$D$202,3,FALSE)</f>
        <v>#N/A</v>
      </c>
      <c r="AC239" s="79" t="s">
        <v>405</v>
      </c>
      <c r="AD239" s="129" t="e">
        <f>VLOOKUP(AC239,'BASE CONDUCTORES'!E:G,3,FALSE)</f>
        <v>#N/A</v>
      </c>
      <c r="AE239" s="155"/>
      <c r="AF239" s="150"/>
      <c r="AG239" s="75"/>
      <c r="AH239" s="150"/>
      <c r="AI239" s="75"/>
      <c r="AJ239" s="79"/>
      <c r="AL239" s="79"/>
      <c r="AM239" s="79"/>
      <c r="AN239" s="79"/>
      <c r="AO239" s="75"/>
      <c r="AP239" s="75"/>
      <c r="AQ239" s="79"/>
      <c r="AR239" s="79"/>
      <c r="AS239" s="79"/>
      <c r="AT239" s="79"/>
      <c r="AU239" s="104"/>
      <c r="AV239" s="105"/>
      <c r="AW239" s="79"/>
      <c r="AX239" s="79"/>
      <c r="AY239" s="79"/>
      <c r="AZ239" s="79"/>
    </row>
    <row r="240" spans="3:52" s="124" customFormat="1" ht="15.75" x14ac:dyDescent="0.25">
      <c r="C240" s="127">
        <v>44321</v>
      </c>
      <c r="D240" s="128" t="s">
        <v>29</v>
      </c>
      <c r="E240" s="128" t="s">
        <v>33</v>
      </c>
      <c r="F240" s="124">
        <v>1</v>
      </c>
      <c r="G240" s="166" t="s">
        <v>349</v>
      </c>
      <c r="J240" s="71"/>
      <c r="K240" s="128" t="e">
        <f>VLOOKUP(G240,'BASE PASAJEROS'!A:B,2,FALSE)</f>
        <v>#N/A</v>
      </c>
      <c r="L240" s="128" t="s">
        <v>316</v>
      </c>
      <c r="M240" s="128" t="e">
        <f>VLOOKUP(G240,'BASE PASAJEROS'!A:H,8,FALSE)</f>
        <v>#N/A</v>
      </c>
      <c r="N240" s="79"/>
      <c r="O240" s="79"/>
      <c r="P240" s="128" t="e">
        <f>VLOOKUP(G240,'BASE PASAJEROS'!A:F,6,FALSE)</f>
        <v>#N/A</v>
      </c>
      <c r="Q240" s="128" t="e">
        <f>VLOOKUP(G240,'BASE PASAJEROS'!A:C,3,FALSE)</f>
        <v>#N/A</v>
      </c>
      <c r="R240" s="128" t="e">
        <f>VLOOKUP(G240,'BASE PASAJEROS'!A:G,7,FALSE)</f>
        <v>#N/A</v>
      </c>
      <c r="S240" s="128" t="s">
        <v>305</v>
      </c>
      <c r="T240" s="128" t="s">
        <v>409</v>
      </c>
      <c r="U240" s="130" t="e">
        <f>VLOOKUP(G240,'BASE PASAJEROS'!A:AG,33,FALSE)</f>
        <v>#N/A</v>
      </c>
      <c r="V240" s="130" t="e">
        <f>VLOOKUP(G240,'BASE PASAJEROS'!A:AH,34,FALSE)</f>
        <v>#N/A</v>
      </c>
      <c r="X240" s="155" t="s">
        <v>368</v>
      </c>
      <c r="Y240" s="124" t="s">
        <v>374</v>
      </c>
      <c r="Z240" s="124" t="s">
        <v>328</v>
      </c>
      <c r="AA240" s="128" t="s">
        <v>317</v>
      </c>
      <c r="AB240" s="128" t="e">
        <f>VLOOKUP(AA240,'BASE BANCOS'!$A$2:$D$202,3,FALSE)</f>
        <v>#N/A</v>
      </c>
      <c r="AC240" s="143" t="s">
        <v>369</v>
      </c>
      <c r="AD240" s="129" t="e">
        <f>VLOOKUP(AC240,'BASE CONDUCTORES'!E:G,3,FALSE)</f>
        <v>#N/A</v>
      </c>
      <c r="AE240" s="155"/>
      <c r="AF240" s="150"/>
      <c r="AG240" s="75"/>
      <c r="AH240" s="150"/>
      <c r="AI240" s="75"/>
      <c r="AJ240" s="79"/>
      <c r="AL240" s="79"/>
      <c r="AM240" s="79"/>
      <c r="AN240" s="79"/>
      <c r="AO240" s="75"/>
      <c r="AP240" s="75"/>
      <c r="AQ240" s="79"/>
      <c r="AR240" s="79"/>
      <c r="AS240" s="79"/>
      <c r="AT240" s="79"/>
      <c r="AU240" s="104"/>
      <c r="AV240" s="105"/>
      <c r="AW240" s="79"/>
      <c r="AX240" s="79"/>
      <c r="AY240" s="79"/>
      <c r="AZ240" s="79"/>
    </row>
    <row r="241" spans="3:52" s="124" customFormat="1" ht="15.75" x14ac:dyDescent="0.25">
      <c r="C241" s="127">
        <v>44321</v>
      </c>
      <c r="D241" s="128" t="s">
        <v>29</v>
      </c>
      <c r="E241" s="128" t="s">
        <v>33</v>
      </c>
      <c r="F241" s="124">
        <v>1</v>
      </c>
      <c r="G241" s="167" t="s">
        <v>350</v>
      </c>
      <c r="J241" s="71"/>
      <c r="K241" s="128" t="e">
        <f>VLOOKUP(G241,'BASE PASAJEROS'!A:B,2,FALSE)</f>
        <v>#N/A</v>
      </c>
      <c r="L241" s="128" t="s">
        <v>316</v>
      </c>
      <c r="M241" s="128" t="e">
        <f>VLOOKUP(G241,'BASE PASAJEROS'!A:H,8,FALSE)</f>
        <v>#N/A</v>
      </c>
      <c r="N241" s="79"/>
      <c r="O241" s="79"/>
      <c r="P241" s="128" t="e">
        <f>VLOOKUP(G241,'BASE PASAJEROS'!A:F,6,FALSE)</f>
        <v>#N/A</v>
      </c>
      <c r="Q241" s="128" t="e">
        <f>VLOOKUP(G241,'BASE PASAJEROS'!A:C,3,FALSE)</f>
        <v>#N/A</v>
      </c>
      <c r="R241" s="128" t="e">
        <f>VLOOKUP(G241,'BASE PASAJEROS'!A:G,7,FALSE)</f>
        <v>#N/A</v>
      </c>
      <c r="S241" s="128" t="s">
        <v>305</v>
      </c>
      <c r="T241" s="128" t="s">
        <v>409</v>
      </c>
      <c r="U241" s="130" t="e">
        <f>VLOOKUP(G241,'BASE PASAJEROS'!A:AG,33,FALSE)</f>
        <v>#N/A</v>
      </c>
      <c r="V241" s="130" t="e">
        <f>VLOOKUP(G241,'BASE PASAJEROS'!A:AH,34,FALSE)</f>
        <v>#N/A</v>
      </c>
      <c r="X241" s="155" t="s">
        <v>368</v>
      </c>
      <c r="Y241" s="124" t="s">
        <v>374</v>
      </c>
      <c r="Z241" s="124" t="s">
        <v>328</v>
      </c>
      <c r="AA241" s="128" t="s">
        <v>317</v>
      </c>
      <c r="AB241" s="128" t="e">
        <f>VLOOKUP(AA241,'BASE BANCOS'!$A$2:$D$202,3,FALSE)</f>
        <v>#N/A</v>
      </c>
      <c r="AC241" s="79" t="s">
        <v>405</v>
      </c>
      <c r="AD241" s="129" t="e">
        <f>VLOOKUP(AC241,'BASE CONDUCTORES'!E:G,3,FALSE)</f>
        <v>#N/A</v>
      </c>
      <c r="AE241" s="155"/>
      <c r="AF241" s="150"/>
      <c r="AG241" s="75"/>
      <c r="AH241" s="150"/>
      <c r="AI241" s="75"/>
      <c r="AJ241" s="79"/>
      <c r="AL241" s="79"/>
      <c r="AM241" s="79"/>
      <c r="AN241" s="79"/>
      <c r="AO241" s="75"/>
      <c r="AP241" s="75"/>
      <c r="AQ241" s="79"/>
      <c r="AR241" s="79"/>
      <c r="AS241" s="79"/>
      <c r="AT241" s="79"/>
      <c r="AU241" s="104"/>
      <c r="AV241" s="105"/>
      <c r="AW241" s="79"/>
      <c r="AX241" s="79"/>
      <c r="AY241" s="79"/>
      <c r="AZ241" s="79"/>
    </row>
    <row r="242" spans="3:52" s="124" customFormat="1" ht="15.75" x14ac:dyDescent="0.25">
      <c r="C242" s="127">
        <v>44321</v>
      </c>
      <c r="D242" s="128" t="s">
        <v>29</v>
      </c>
      <c r="E242" s="128" t="s">
        <v>33</v>
      </c>
      <c r="F242" s="124">
        <v>1</v>
      </c>
      <c r="G242" s="167" t="s">
        <v>351</v>
      </c>
      <c r="J242" s="71"/>
      <c r="K242" s="128" t="e">
        <f>VLOOKUP(G242,'BASE PASAJEROS'!A:B,2,FALSE)</f>
        <v>#N/A</v>
      </c>
      <c r="L242" s="128" t="s">
        <v>316</v>
      </c>
      <c r="M242" s="128" t="e">
        <f>VLOOKUP(G242,'BASE PASAJEROS'!A:H,8,FALSE)</f>
        <v>#N/A</v>
      </c>
      <c r="N242" s="79"/>
      <c r="O242" s="79"/>
      <c r="P242" s="128" t="e">
        <f>VLOOKUP(G242,'BASE PASAJEROS'!A:F,6,FALSE)</f>
        <v>#N/A</v>
      </c>
      <c r="Q242" s="128" t="e">
        <f>VLOOKUP(G242,'BASE PASAJEROS'!A:C,3,FALSE)</f>
        <v>#N/A</v>
      </c>
      <c r="R242" s="128" t="e">
        <f>VLOOKUP(G242,'BASE PASAJEROS'!A:G,7,FALSE)</f>
        <v>#N/A</v>
      </c>
      <c r="S242" s="128" t="s">
        <v>305</v>
      </c>
      <c r="T242" s="128" t="s">
        <v>409</v>
      </c>
      <c r="U242" s="130" t="e">
        <f>VLOOKUP(G242,'BASE PASAJEROS'!A:AG,33,FALSE)</f>
        <v>#N/A</v>
      </c>
      <c r="V242" s="130" t="e">
        <f>VLOOKUP(G242,'BASE PASAJEROS'!A:AH,34,FALSE)</f>
        <v>#N/A</v>
      </c>
      <c r="X242" s="155" t="s">
        <v>368</v>
      </c>
      <c r="Y242" s="124" t="s">
        <v>374</v>
      </c>
      <c r="Z242" s="124" t="s">
        <v>328</v>
      </c>
      <c r="AA242" s="128" t="s">
        <v>317</v>
      </c>
      <c r="AB242" s="128" t="e">
        <f>VLOOKUP(AA242,'BASE BANCOS'!$A$2:$D$202,3,FALSE)</f>
        <v>#N/A</v>
      </c>
      <c r="AC242" s="79" t="s">
        <v>405</v>
      </c>
      <c r="AD242" s="129" t="e">
        <f>VLOOKUP(AC242,'BASE CONDUCTORES'!E:G,3,FALSE)</f>
        <v>#N/A</v>
      </c>
      <c r="AE242" s="155"/>
      <c r="AF242" s="150"/>
      <c r="AG242" s="75"/>
      <c r="AH242" s="150"/>
      <c r="AI242" s="75"/>
      <c r="AJ242" s="79"/>
      <c r="AL242" s="79"/>
      <c r="AM242" s="79"/>
      <c r="AN242" s="79"/>
      <c r="AO242" s="75"/>
      <c r="AP242" s="75"/>
      <c r="AQ242" s="79"/>
      <c r="AR242" s="79"/>
      <c r="AS242" s="79"/>
      <c r="AT242" s="79"/>
      <c r="AU242" s="104"/>
      <c r="AV242" s="105"/>
      <c r="AW242" s="79"/>
      <c r="AX242" s="79"/>
      <c r="AY242" s="79"/>
      <c r="AZ242" s="79"/>
    </row>
    <row r="243" spans="3:52" s="124" customFormat="1" x14ac:dyDescent="0.25">
      <c r="C243" s="127">
        <v>44321</v>
      </c>
      <c r="D243" s="128" t="s">
        <v>29</v>
      </c>
      <c r="E243" s="128" t="s">
        <v>33</v>
      </c>
      <c r="F243" s="124">
        <v>1</v>
      </c>
      <c r="G243" s="155" t="s">
        <v>352</v>
      </c>
      <c r="J243" s="71"/>
      <c r="K243" s="128" t="e">
        <f>VLOOKUP(G243,'BASE PASAJEROS'!A:B,2,FALSE)</f>
        <v>#N/A</v>
      </c>
      <c r="L243" s="128" t="s">
        <v>316</v>
      </c>
      <c r="M243" s="128" t="e">
        <f>VLOOKUP(G243,'BASE PASAJEROS'!A:H,8,FALSE)</f>
        <v>#N/A</v>
      </c>
      <c r="N243" s="79"/>
      <c r="O243" s="79"/>
      <c r="P243" s="128" t="e">
        <f>VLOOKUP(G243,'BASE PASAJEROS'!A:F,6,FALSE)</f>
        <v>#N/A</v>
      </c>
      <c r="Q243" s="128" t="e">
        <f>VLOOKUP(G243,'BASE PASAJEROS'!A:C,3,FALSE)</f>
        <v>#N/A</v>
      </c>
      <c r="R243" s="128" t="e">
        <f>VLOOKUP(G243,'BASE PASAJEROS'!A:G,7,FALSE)</f>
        <v>#N/A</v>
      </c>
      <c r="S243" s="128" t="s">
        <v>305</v>
      </c>
      <c r="T243" s="128" t="s">
        <v>409</v>
      </c>
      <c r="U243" s="130" t="e">
        <f>VLOOKUP(G243,'BASE PASAJEROS'!A:AG,33,FALSE)</f>
        <v>#N/A</v>
      </c>
      <c r="V243" s="130" t="e">
        <f>VLOOKUP(G243,'BASE PASAJEROS'!A:AH,34,FALSE)</f>
        <v>#N/A</v>
      </c>
      <c r="X243" s="155" t="s">
        <v>368</v>
      </c>
      <c r="Y243" s="124" t="s">
        <v>374</v>
      </c>
      <c r="Z243" s="124" t="s">
        <v>328</v>
      </c>
      <c r="AA243" s="128" t="s">
        <v>325</v>
      </c>
      <c r="AB243" s="128" t="e">
        <f>VLOOKUP(AA243,'BASE BANCOS'!$A$2:$D$202,3,FALSE)</f>
        <v>#N/A</v>
      </c>
      <c r="AC243" s="128" t="s">
        <v>326</v>
      </c>
      <c r="AD243" s="129" t="e">
        <f>VLOOKUP(AC243,'BASE CONDUCTORES'!E:G,3,FALSE)</f>
        <v>#N/A</v>
      </c>
      <c r="AE243" s="155"/>
      <c r="AF243" s="150"/>
      <c r="AG243" s="75"/>
      <c r="AH243" s="150"/>
      <c r="AI243" s="75"/>
      <c r="AJ243" s="79"/>
      <c r="AL243" s="79"/>
      <c r="AM243" s="79"/>
      <c r="AN243" s="79"/>
      <c r="AO243" s="75"/>
      <c r="AP243" s="75"/>
      <c r="AQ243" s="79"/>
      <c r="AR243" s="79"/>
      <c r="AS243" s="79"/>
      <c r="AT243" s="79"/>
      <c r="AU243" s="104"/>
      <c r="AV243" s="105"/>
      <c r="AW243" s="79"/>
      <c r="AX243" s="79"/>
      <c r="AY243" s="79"/>
      <c r="AZ243" s="79"/>
    </row>
    <row r="244" spans="3:52" s="124" customFormat="1" ht="15.75" x14ac:dyDescent="0.25">
      <c r="C244" s="127">
        <v>44321</v>
      </c>
      <c r="D244" s="128" t="s">
        <v>29</v>
      </c>
      <c r="E244" s="128" t="s">
        <v>33</v>
      </c>
      <c r="F244" s="124">
        <v>1</v>
      </c>
      <c r="G244" s="166" t="s">
        <v>353</v>
      </c>
      <c r="J244" s="71"/>
      <c r="K244" s="128" t="e">
        <f>VLOOKUP(G244,'BASE PASAJEROS'!A:B,2,FALSE)</f>
        <v>#N/A</v>
      </c>
      <c r="L244" s="128" t="s">
        <v>316</v>
      </c>
      <c r="M244" s="128" t="e">
        <f>VLOOKUP(G244,'BASE PASAJEROS'!A:H,8,FALSE)</f>
        <v>#N/A</v>
      </c>
      <c r="N244" s="79"/>
      <c r="O244" s="79"/>
      <c r="P244" s="128" t="e">
        <f>VLOOKUP(G244,'BASE PASAJEROS'!A:F,6,FALSE)</f>
        <v>#N/A</v>
      </c>
      <c r="Q244" s="128" t="e">
        <f>VLOOKUP(G244,'BASE PASAJEROS'!A:C,3,FALSE)</f>
        <v>#N/A</v>
      </c>
      <c r="R244" s="128" t="e">
        <f>VLOOKUP(G244,'BASE PASAJEROS'!A:G,7,FALSE)</f>
        <v>#N/A</v>
      </c>
      <c r="S244" s="128" t="s">
        <v>305</v>
      </c>
      <c r="T244" s="128" t="s">
        <v>409</v>
      </c>
      <c r="U244" s="130" t="e">
        <f>VLOOKUP(G244,'BASE PASAJEROS'!A:AG,33,FALSE)</f>
        <v>#N/A</v>
      </c>
      <c r="V244" s="130" t="e">
        <f>VLOOKUP(G244,'BASE PASAJEROS'!A:AH,34,FALSE)</f>
        <v>#N/A</v>
      </c>
      <c r="X244" s="155" t="s">
        <v>368</v>
      </c>
      <c r="Y244" s="124" t="s">
        <v>374</v>
      </c>
      <c r="Z244" s="124" t="s">
        <v>328</v>
      </c>
      <c r="AA244" s="128" t="s">
        <v>317</v>
      </c>
      <c r="AB244" s="128" t="e">
        <f>VLOOKUP(AA244,'BASE BANCOS'!$A$2:$D$202,3,FALSE)</f>
        <v>#N/A</v>
      </c>
      <c r="AC244" s="143" t="s">
        <v>369</v>
      </c>
      <c r="AD244" s="129" t="e">
        <f>VLOOKUP(AC244,'BASE CONDUCTORES'!E:G,3,FALSE)</f>
        <v>#N/A</v>
      </c>
      <c r="AE244" s="155"/>
      <c r="AF244" s="150"/>
      <c r="AG244" s="75"/>
      <c r="AH244" s="150"/>
      <c r="AI244" s="75"/>
      <c r="AJ244" s="79"/>
      <c r="AL244" s="79"/>
      <c r="AM244" s="79"/>
      <c r="AN244" s="79"/>
      <c r="AO244" s="75"/>
      <c r="AP244" s="75"/>
      <c r="AQ244" s="79"/>
      <c r="AR244" s="79"/>
      <c r="AS244" s="79"/>
      <c r="AT244" s="79"/>
      <c r="AU244" s="104"/>
      <c r="AV244" s="105"/>
      <c r="AW244" s="79"/>
      <c r="AX244" s="79"/>
      <c r="AY244" s="79"/>
      <c r="AZ244" s="79"/>
    </row>
    <row r="245" spans="3:52" s="124" customFormat="1" x14ac:dyDescent="0.25">
      <c r="C245" s="127">
        <v>44321</v>
      </c>
      <c r="D245" s="128" t="s">
        <v>29</v>
      </c>
      <c r="E245" s="128" t="s">
        <v>33</v>
      </c>
      <c r="F245" s="124">
        <v>1</v>
      </c>
      <c r="G245" s="155" t="s">
        <v>354</v>
      </c>
      <c r="J245" s="71"/>
      <c r="K245" s="128" t="e">
        <f>VLOOKUP(G245,'BASE PASAJEROS'!A:B,2,FALSE)</f>
        <v>#N/A</v>
      </c>
      <c r="L245" s="128" t="s">
        <v>316</v>
      </c>
      <c r="M245" s="128" t="e">
        <f>VLOOKUP(G245,'BASE PASAJEROS'!A:H,8,FALSE)</f>
        <v>#N/A</v>
      </c>
      <c r="N245" s="79"/>
      <c r="O245" s="79"/>
      <c r="P245" s="128" t="e">
        <f>VLOOKUP(G245,'BASE PASAJEROS'!A:F,6,FALSE)</f>
        <v>#N/A</v>
      </c>
      <c r="Q245" s="128" t="e">
        <f>VLOOKUP(G245,'BASE PASAJEROS'!A:C,3,FALSE)</f>
        <v>#N/A</v>
      </c>
      <c r="R245" s="128" t="e">
        <f>VLOOKUP(G245,'BASE PASAJEROS'!A:G,7,FALSE)</f>
        <v>#N/A</v>
      </c>
      <c r="S245" s="128" t="s">
        <v>305</v>
      </c>
      <c r="T245" s="128" t="s">
        <v>409</v>
      </c>
      <c r="U245" s="130" t="e">
        <f>VLOOKUP(G245,'BASE PASAJEROS'!A:AG,33,FALSE)</f>
        <v>#N/A</v>
      </c>
      <c r="V245" s="130" t="e">
        <f>VLOOKUP(G245,'BASE PASAJEROS'!A:AH,34,FALSE)</f>
        <v>#N/A</v>
      </c>
      <c r="X245" s="155" t="s">
        <v>368</v>
      </c>
      <c r="Y245" s="124" t="s">
        <v>374</v>
      </c>
      <c r="Z245" s="124" t="s">
        <v>328</v>
      </c>
      <c r="AA245" s="124" t="s">
        <v>414</v>
      </c>
      <c r="AB245" s="128" t="e">
        <f>VLOOKUP(AA245,'BASE BANCOS'!$A$2:$D$202,3,FALSE)</f>
        <v>#N/A</v>
      </c>
      <c r="AC245" s="124" t="s">
        <v>414</v>
      </c>
      <c r="AD245" s="129" t="e">
        <f>VLOOKUP(AC245,'BASE CONDUCTORES'!E:G,3,FALSE)</f>
        <v>#N/A</v>
      </c>
      <c r="AE245" s="155"/>
      <c r="AF245" s="150"/>
      <c r="AG245" s="75"/>
      <c r="AH245" s="150"/>
      <c r="AI245" s="75"/>
      <c r="AJ245" s="79"/>
      <c r="AK245" s="124" t="s">
        <v>415</v>
      </c>
      <c r="AL245" s="79"/>
      <c r="AM245" s="79"/>
      <c r="AN245" s="79"/>
      <c r="AO245" s="75"/>
      <c r="AP245" s="75"/>
      <c r="AQ245" s="79"/>
      <c r="AR245" s="79"/>
      <c r="AS245" s="79"/>
      <c r="AT245" s="79"/>
      <c r="AU245" s="104"/>
      <c r="AV245" s="105"/>
      <c r="AW245" s="79"/>
      <c r="AX245" s="79"/>
      <c r="AY245" s="79"/>
      <c r="AZ245" s="79"/>
    </row>
    <row r="246" spans="3:52" s="124" customFormat="1" x14ac:dyDescent="0.25">
      <c r="C246" s="127">
        <v>44321</v>
      </c>
      <c r="D246" s="128" t="s">
        <v>29</v>
      </c>
      <c r="E246" s="128" t="s">
        <v>33</v>
      </c>
      <c r="F246" s="124">
        <v>1</v>
      </c>
      <c r="G246" s="155" t="s">
        <v>355</v>
      </c>
      <c r="J246" s="71"/>
      <c r="K246" s="128" t="e">
        <f>VLOOKUP(G246,'BASE PASAJEROS'!A:B,2,FALSE)</f>
        <v>#N/A</v>
      </c>
      <c r="L246" s="128" t="s">
        <v>316</v>
      </c>
      <c r="M246" s="128" t="e">
        <f>VLOOKUP(G246,'BASE PASAJEROS'!A:H,8,FALSE)</f>
        <v>#N/A</v>
      </c>
      <c r="N246" s="79"/>
      <c r="O246" s="79"/>
      <c r="P246" s="128" t="e">
        <f>VLOOKUP(G246,'BASE PASAJEROS'!A:F,6,FALSE)</f>
        <v>#N/A</v>
      </c>
      <c r="Q246" s="128" t="e">
        <f>VLOOKUP(G246,'BASE PASAJEROS'!A:C,3,FALSE)</f>
        <v>#N/A</v>
      </c>
      <c r="R246" s="128" t="e">
        <f>VLOOKUP(G246,'BASE PASAJEROS'!A:G,7,FALSE)</f>
        <v>#N/A</v>
      </c>
      <c r="S246" s="128" t="s">
        <v>305</v>
      </c>
      <c r="T246" s="128" t="s">
        <v>409</v>
      </c>
      <c r="U246" s="130" t="e">
        <f>VLOOKUP(G246,'BASE PASAJEROS'!A:AG,33,FALSE)</f>
        <v>#N/A</v>
      </c>
      <c r="V246" s="130" t="e">
        <f>VLOOKUP(G246,'BASE PASAJEROS'!A:AH,34,FALSE)</f>
        <v>#N/A</v>
      </c>
      <c r="X246" s="155" t="s">
        <v>368</v>
      </c>
      <c r="Y246" s="124" t="s">
        <v>374</v>
      </c>
      <c r="Z246" s="124" t="s">
        <v>328</v>
      </c>
      <c r="AA246" s="128" t="s">
        <v>325</v>
      </c>
      <c r="AB246" s="128" t="e">
        <f>VLOOKUP(AA246,'BASE BANCOS'!$A$2:$D$202,3,FALSE)</f>
        <v>#N/A</v>
      </c>
      <c r="AC246" s="128" t="s">
        <v>326</v>
      </c>
      <c r="AD246" s="129" t="e">
        <f>VLOOKUP(AC246,'BASE CONDUCTORES'!E:G,3,FALSE)</f>
        <v>#N/A</v>
      </c>
      <c r="AE246" s="155"/>
      <c r="AF246" s="150"/>
      <c r="AG246" s="75"/>
      <c r="AH246" s="150"/>
      <c r="AI246" s="75"/>
      <c r="AJ246" s="79"/>
      <c r="AL246" s="79"/>
      <c r="AM246" s="79"/>
      <c r="AN246" s="79"/>
      <c r="AO246" s="75"/>
      <c r="AP246" s="75"/>
      <c r="AQ246" s="79"/>
      <c r="AR246" s="79"/>
      <c r="AS246" s="79"/>
      <c r="AT246" s="79"/>
      <c r="AU246" s="104"/>
      <c r="AV246" s="105"/>
      <c r="AW246" s="79"/>
      <c r="AX246" s="79"/>
      <c r="AY246" s="79"/>
      <c r="AZ246" s="79"/>
    </row>
    <row r="247" spans="3:52" s="124" customFormat="1" x14ac:dyDescent="0.25">
      <c r="C247" s="127">
        <v>44321</v>
      </c>
      <c r="D247" s="128" t="s">
        <v>29</v>
      </c>
      <c r="E247" s="128" t="s">
        <v>33</v>
      </c>
      <c r="F247" s="124">
        <v>1</v>
      </c>
      <c r="G247" s="155" t="s">
        <v>356</v>
      </c>
      <c r="J247" s="71"/>
      <c r="K247" s="128" t="e">
        <f>VLOOKUP(G247,'BASE PASAJEROS'!A:B,2,FALSE)</f>
        <v>#N/A</v>
      </c>
      <c r="L247" s="128" t="s">
        <v>316</v>
      </c>
      <c r="M247" s="128" t="e">
        <f>VLOOKUP(G247,'BASE PASAJEROS'!A:H,8,FALSE)</f>
        <v>#N/A</v>
      </c>
      <c r="N247" s="79"/>
      <c r="O247" s="79"/>
      <c r="P247" s="128" t="e">
        <f>VLOOKUP(G247,'BASE PASAJEROS'!A:F,6,FALSE)</f>
        <v>#N/A</v>
      </c>
      <c r="Q247" s="128" t="e">
        <f>VLOOKUP(G247,'BASE PASAJEROS'!A:C,3,FALSE)</f>
        <v>#N/A</v>
      </c>
      <c r="R247" s="128" t="e">
        <f>VLOOKUP(G247,'BASE PASAJEROS'!A:G,7,FALSE)</f>
        <v>#N/A</v>
      </c>
      <c r="S247" s="128" t="s">
        <v>305</v>
      </c>
      <c r="T247" s="128" t="s">
        <v>409</v>
      </c>
      <c r="U247" s="130" t="e">
        <f>VLOOKUP(G247,'BASE PASAJEROS'!A:AG,33,FALSE)</f>
        <v>#N/A</v>
      </c>
      <c r="V247" s="130" t="e">
        <f>VLOOKUP(G247,'BASE PASAJEROS'!A:AH,34,FALSE)</f>
        <v>#N/A</v>
      </c>
      <c r="X247" s="155" t="s">
        <v>368</v>
      </c>
      <c r="Y247" s="124" t="s">
        <v>21</v>
      </c>
      <c r="Z247" s="124" t="s">
        <v>328</v>
      </c>
      <c r="AA247" s="128" t="s">
        <v>319</v>
      </c>
      <c r="AB247" s="128" t="e">
        <f>VLOOKUP(AA247,'BASE BANCOS'!$A$2:$D$202,3,FALSE)</f>
        <v>#N/A</v>
      </c>
      <c r="AD247" s="129" t="e">
        <f>VLOOKUP(AC247,'BASE CONDUCTORES'!E:G,3,FALSE)</f>
        <v>#N/A</v>
      </c>
      <c r="AE247" s="155"/>
      <c r="AF247" s="150"/>
      <c r="AG247" s="75"/>
      <c r="AH247" s="150"/>
      <c r="AI247" s="75"/>
      <c r="AJ247" s="79"/>
      <c r="AK247" s="124" t="s">
        <v>412</v>
      </c>
      <c r="AL247" s="79"/>
      <c r="AM247" s="79"/>
      <c r="AN247" s="79"/>
      <c r="AO247" s="75"/>
      <c r="AP247" s="75"/>
      <c r="AQ247" s="79"/>
      <c r="AR247" s="79"/>
      <c r="AS247" s="79"/>
      <c r="AT247" s="79"/>
      <c r="AU247" s="104"/>
      <c r="AV247" s="105"/>
      <c r="AW247" s="79"/>
      <c r="AX247" s="79"/>
      <c r="AY247" s="79"/>
      <c r="AZ247" s="79"/>
    </row>
    <row r="248" spans="3:52" s="124" customFormat="1" ht="15.75" x14ac:dyDescent="0.25">
      <c r="C248" s="127">
        <v>44321</v>
      </c>
      <c r="D248" s="128" t="s">
        <v>29</v>
      </c>
      <c r="E248" s="128" t="s">
        <v>33</v>
      </c>
      <c r="F248" s="124">
        <v>1</v>
      </c>
      <c r="G248" s="166" t="s">
        <v>357</v>
      </c>
      <c r="J248" s="71"/>
      <c r="K248" s="128" t="e">
        <f>VLOOKUP(G248,'BASE PASAJEROS'!A:B,2,FALSE)</f>
        <v>#N/A</v>
      </c>
      <c r="L248" s="128" t="s">
        <v>316</v>
      </c>
      <c r="M248" s="128" t="e">
        <f>VLOOKUP(G248,'BASE PASAJEROS'!A:H,8,FALSE)</f>
        <v>#N/A</v>
      </c>
      <c r="N248" s="79"/>
      <c r="O248" s="79"/>
      <c r="P248" s="128" t="e">
        <f>VLOOKUP(G248,'BASE PASAJEROS'!A:F,6,FALSE)</f>
        <v>#N/A</v>
      </c>
      <c r="Q248" s="128" t="e">
        <f>VLOOKUP(G248,'BASE PASAJEROS'!A:C,3,FALSE)</f>
        <v>#N/A</v>
      </c>
      <c r="R248" s="128" t="e">
        <f>VLOOKUP(G248,'BASE PASAJEROS'!A:G,7,FALSE)</f>
        <v>#N/A</v>
      </c>
      <c r="S248" s="128" t="s">
        <v>305</v>
      </c>
      <c r="T248" s="128" t="s">
        <v>409</v>
      </c>
      <c r="U248" s="130" t="e">
        <f>VLOOKUP(G248,'BASE PASAJEROS'!A:AG,33,FALSE)</f>
        <v>#N/A</v>
      </c>
      <c r="V248" s="130" t="e">
        <f>VLOOKUP(G248,'BASE PASAJEROS'!A:AH,34,FALSE)</f>
        <v>#N/A</v>
      </c>
      <c r="X248" s="155" t="s">
        <v>368</v>
      </c>
      <c r="Y248" s="124" t="s">
        <v>374</v>
      </c>
      <c r="Z248" s="124" t="s">
        <v>328</v>
      </c>
      <c r="AA248" s="128" t="s">
        <v>317</v>
      </c>
      <c r="AB248" s="128" t="e">
        <f>VLOOKUP(AA248,'BASE BANCOS'!$A$2:$D$202,3,FALSE)</f>
        <v>#N/A</v>
      </c>
      <c r="AC248" s="143" t="s">
        <v>369</v>
      </c>
      <c r="AD248" s="129" t="e">
        <f>VLOOKUP(AC248,'BASE CONDUCTORES'!E:G,3,FALSE)</f>
        <v>#N/A</v>
      </c>
      <c r="AE248" s="155"/>
      <c r="AF248" s="150"/>
      <c r="AG248" s="75"/>
      <c r="AH248" s="150"/>
      <c r="AI248" s="75"/>
      <c r="AJ248" s="79"/>
      <c r="AL248" s="79"/>
      <c r="AM248" s="79"/>
      <c r="AN248" s="79"/>
      <c r="AO248" s="75"/>
      <c r="AP248" s="75"/>
      <c r="AQ248" s="79"/>
      <c r="AR248" s="79"/>
      <c r="AS248" s="79"/>
      <c r="AT248" s="79"/>
      <c r="AU248" s="104"/>
      <c r="AV248" s="105"/>
      <c r="AW248" s="79"/>
      <c r="AX248" s="79"/>
      <c r="AY248" s="79"/>
      <c r="AZ248" s="79"/>
    </row>
    <row r="249" spans="3:52" s="124" customFormat="1" x14ac:dyDescent="0.25">
      <c r="C249" s="127">
        <v>44321</v>
      </c>
      <c r="D249" s="128" t="s">
        <v>29</v>
      </c>
      <c r="E249" s="128" t="s">
        <v>33</v>
      </c>
      <c r="F249" s="124">
        <v>1</v>
      </c>
      <c r="G249" s="124" t="s">
        <v>358</v>
      </c>
      <c r="J249" s="71"/>
      <c r="K249" s="128" t="e">
        <f>VLOOKUP(G249,'BASE PASAJEROS'!A:B,2,FALSE)</f>
        <v>#N/A</v>
      </c>
      <c r="L249" s="128" t="s">
        <v>316</v>
      </c>
      <c r="M249" s="128" t="e">
        <f>VLOOKUP(G249,'BASE PASAJEROS'!A:H,8,FALSE)</f>
        <v>#N/A</v>
      </c>
      <c r="N249" s="79"/>
      <c r="O249" s="79"/>
      <c r="P249" s="128" t="e">
        <f>VLOOKUP(G249,'BASE PASAJEROS'!A:F,6,FALSE)</f>
        <v>#N/A</v>
      </c>
      <c r="Q249" s="128" t="e">
        <f>VLOOKUP(G249,'BASE PASAJEROS'!A:C,3,FALSE)</f>
        <v>#N/A</v>
      </c>
      <c r="R249" s="128" t="e">
        <f>VLOOKUP(G249,'BASE PASAJEROS'!A:G,7,FALSE)</f>
        <v>#N/A</v>
      </c>
      <c r="S249" s="128" t="s">
        <v>305</v>
      </c>
      <c r="T249" s="128" t="s">
        <v>409</v>
      </c>
      <c r="U249" s="130" t="e">
        <f>VLOOKUP(G249,'BASE PASAJEROS'!A:AG,33,FALSE)</f>
        <v>#N/A</v>
      </c>
      <c r="V249" s="130" t="e">
        <f>VLOOKUP(G249,'BASE PASAJEROS'!A:AH,34,FALSE)</f>
        <v>#N/A</v>
      </c>
      <c r="X249" s="155" t="s">
        <v>368</v>
      </c>
      <c r="Y249" s="124" t="s">
        <v>21</v>
      </c>
      <c r="Z249" s="124" t="s">
        <v>328</v>
      </c>
      <c r="AA249" s="128" t="s">
        <v>319</v>
      </c>
      <c r="AB249" s="128" t="e">
        <f>VLOOKUP(AA249,'BASE BANCOS'!$A$2:$D$202,3,FALSE)</f>
        <v>#N/A</v>
      </c>
      <c r="AD249" s="129" t="e">
        <f>VLOOKUP(AC249,'BASE CONDUCTORES'!E:G,3,FALSE)</f>
        <v>#N/A</v>
      </c>
      <c r="AE249" s="155"/>
      <c r="AF249" s="150"/>
      <c r="AG249" s="75"/>
      <c r="AH249" s="150"/>
      <c r="AI249" s="75"/>
      <c r="AJ249" s="79"/>
      <c r="AL249" s="79"/>
      <c r="AM249" s="79"/>
      <c r="AN249" s="79"/>
      <c r="AO249" s="75"/>
      <c r="AP249" s="75"/>
      <c r="AQ249" s="79"/>
      <c r="AR249" s="79"/>
      <c r="AS249" s="79"/>
      <c r="AT249" s="79"/>
      <c r="AU249" s="104"/>
      <c r="AV249" s="105"/>
      <c r="AW249" s="79"/>
      <c r="AX249" s="79"/>
      <c r="AY249" s="79"/>
      <c r="AZ249" s="79"/>
    </row>
    <row r="250" spans="3:52" s="124" customFormat="1" x14ac:dyDescent="0.25">
      <c r="C250" s="127">
        <v>44321</v>
      </c>
      <c r="D250" s="128" t="s">
        <v>29</v>
      </c>
      <c r="E250" s="128" t="s">
        <v>33</v>
      </c>
      <c r="F250" s="124">
        <v>1</v>
      </c>
      <c r="G250" s="124" t="s">
        <v>359</v>
      </c>
      <c r="J250" s="71"/>
      <c r="K250" s="128" t="e">
        <f>VLOOKUP(G250,'BASE PASAJEROS'!A:B,2,FALSE)</f>
        <v>#N/A</v>
      </c>
      <c r="L250" s="128" t="s">
        <v>316</v>
      </c>
      <c r="M250" s="128" t="e">
        <f>VLOOKUP(G250,'BASE PASAJEROS'!A:H,8,FALSE)</f>
        <v>#N/A</v>
      </c>
      <c r="N250" s="79"/>
      <c r="O250" s="79"/>
      <c r="P250" s="128" t="e">
        <f>VLOOKUP(G250,'BASE PASAJEROS'!A:F,6,FALSE)</f>
        <v>#N/A</v>
      </c>
      <c r="Q250" s="128" t="e">
        <f>VLOOKUP(G250,'BASE PASAJEROS'!A:C,3,FALSE)</f>
        <v>#N/A</v>
      </c>
      <c r="R250" s="128" t="e">
        <f>VLOOKUP(G250,'BASE PASAJEROS'!A:G,7,FALSE)</f>
        <v>#N/A</v>
      </c>
      <c r="S250" s="128" t="s">
        <v>305</v>
      </c>
      <c r="T250" s="128" t="s">
        <v>409</v>
      </c>
      <c r="U250" s="130" t="e">
        <f>VLOOKUP(G250,'BASE PASAJEROS'!A:AG,33,FALSE)</f>
        <v>#N/A</v>
      </c>
      <c r="V250" s="130" t="e">
        <f>VLOOKUP(G250,'BASE PASAJEROS'!A:AH,34,FALSE)</f>
        <v>#N/A</v>
      </c>
      <c r="X250" s="155" t="s">
        <v>368</v>
      </c>
      <c r="Y250" s="124" t="s">
        <v>374</v>
      </c>
      <c r="Z250" s="124" t="s">
        <v>328</v>
      </c>
      <c r="AA250" s="128" t="s">
        <v>325</v>
      </c>
      <c r="AB250" s="128" t="e">
        <f>VLOOKUP(AA250,'BASE BANCOS'!$A$2:$D$202,3,FALSE)</f>
        <v>#N/A</v>
      </c>
      <c r="AC250" s="128" t="s">
        <v>326</v>
      </c>
      <c r="AD250" s="129" t="e">
        <f>VLOOKUP(AC250,'BASE CONDUCTORES'!E:G,3,FALSE)</f>
        <v>#N/A</v>
      </c>
      <c r="AE250" s="155"/>
      <c r="AF250" s="150"/>
      <c r="AG250" s="75"/>
      <c r="AH250" s="150"/>
      <c r="AI250" s="75"/>
      <c r="AJ250" s="79"/>
      <c r="AL250" s="79"/>
      <c r="AM250" s="79"/>
      <c r="AN250" s="79"/>
      <c r="AO250" s="75"/>
      <c r="AP250" s="75"/>
      <c r="AQ250" s="79"/>
      <c r="AR250" s="79"/>
      <c r="AS250" s="79"/>
      <c r="AT250" s="79"/>
      <c r="AU250" s="104"/>
      <c r="AV250" s="105"/>
      <c r="AW250" s="79"/>
      <c r="AX250" s="79"/>
      <c r="AY250" s="79"/>
      <c r="AZ250" s="79"/>
    </row>
    <row r="251" spans="3:52" s="124" customFormat="1" x14ac:dyDescent="0.25">
      <c r="C251" s="127">
        <v>44321</v>
      </c>
      <c r="D251" s="128" t="s">
        <v>29</v>
      </c>
      <c r="E251" s="128" t="s">
        <v>33</v>
      </c>
      <c r="F251" s="124">
        <v>1</v>
      </c>
      <c r="G251" s="124" t="s">
        <v>360</v>
      </c>
      <c r="J251" s="71"/>
      <c r="K251" s="128" t="e">
        <f>VLOOKUP(G251,'BASE PASAJEROS'!A:B,2,FALSE)</f>
        <v>#N/A</v>
      </c>
      <c r="L251" s="128" t="s">
        <v>316</v>
      </c>
      <c r="M251" s="128" t="e">
        <f>VLOOKUP(G251,'BASE PASAJEROS'!A:H,8,FALSE)</f>
        <v>#N/A</v>
      </c>
      <c r="N251" s="79"/>
      <c r="O251" s="79"/>
      <c r="P251" s="128" t="e">
        <f>VLOOKUP(G251,'BASE PASAJEROS'!A:F,6,FALSE)</f>
        <v>#N/A</v>
      </c>
      <c r="Q251" s="128" t="e">
        <f>VLOOKUP(G251,'BASE PASAJEROS'!A:C,3,FALSE)</f>
        <v>#N/A</v>
      </c>
      <c r="R251" s="128" t="e">
        <f>VLOOKUP(G251,'BASE PASAJEROS'!A:G,7,FALSE)</f>
        <v>#N/A</v>
      </c>
      <c r="S251" s="128" t="s">
        <v>305</v>
      </c>
      <c r="T251" s="128" t="s">
        <v>409</v>
      </c>
      <c r="U251" s="130" t="e">
        <f>VLOOKUP(G251,'BASE PASAJEROS'!A:AG,33,FALSE)</f>
        <v>#N/A</v>
      </c>
      <c r="V251" s="130" t="e">
        <f>VLOOKUP(G251,'BASE PASAJEROS'!A:AH,34,FALSE)</f>
        <v>#N/A</v>
      </c>
      <c r="X251" s="155" t="s">
        <v>368</v>
      </c>
      <c r="Y251" s="124" t="s">
        <v>21</v>
      </c>
      <c r="Z251" s="124" t="s">
        <v>328</v>
      </c>
      <c r="AA251" s="128" t="s">
        <v>319</v>
      </c>
      <c r="AB251" s="128" t="e">
        <f>VLOOKUP(AA251,'BASE BANCOS'!$A$2:$D$202,3,FALSE)</f>
        <v>#N/A</v>
      </c>
      <c r="AD251" s="129" t="e">
        <f>VLOOKUP(AC251,'BASE CONDUCTORES'!E:G,3,FALSE)</f>
        <v>#N/A</v>
      </c>
      <c r="AE251" s="155"/>
      <c r="AF251" s="150"/>
      <c r="AG251" s="75"/>
      <c r="AH251" s="150"/>
      <c r="AI251" s="75"/>
      <c r="AJ251" s="79"/>
      <c r="AL251" s="79"/>
      <c r="AM251" s="79"/>
      <c r="AN251" s="79"/>
      <c r="AO251" s="75"/>
      <c r="AP251" s="75"/>
      <c r="AQ251" s="79"/>
      <c r="AR251" s="79"/>
      <c r="AS251" s="79"/>
      <c r="AT251" s="79"/>
      <c r="AU251" s="104"/>
      <c r="AV251" s="105"/>
      <c r="AW251" s="79"/>
      <c r="AX251" s="79"/>
      <c r="AY251" s="79"/>
      <c r="AZ251" s="79"/>
    </row>
    <row r="252" spans="3:52" s="124" customFormat="1" ht="15.75" x14ac:dyDescent="0.25">
      <c r="C252" s="127">
        <v>44321</v>
      </c>
      <c r="D252" s="128" t="s">
        <v>29</v>
      </c>
      <c r="E252" s="128" t="s">
        <v>33</v>
      </c>
      <c r="F252" s="124">
        <v>1</v>
      </c>
      <c r="G252" s="167" t="s">
        <v>361</v>
      </c>
      <c r="J252" s="71"/>
      <c r="K252" s="128" t="e">
        <f>VLOOKUP(G252,'BASE PASAJEROS'!A:B,2,FALSE)</f>
        <v>#N/A</v>
      </c>
      <c r="L252" s="128" t="s">
        <v>316</v>
      </c>
      <c r="M252" s="128" t="e">
        <f>VLOOKUP(G252,'BASE PASAJEROS'!A:H,8,FALSE)</f>
        <v>#N/A</v>
      </c>
      <c r="N252" s="79"/>
      <c r="O252" s="79"/>
      <c r="P252" s="128" t="e">
        <f>VLOOKUP(G252,'BASE PASAJEROS'!A:F,6,FALSE)</f>
        <v>#N/A</v>
      </c>
      <c r="Q252" s="128" t="e">
        <f>VLOOKUP(G252,'BASE PASAJEROS'!A:C,3,FALSE)</f>
        <v>#N/A</v>
      </c>
      <c r="R252" s="128" t="e">
        <f>VLOOKUP(G252,'BASE PASAJEROS'!A:G,7,FALSE)</f>
        <v>#N/A</v>
      </c>
      <c r="S252" s="128" t="s">
        <v>305</v>
      </c>
      <c r="T252" s="128" t="s">
        <v>409</v>
      </c>
      <c r="U252" s="130" t="e">
        <f>VLOOKUP(G252,'BASE PASAJEROS'!A:AG,33,FALSE)</f>
        <v>#N/A</v>
      </c>
      <c r="V252" s="130" t="e">
        <f>VLOOKUP(G252,'BASE PASAJEROS'!A:AH,34,FALSE)</f>
        <v>#N/A</v>
      </c>
      <c r="X252" s="155" t="s">
        <v>368</v>
      </c>
      <c r="Y252" s="124" t="s">
        <v>374</v>
      </c>
      <c r="Z252" s="124" t="s">
        <v>328</v>
      </c>
      <c r="AA252" s="128" t="s">
        <v>317</v>
      </c>
      <c r="AB252" s="128" t="e">
        <f>VLOOKUP(AA252,'BASE BANCOS'!$A$2:$D$202,3,FALSE)</f>
        <v>#N/A</v>
      </c>
      <c r="AC252" s="79" t="s">
        <v>405</v>
      </c>
      <c r="AD252" s="129" t="e">
        <f>VLOOKUP(AC252,'BASE CONDUCTORES'!E:G,3,FALSE)</f>
        <v>#N/A</v>
      </c>
      <c r="AE252" s="155"/>
      <c r="AF252" s="150"/>
      <c r="AG252" s="75"/>
      <c r="AH252" s="150"/>
      <c r="AI252" s="75"/>
      <c r="AJ252" s="79"/>
      <c r="AK252" s="124" t="s">
        <v>416</v>
      </c>
      <c r="AL252" s="79"/>
      <c r="AM252" s="79"/>
      <c r="AN252" s="79"/>
      <c r="AO252" s="75"/>
      <c r="AP252" s="75"/>
      <c r="AQ252" s="79"/>
      <c r="AR252" s="79"/>
      <c r="AS252" s="79"/>
      <c r="AT252" s="79"/>
      <c r="AU252" s="104"/>
      <c r="AV252" s="105"/>
      <c r="AW252" s="79"/>
      <c r="AX252" s="79"/>
      <c r="AY252" s="79"/>
      <c r="AZ252" s="79"/>
    </row>
    <row r="253" spans="3:52" s="124" customFormat="1" ht="15.75" x14ac:dyDescent="0.25">
      <c r="C253" s="127">
        <v>44321</v>
      </c>
      <c r="D253" s="128" t="s">
        <v>29</v>
      </c>
      <c r="E253" s="128" t="s">
        <v>33</v>
      </c>
      <c r="F253" s="124">
        <v>1</v>
      </c>
      <c r="G253" s="169" t="s">
        <v>362</v>
      </c>
      <c r="J253" s="71"/>
      <c r="K253" s="128" t="e">
        <f>VLOOKUP(G253,'BASE PASAJEROS'!A:B,2,FALSE)</f>
        <v>#N/A</v>
      </c>
      <c r="L253" s="128" t="s">
        <v>316</v>
      </c>
      <c r="M253" s="128" t="e">
        <f>VLOOKUP(G253,'BASE PASAJEROS'!A:H,8,FALSE)</f>
        <v>#N/A</v>
      </c>
      <c r="N253" s="79"/>
      <c r="O253" s="79"/>
      <c r="P253" s="128" t="e">
        <f>VLOOKUP(G253,'BASE PASAJEROS'!A:F,6,FALSE)</f>
        <v>#N/A</v>
      </c>
      <c r="Q253" s="128" t="e">
        <f>VLOOKUP(G253,'BASE PASAJEROS'!A:C,3,FALSE)</f>
        <v>#N/A</v>
      </c>
      <c r="R253" s="128" t="e">
        <f>VLOOKUP(G253,'BASE PASAJEROS'!A:G,7,FALSE)</f>
        <v>#N/A</v>
      </c>
      <c r="S253" s="128" t="s">
        <v>305</v>
      </c>
      <c r="T253" s="128" t="s">
        <v>409</v>
      </c>
      <c r="U253" s="130" t="e">
        <f>VLOOKUP(G253,'BASE PASAJEROS'!A:AG,33,FALSE)</f>
        <v>#N/A</v>
      </c>
      <c r="V253" s="130" t="e">
        <f>VLOOKUP(G253,'BASE PASAJEROS'!A:AH,34,FALSE)</f>
        <v>#N/A</v>
      </c>
      <c r="X253" s="155" t="s">
        <v>368</v>
      </c>
      <c r="Y253" s="124" t="s">
        <v>374</v>
      </c>
      <c r="Z253" s="124" t="s">
        <v>328</v>
      </c>
      <c r="AA253" s="128" t="s">
        <v>317</v>
      </c>
      <c r="AB253" s="128" t="e">
        <f>VLOOKUP(AA253,'BASE BANCOS'!$A$2:$D$202,3,FALSE)</f>
        <v>#N/A</v>
      </c>
      <c r="AC253" s="79" t="s">
        <v>405</v>
      </c>
      <c r="AD253" s="129" t="e">
        <f>VLOOKUP(AC253,'BASE CONDUCTORES'!E:G,3,FALSE)</f>
        <v>#N/A</v>
      </c>
      <c r="AE253" s="155"/>
      <c r="AF253" s="150"/>
      <c r="AG253" s="75"/>
      <c r="AH253" s="150"/>
      <c r="AI253" s="75"/>
      <c r="AJ253" s="79"/>
      <c r="AL253" s="79"/>
      <c r="AM253" s="79"/>
      <c r="AN253" s="79"/>
      <c r="AO253" s="75"/>
      <c r="AP253" s="75"/>
      <c r="AQ253" s="79"/>
      <c r="AR253" s="79"/>
      <c r="AS253" s="79"/>
      <c r="AT253" s="79"/>
      <c r="AU253" s="104"/>
      <c r="AV253" s="105"/>
      <c r="AW253" s="79"/>
      <c r="AX253" s="79"/>
      <c r="AY253" s="79"/>
      <c r="AZ253" s="79"/>
    </row>
    <row r="254" spans="3:52" s="124" customFormat="1" x14ac:dyDescent="0.25">
      <c r="C254" s="127">
        <v>44321</v>
      </c>
      <c r="D254" s="128" t="s">
        <v>29</v>
      </c>
      <c r="E254" s="128" t="s">
        <v>33</v>
      </c>
      <c r="F254" s="124">
        <v>1</v>
      </c>
      <c r="G254" s="155" t="s">
        <v>363</v>
      </c>
      <c r="J254" s="71"/>
      <c r="K254" s="128" t="e">
        <f>VLOOKUP(G254,'BASE PASAJEROS'!A:B,2,FALSE)</f>
        <v>#N/A</v>
      </c>
      <c r="L254" s="128" t="s">
        <v>316</v>
      </c>
      <c r="M254" s="128" t="e">
        <f>VLOOKUP(G254,'BASE PASAJEROS'!A:H,8,FALSE)</f>
        <v>#N/A</v>
      </c>
      <c r="N254" s="79"/>
      <c r="O254" s="79"/>
      <c r="P254" s="128" t="e">
        <f>VLOOKUP(G254,'BASE PASAJEROS'!A:F,6,FALSE)</f>
        <v>#N/A</v>
      </c>
      <c r="Q254" s="128" t="e">
        <f>VLOOKUP(G254,'BASE PASAJEROS'!A:C,3,FALSE)</f>
        <v>#N/A</v>
      </c>
      <c r="R254" s="128" t="e">
        <f>VLOOKUP(G254,'BASE PASAJEROS'!A:G,7,FALSE)</f>
        <v>#N/A</v>
      </c>
      <c r="S254" s="128" t="s">
        <v>305</v>
      </c>
      <c r="T254" s="128" t="s">
        <v>409</v>
      </c>
      <c r="U254" s="130" t="e">
        <f>VLOOKUP(G254,'BASE PASAJEROS'!A:AG,33,FALSE)</f>
        <v>#N/A</v>
      </c>
      <c r="V254" s="130" t="e">
        <f>VLOOKUP(G254,'BASE PASAJEROS'!A:AH,34,FALSE)</f>
        <v>#N/A</v>
      </c>
      <c r="X254" s="155" t="s">
        <v>368</v>
      </c>
      <c r="Y254" s="124" t="s">
        <v>374</v>
      </c>
      <c r="Z254" s="124" t="s">
        <v>328</v>
      </c>
      <c r="AA254" s="128" t="s">
        <v>325</v>
      </c>
      <c r="AB254" s="128" t="e">
        <f>VLOOKUP(AA254,'BASE BANCOS'!$A$2:$D$202,3,FALSE)</f>
        <v>#N/A</v>
      </c>
      <c r="AC254" s="128" t="s">
        <v>326</v>
      </c>
      <c r="AD254" s="129" t="e">
        <f>VLOOKUP(AC254,'BASE CONDUCTORES'!E:G,3,FALSE)</f>
        <v>#N/A</v>
      </c>
      <c r="AE254" s="155"/>
      <c r="AF254" s="150"/>
      <c r="AG254" s="75"/>
      <c r="AH254" s="150"/>
      <c r="AI254" s="75"/>
      <c r="AJ254" s="79"/>
      <c r="AL254" s="79"/>
      <c r="AM254" s="79"/>
      <c r="AN254" s="79"/>
      <c r="AO254" s="75"/>
      <c r="AP254" s="75"/>
      <c r="AQ254" s="79"/>
      <c r="AR254" s="79"/>
      <c r="AS254" s="79"/>
      <c r="AT254" s="79"/>
      <c r="AU254" s="104"/>
      <c r="AV254" s="105"/>
      <c r="AW254" s="79"/>
      <c r="AX254" s="79"/>
      <c r="AY254" s="79"/>
      <c r="AZ254" s="79"/>
    </row>
    <row r="255" spans="3:52" s="124" customFormat="1" x14ac:dyDescent="0.25">
      <c r="C255" s="127">
        <v>44322</v>
      </c>
      <c r="D255" s="128" t="s">
        <v>29</v>
      </c>
      <c r="E255" s="128" t="s">
        <v>33</v>
      </c>
      <c r="F255" s="124">
        <v>1</v>
      </c>
      <c r="G255" s="155" t="s">
        <v>375</v>
      </c>
      <c r="J255" s="71"/>
      <c r="K255" s="128" t="e">
        <f>VLOOKUP(G255,'BASE PASAJEROS'!A:B,2,FALSE)</f>
        <v>#N/A</v>
      </c>
      <c r="L255" s="128" t="s">
        <v>316</v>
      </c>
      <c r="M255" s="128" t="e">
        <f>VLOOKUP(G255,'BASE PASAJEROS'!A:H,8,FALSE)</f>
        <v>#N/A</v>
      </c>
      <c r="N255" s="79"/>
      <c r="O255" s="79"/>
      <c r="P255" s="128" t="e">
        <f>VLOOKUP(G255,'BASE PASAJEROS'!A:F,6,FALSE)</f>
        <v>#N/A</v>
      </c>
      <c r="Q255" s="128" t="e">
        <f>VLOOKUP(G255,'BASE PASAJEROS'!A:C,3,FALSE)</f>
        <v>#N/A</v>
      </c>
      <c r="R255" s="128" t="e">
        <f>VLOOKUP(G255,'BASE PASAJEROS'!A:G,7,FALSE)</f>
        <v>#N/A</v>
      </c>
      <c r="S255" s="128" t="s">
        <v>305</v>
      </c>
      <c r="T255" s="128" t="s">
        <v>409</v>
      </c>
      <c r="U255" s="130" t="e">
        <f>VLOOKUP(G255,'BASE PASAJEROS'!A:AG,33,FALSE)</f>
        <v>#N/A</v>
      </c>
      <c r="V255" s="130" t="e">
        <f>VLOOKUP(G255,'BASE PASAJEROS'!A:AH,34,FALSE)</f>
        <v>#N/A</v>
      </c>
      <c r="X255" s="155" t="s">
        <v>368</v>
      </c>
      <c r="Y255" s="124" t="s">
        <v>374</v>
      </c>
      <c r="Z255" s="124" t="s">
        <v>328</v>
      </c>
      <c r="AA255" s="124" t="s">
        <v>414</v>
      </c>
      <c r="AB255" s="128" t="e">
        <f>VLOOKUP(AA255,'BASE BANCOS'!$A$2:$D$202,3,FALSE)</f>
        <v>#N/A</v>
      </c>
      <c r="AC255" s="124" t="s">
        <v>414</v>
      </c>
      <c r="AD255" s="129" t="e">
        <f>VLOOKUP(AC255,'BASE CONDUCTORES'!E:G,3,FALSE)</f>
        <v>#N/A</v>
      </c>
      <c r="AE255" s="155"/>
      <c r="AF255" s="150"/>
      <c r="AG255" s="75"/>
      <c r="AH255" s="150"/>
      <c r="AI255" s="75"/>
      <c r="AJ255" s="79"/>
      <c r="AL255" s="79"/>
      <c r="AM255" s="79"/>
      <c r="AN255" s="79"/>
      <c r="AO255" s="75"/>
      <c r="AP255" s="75"/>
      <c r="AQ255" s="79"/>
      <c r="AR255" s="79"/>
      <c r="AS255" s="79"/>
      <c r="AT255" s="79"/>
      <c r="AU255" s="104"/>
      <c r="AV255" s="105"/>
      <c r="AW255" s="79"/>
      <c r="AX255" s="79"/>
      <c r="AY255" s="79"/>
      <c r="AZ255" s="79"/>
    </row>
    <row r="256" spans="3:52" s="124" customFormat="1" x14ac:dyDescent="0.25">
      <c r="C256" s="127">
        <v>44322</v>
      </c>
      <c r="D256" s="128" t="s">
        <v>29</v>
      </c>
      <c r="E256" s="128" t="s">
        <v>33</v>
      </c>
      <c r="F256" s="124">
        <v>1</v>
      </c>
      <c r="G256" s="155" t="s">
        <v>376</v>
      </c>
      <c r="J256" s="71"/>
      <c r="K256" s="128" t="e">
        <f>VLOOKUP(G256,'BASE PASAJEROS'!A:B,2,FALSE)</f>
        <v>#N/A</v>
      </c>
      <c r="L256" s="128" t="s">
        <v>316</v>
      </c>
      <c r="M256" s="128" t="e">
        <f>VLOOKUP(G256,'BASE PASAJEROS'!A:H,8,FALSE)</f>
        <v>#N/A</v>
      </c>
      <c r="N256" s="79"/>
      <c r="O256" s="79"/>
      <c r="P256" s="128" t="e">
        <f>VLOOKUP(G256,'BASE PASAJEROS'!A:F,6,FALSE)</f>
        <v>#N/A</v>
      </c>
      <c r="Q256" s="128" t="e">
        <f>VLOOKUP(G256,'BASE PASAJEROS'!A:C,3,FALSE)</f>
        <v>#N/A</v>
      </c>
      <c r="R256" s="128" t="e">
        <f>VLOOKUP(G256,'BASE PASAJEROS'!A:G,7,FALSE)</f>
        <v>#N/A</v>
      </c>
      <c r="S256" s="128" t="s">
        <v>305</v>
      </c>
      <c r="T256" s="128" t="s">
        <v>409</v>
      </c>
      <c r="U256" s="130" t="e">
        <f>VLOOKUP(G256,'BASE PASAJEROS'!A:AG,33,FALSE)</f>
        <v>#N/A</v>
      </c>
      <c r="V256" s="130" t="e">
        <f>VLOOKUP(G256,'BASE PASAJEROS'!A:AH,34,FALSE)</f>
        <v>#N/A</v>
      </c>
      <c r="X256" s="155" t="s">
        <v>368</v>
      </c>
      <c r="Y256" s="124" t="s">
        <v>374</v>
      </c>
      <c r="Z256" s="124" t="s">
        <v>328</v>
      </c>
      <c r="AA256" s="128" t="s">
        <v>452</v>
      </c>
      <c r="AB256" s="128" t="e">
        <f>VLOOKUP(AA256,'BASE BANCOS'!$A$2:$D$202,3,FALSE)</f>
        <v>#N/A</v>
      </c>
      <c r="AC256" s="128" t="s">
        <v>453</v>
      </c>
      <c r="AD256" s="129" t="e">
        <f>VLOOKUP(AC256,'BASE CONDUCTORES'!E:G,3,FALSE)</f>
        <v>#N/A</v>
      </c>
      <c r="AE256" s="155"/>
      <c r="AF256" s="150"/>
      <c r="AG256" s="75"/>
      <c r="AH256" s="150"/>
      <c r="AI256" s="75"/>
      <c r="AJ256" s="79"/>
      <c r="AL256" s="79"/>
      <c r="AM256" s="79"/>
      <c r="AN256" s="79"/>
      <c r="AO256" s="75"/>
      <c r="AP256" s="75"/>
      <c r="AQ256" s="79"/>
      <c r="AR256" s="79"/>
      <c r="AS256" s="79"/>
      <c r="AT256" s="79"/>
      <c r="AU256" s="104"/>
      <c r="AV256" s="105"/>
      <c r="AW256" s="79"/>
      <c r="AX256" s="79"/>
      <c r="AY256" s="79"/>
      <c r="AZ256" s="79"/>
    </row>
    <row r="257" spans="3:52" s="124" customFormat="1" x14ac:dyDescent="0.25">
      <c r="C257" s="127">
        <v>44322</v>
      </c>
      <c r="D257" s="128" t="s">
        <v>29</v>
      </c>
      <c r="E257" s="128" t="s">
        <v>33</v>
      </c>
      <c r="F257" s="124">
        <v>1</v>
      </c>
      <c r="G257" s="155" t="s">
        <v>377</v>
      </c>
      <c r="J257" s="71"/>
      <c r="K257" s="128" t="e">
        <f>VLOOKUP(G257,'BASE PASAJEROS'!A:B,2,FALSE)</f>
        <v>#N/A</v>
      </c>
      <c r="L257" s="128" t="s">
        <v>316</v>
      </c>
      <c r="M257" s="128" t="e">
        <f>VLOOKUP(G257,'BASE PASAJEROS'!A:H,8,FALSE)</f>
        <v>#N/A</v>
      </c>
      <c r="N257" s="79"/>
      <c r="O257" s="79"/>
      <c r="P257" s="128" t="e">
        <f>VLOOKUP(G257,'BASE PASAJEROS'!A:F,6,FALSE)</f>
        <v>#N/A</v>
      </c>
      <c r="Q257" s="128" t="e">
        <f>VLOOKUP(G257,'BASE PASAJEROS'!A:C,3,FALSE)</f>
        <v>#N/A</v>
      </c>
      <c r="R257" s="128" t="e">
        <f>VLOOKUP(G257,'BASE PASAJEROS'!A:G,7,FALSE)</f>
        <v>#N/A</v>
      </c>
      <c r="S257" s="128" t="s">
        <v>305</v>
      </c>
      <c r="T257" s="128" t="s">
        <v>409</v>
      </c>
      <c r="U257" s="130" t="e">
        <f>VLOOKUP(G257,'BASE PASAJEROS'!A:AG,33,FALSE)</f>
        <v>#N/A</v>
      </c>
      <c r="V257" s="130" t="e">
        <f>VLOOKUP(G257,'BASE PASAJEROS'!A:AH,34,FALSE)</f>
        <v>#N/A</v>
      </c>
      <c r="X257" s="155" t="s">
        <v>368</v>
      </c>
      <c r="Y257" s="124" t="s">
        <v>374</v>
      </c>
      <c r="Z257" s="124" t="s">
        <v>328</v>
      </c>
      <c r="AA257" s="124" t="s">
        <v>414</v>
      </c>
      <c r="AB257" s="128" t="e">
        <f>VLOOKUP(AA257,'BASE BANCOS'!$A$2:$D$202,3,FALSE)</f>
        <v>#N/A</v>
      </c>
      <c r="AC257" s="124" t="s">
        <v>414</v>
      </c>
      <c r="AD257" s="129" t="e">
        <f>VLOOKUP(AC257,'BASE CONDUCTORES'!E:G,3,FALSE)</f>
        <v>#N/A</v>
      </c>
      <c r="AE257" s="155"/>
      <c r="AF257" s="150"/>
      <c r="AG257" s="75"/>
      <c r="AH257" s="150"/>
      <c r="AI257" s="75"/>
      <c r="AJ257" s="79"/>
      <c r="AL257" s="79"/>
      <c r="AM257" s="79"/>
      <c r="AN257" s="79"/>
      <c r="AO257" s="75"/>
      <c r="AP257" s="75"/>
      <c r="AQ257" s="79"/>
      <c r="AR257" s="79"/>
      <c r="AS257" s="79"/>
      <c r="AT257" s="79"/>
      <c r="AU257" s="104"/>
      <c r="AV257" s="105"/>
      <c r="AW257" s="79"/>
      <c r="AX257" s="79"/>
      <c r="AY257" s="79"/>
      <c r="AZ257" s="79"/>
    </row>
    <row r="258" spans="3:52" s="124" customFormat="1" x14ac:dyDescent="0.25">
      <c r="C258" s="127">
        <v>44322</v>
      </c>
      <c r="D258" s="128" t="s">
        <v>29</v>
      </c>
      <c r="E258" s="128" t="s">
        <v>33</v>
      </c>
      <c r="F258" s="124">
        <v>1</v>
      </c>
      <c r="G258" s="155" t="s">
        <v>363</v>
      </c>
      <c r="J258" s="71"/>
      <c r="K258" s="128" t="e">
        <f>VLOOKUP(G258,'BASE PASAJEROS'!A:B,2,FALSE)</f>
        <v>#N/A</v>
      </c>
      <c r="L258" s="128" t="s">
        <v>316</v>
      </c>
      <c r="M258" s="128" t="e">
        <f>VLOOKUP(G258,'BASE PASAJEROS'!A:H,8,FALSE)</f>
        <v>#N/A</v>
      </c>
      <c r="N258" s="79"/>
      <c r="O258" s="79"/>
      <c r="P258" s="128" t="e">
        <f>VLOOKUP(G258,'BASE PASAJEROS'!A:F,6,FALSE)</f>
        <v>#N/A</v>
      </c>
      <c r="Q258" s="128" t="e">
        <f>VLOOKUP(G258,'BASE PASAJEROS'!A:C,3,FALSE)</f>
        <v>#N/A</v>
      </c>
      <c r="R258" s="128" t="e">
        <f>VLOOKUP(G258,'BASE PASAJEROS'!A:G,7,FALSE)</f>
        <v>#N/A</v>
      </c>
      <c r="S258" s="128" t="s">
        <v>305</v>
      </c>
      <c r="T258" s="128" t="s">
        <v>409</v>
      </c>
      <c r="U258" s="130" t="e">
        <f>VLOOKUP(G258,'BASE PASAJEROS'!A:AG,33,FALSE)</f>
        <v>#N/A</v>
      </c>
      <c r="V258" s="130" t="e">
        <f>VLOOKUP(G258,'BASE PASAJEROS'!A:AH,34,FALSE)</f>
        <v>#N/A</v>
      </c>
      <c r="X258" s="155" t="s">
        <v>368</v>
      </c>
      <c r="Y258" s="124" t="s">
        <v>21</v>
      </c>
      <c r="Z258" s="124" t="s">
        <v>328</v>
      </c>
      <c r="AA258" s="128" t="s">
        <v>319</v>
      </c>
      <c r="AB258" s="128" t="e">
        <f>VLOOKUP(AA258,'BASE BANCOS'!$A$2:$D$202,3,FALSE)</f>
        <v>#N/A</v>
      </c>
      <c r="AD258" s="129" t="e">
        <f>VLOOKUP(AC258,'BASE CONDUCTORES'!E:G,3,FALSE)</f>
        <v>#N/A</v>
      </c>
      <c r="AE258" s="155"/>
      <c r="AF258" s="150"/>
      <c r="AG258" s="75"/>
      <c r="AH258" s="150"/>
      <c r="AI258" s="75"/>
      <c r="AJ258" s="79"/>
      <c r="AK258" s="124" t="s">
        <v>417</v>
      </c>
      <c r="AL258" s="79"/>
      <c r="AM258" s="79"/>
      <c r="AN258" s="79"/>
      <c r="AO258" s="75"/>
      <c r="AP258" s="75"/>
      <c r="AQ258" s="79"/>
      <c r="AR258" s="79"/>
      <c r="AS258" s="79"/>
      <c r="AT258" s="79"/>
      <c r="AU258" s="104"/>
      <c r="AV258" s="105"/>
      <c r="AW258" s="79"/>
      <c r="AX258" s="79"/>
      <c r="AY258" s="79"/>
      <c r="AZ258" s="79"/>
    </row>
    <row r="259" spans="3:52" s="124" customFormat="1" x14ac:dyDescent="0.25">
      <c r="C259" s="127">
        <v>44322</v>
      </c>
      <c r="D259" s="128" t="s">
        <v>29</v>
      </c>
      <c r="E259" s="128" t="s">
        <v>33</v>
      </c>
      <c r="F259" s="124">
        <v>1</v>
      </c>
      <c r="G259" s="155" t="s">
        <v>378</v>
      </c>
      <c r="J259" s="71"/>
      <c r="K259" s="128" t="e">
        <f>VLOOKUP(G259,'BASE PASAJEROS'!A:B,2,FALSE)</f>
        <v>#N/A</v>
      </c>
      <c r="L259" s="128" t="s">
        <v>316</v>
      </c>
      <c r="M259" s="128" t="e">
        <f>VLOOKUP(G259,'BASE PASAJEROS'!A:H,8,FALSE)</f>
        <v>#N/A</v>
      </c>
      <c r="N259" s="79"/>
      <c r="O259" s="79"/>
      <c r="P259" s="128" t="e">
        <f>VLOOKUP(G259,'BASE PASAJEROS'!A:F,6,FALSE)</f>
        <v>#N/A</v>
      </c>
      <c r="Q259" s="128" t="e">
        <f>VLOOKUP(G259,'BASE PASAJEROS'!A:C,3,FALSE)</f>
        <v>#N/A</v>
      </c>
      <c r="R259" s="128" t="e">
        <f>VLOOKUP(G259,'BASE PASAJEROS'!A:G,7,FALSE)</f>
        <v>#N/A</v>
      </c>
      <c r="S259" s="128" t="s">
        <v>305</v>
      </c>
      <c r="T259" s="128" t="s">
        <v>409</v>
      </c>
      <c r="U259" s="130" t="e">
        <f>VLOOKUP(G259,'BASE PASAJEROS'!A:AG,33,FALSE)</f>
        <v>#N/A</v>
      </c>
      <c r="V259" s="130" t="e">
        <f>VLOOKUP(G259,'BASE PASAJEROS'!A:AH,34,FALSE)</f>
        <v>#N/A</v>
      </c>
      <c r="X259" s="155" t="s">
        <v>368</v>
      </c>
      <c r="Y259" s="124" t="s">
        <v>21</v>
      </c>
      <c r="Z259" s="124" t="s">
        <v>328</v>
      </c>
      <c r="AA259" s="128" t="s">
        <v>319</v>
      </c>
      <c r="AB259" s="128" t="e">
        <f>VLOOKUP(AA259,'BASE BANCOS'!$A$2:$D$202,3,FALSE)</f>
        <v>#N/A</v>
      </c>
      <c r="AD259" s="129" t="e">
        <f>VLOOKUP(AC259,'BASE CONDUCTORES'!E:G,3,FALSE)</f>
        <v>#N/A</v>
      </c>
      <c r="AE259" s="155"/>
      <c r="AF259" s="150"/>
      <c r="AG259" s="75"/>
      <c r="AH259" s="150"/>
      <c r="AI259" s="75"/>
      <c r="AJ259" s="79"/>
      <c r="AK259" s="124" t="s">
        <v>418</v>
      </c>
      <c r="AL259" s="79"/>
      <c r="AM259" s="79"/>
      <c r="AN259" s="79"/>
      <c r="AO259" s="75"/>
      <c r="AP259" s="75"/>
      <c r="AQ259" s="79"/>
      <c r="AR259" s="79"/>
      <c r="AS259" s="79"/>
      <c r="AT259" s="79"/>
      <c r="AU259" s="104"/>
      <c r="AV259" s="105"/>
      <c r="AW259" s="79"/>
      <c r="AX259" s="79"/>
      <c r="AY259" s="79"/>
      <c r="AZ259" s="79"/>
    </row>
    <row r="260" spans="3:52" s="124" customFormat="1" x14ac:dyDescent="0.25">
      <c r="C260" s="127">
        <v>44322</v>
      </c>
      <c r="D260" s="128" t="s">
        <v>29</v>
      </c>
      <c r="E260" s="128" t="s">
        <v>33</v>
      </c>
      <c r="F260" s="124">
        <v>1</v>
      </c>
      <c r="G260" s="155" t="s">
        <v>356</v>
      </c>
      <c r="J260" s="71"/>
      <c r="K260" s="128" t="e">
        <f>VLOOKUP(G260,'BASE PASAJEROS'!A:B,2,FALSE)</f>
        <v>#N/A</v>
      </c>
      <c r="L260" s="128" t="s">
        <v>316</v>
      </c>
      <c r="M260" s="128" t="e">
        <f>VLOOKUP(G260,'BASE PASAJEROS'!A:H,8,FALSE)</f>
        <v>#N/A</v>
      </c>
      <c r="N260" s="79"/>
      <c r="O260" s="79"/>
      <c r="P260" s="128" t="e">
        <f>VLOOKUP(G260,'BASE PASAJEROS'!A:F,6,FALSE)</f>
        <v>#N/A</v>
      </c>
      <c r="Q260" s="128" t="e">
        <f>VLOOKUP(G260,'BASE PASAJEROS'!A:C,3,FALSE)</f>
        <v>#N/A</v>
      </c>
      <c r="R260" s="128" t="e">
        <f>VLOOKUP(G260,'BASE PASAJEROS'!A:G,7,FALSE)</f>
        <v>#N/A</v>
      </c>
      <c r="S260" s="128" t="s">
        <v>305</v>
      </c>
      <c r="T260" s="128" t="s">
        <v>409</v>
      </c>
      <c r="U260" s="130" t="e">
        <f>VLOOKUP(G260,'BASE PASAJEROS'!A:AG,33,FALSE)</f>
        <v>#N/A</v>
      </c>
      <c r="V260" s="130" t="e">
        <f>VLOOKUP(G260,'BASE PASAJEROS'!A:AH,34,FALSE)</f>
        <v>#N/A</v>
      </c>
      <c r="X260" s="155" t="s">
        <v>368</v>
      </c>
      <c r="Y260" s="124" t="s">
        <v>374</v>
      </c>
      <c r="Z260" s="124" t="s">
        <v>328</v>
      </c>
      <c r="AA260" s="128" t="s">
        <v>317</v>
      </c>
      <c r="AB260" s="128" t="e">
        <f>VLOOKUP(AA260,'BASE BANCOS'!$A$2:$D$202,3,FALSE)</f>
        <v>#N/A</v>
      </c>
      <c r="AC260" s="79" t="s">
        <v>405</v>
      </c>
      <c r="AD260" s="129" t="e">
        <f>VLOOKUP(AC260,'BASE CONDUCTORES'!E:G,3,FALSE)</f>
        <v>#N/A</v>
      </c>
      <c r="AE260" s="155"/>
      <c r="AF260" s="150"/>
      <c r="AG260" s="75"/>
      <c r="AH260" s="150"/>
      <c r="AI260" s="75"/>
      <c r="AJ260" s="79"/>
      <c r="AL260" s="79"/>
      <c r="AM260" s="79"/>
      <c r="AN260" s="79"/>
      <c r="AO260" s="75"/>
      <c r="AP260" s="75"/>
      <c r="AQ260" s="79"/>
      <c r="AR260" s="79"/>
      <c r="AS260" s="79"/>
      <c r="AT260" s="79"/>
      <c r="AU260" s="104"/>
      <c r="AV260" s="105"/>
      <c r="AW260" s="79"/>
      <c r="AX260" s="79"/>
      <c r="AY260" s="79"/>
      <c r="AZ260" s="79"/>
    </row>
    <row r="261" spans="3:52" s="124" customFormat="1" x14ac:dyDescent="0.25">
      <c r="C261" s="127">
        <v>44322</v>
      </c>
      <c r="D261" s="128" t="s">
        <v>29</v>
      </c>
      <c r="E261" s="128" t="s">
        <v>33</v>
      </c>
      <c r="F261" s="124">
        <v>1</v>
      </c>
      <c r="G261" s="155" t="s">
        <v>379</v>
      </c>
      <c r="J261" s="71"/>
      <c r="K261" s="128" t="e">
        <f>VLOOKUP(G261,'BASE PASAJEROS'!A:B,2,FALSE)</f>
        <v>#N/A</v>
      </c>
      <c r="L261" s="128" t="s">
        <v>316</v>
      </c>
      <c r="M261" s="128" t="e">
        <f>VLOOKUP(G261,'BASE PASAJEROS'!A:H,8,FALSE)</f>
        <v>#N/A</v>
      </c>
      <c r="N261" s="79"/>
      <c r="O261" s="79"/>
      <c r="P261" s="128" t="e">
        <f>VLOOKUP(G261,'BASE PASAJEROS'!A:F,6,FALSE)</f>
        <v>#N/A</v>
      </c>
      <c r="Q261" s="128" t="e">
        <f>VLOOKUP(G261,'BASE PASAJEROS'!A:C,3,FALSE)</f>
        <v>#N/A</v>
      </c>
      <c r="R261" s="128" t="e">
        <f>VLOOKUP(G261,'BASE PASAJEROS'!A:G,7,FALSE)</f>
        <v>#N/A</v>
      </c>
      <c r="S261" s="128" t="s">
        <v>305</v>
      </c>
      <c r="T261" s="128" t="s">
        <v>409</v>
      </c>
      <c r="U261" s="130" t="e">
        <f>VLOOKUP(G261,'BASE PASAJEROS'!A:AG,33,FALSE)</f>
        <v>#N/A</v>
      </c>
      <c r="V261" s="130" t="e">
        <f>VLOOKUP(G261,'BASE PASAJEROS'!A:AH,34,FALSE)</f>
        <v>#N/A</v>
      </c>
      <c r="X261" s="155" t="s">
        <v>368</v>
      </c>
      <c r="Y261" s="124" t="s">
        <v>374</v>
      </c>
      <c r="Z261" s="124" t="s">
        <v>328</v>
      </c>
      <c r="AA261" s="128" t="s">
        <v>317</v>
      </c>
      <c r="AB261" s="128" t="e">
        <f>VLOOKUP(AA261,'BASE BANCOS'!$A$2:$D$202,3,FALSE)</f>
        <v>#N/A</v>
      </c>
      <c r="AC261" s="143" t="s">
        <v>369</v>
      </c>
      <c r="AD261" s="129" t="e">
        <f>VLOOKUP(AC261,'BASE CONDUCTORES'!E:G,3,FALSE)</f>
        <v>#N/A</v>
      </c>
      <c r="AE261" s="155"/>
      <c r="AF261" s="150"/>
      <c r="AG261" s="75"/>
      <c r="AH261" s="150"/>
      <c r="AI261" s="75"/>
      <c r="AJ261" s="79"/>
      <c r="AL261" s="79"/>
      <c r="AM261" s="79"/>
      <c r="AN261" s="79"/>
      <c r="AO261" s="75"/>
      <c r="AP261" s="75"/>
      <c r="AQ261" s="79"/>
      <c r="AR261" s="79"/>
      <c r="AS261" s="79"/>
      <c r="AT261" s="79"/>
      <c r="AU261" s="104"/>
      <c r="AV261" s="105"/>
      <c r="AW261" s="79"/>
      <c r="AX261" s="79"/>
      <c r="AY261" s="79"/>
      <c r="AZ261" s="79"/>
    </row>
    <row r="262" spans="3:52" s="124" customFormat="1" x14ac:dyDescent="0.25">
      <c r="C262" s="127">
        <v>44322</v>
      </c>
      <c r="D262" s="128" t="s">
        <v>29</v>
      </c>
      <c r="E262" s="128" t="s">
        <v>33</v>
      </c>
      <c r="F262" s="124">
        <v>1</v>
      </c>
      <c r="G262" s="155" t="s">
        <v>380</v>
      </c>
      <c r="J262" s="71"/>
      <c r="K262" s="128" t="e">
        <f>VLOOKUP(G262,'BASE PASAJEROS'!A:B,2,FALSE)</f>
        <v>#N/A</v>
      </c>
      <c r="L262" s="128" t="s">
        <v>316</v>
      </c>
      <c r="M262" s="128" t="e">
        <f>VLOOKUP(G262,'BASE PASAJEROS'!A:H,8,FALSE)</f>
        <v>#N/A</v>
      </c>
      <c r="N262" s="79"/>
      <c r="O262" s="79"/>
      <c r="P262" s="128" t="e">
        <f>VLOOKUP(G262,'BASE PASAJEROS'!A:F,6,FALSE)</f>
        <v>#N/A</v>
      </c>
      <c r="Q262" s="128" t="e">
        <f>VLOOKUP(G262,'BASE PASAJEROS'!A:C,3,FALSE)</f>
        <v>#N/A</v>
      </c>
      <c r="R262" s="128" t="e">
        <f>VLOOKUP(G262,'BASE PASAJEROS'!A:G,7,FALSE)</f>
        <v>#N/A</v>
      </c>
      <c r="S262" s="128" t="s">
        <v>305</v>
      </c>
      <c r="T262" s="128" t="s">
        <v>409</v>
      </c>
      <c r="U262" s="130" t="e">
        <f>VLOOKUP(G262,'BASE PASAJEROS'!A:AG,33,FALSE)</f>
        <v>#N/A</v>
      </c>
      <c r="V262" s="130" t="e">
        <f>VLOOKUP(G262,'BASE PASAJEROS'!A:AH,34,FALSE)</f>
        <v>#N/A</v>
      </c>
      <c r="X262" s="155" t="s">
        <v>368</v>
      </c>
      <c r="Y262" s="124" t="s">
        <v>374</v>
      </c>
      <c r="Z262" s="124" t="s">
        <v>328</v>
      </c>
      <c r="AA262" s="128" t="s">
        <v>317</v>
      </c>
      <c r="AB262" s="128" t="e">
        <f>VLOOKUP(AA262,'BASE BANCOS'!$A$2:$D$202,3,FALSE)</f>
        <v>#N/A</v>
      </c>
      <c r="AC262" s="79" t="s">
        <v>405</v>
      </c>
      <c r="AD262" s="129" t="e">
        <f>VLOOKUP(AC262,'BASE CONDUCTORES'!E:G,3,FALSE)</f>
        <v>#N/A</v>
      </c>
      <c r="AE262" s="155"/>
      <c r="AF262" s="150"/>
      <c r="AG262" s="75"/>
      <c r="AH262" s="150"/>
      <c r="AI262" s="75"/>
      <c r="AJ262" s="79"/>
      <c r="AL262" s="79"/>
      <c r="AM262" s="79"/>
      <c r="AN262" s="79"/>
      <c r="AO262" s="75"/>
      <c r="AP262" s="75"/>
      <c r="AQ262" s="79"/>
      <c r="AR262" s="79"/>
      <c r="AS262" s="79"/>
      <c r="AT262" s="79"/>
      <c r="AU262" s="104"/>
      <c r="AV262" s="105"/>
      <c r="AW262" s="79"/>
      <c r="AX262" s="79"/>
      <c r="AY262" s="79"/>
      <c r="AZ262" s="79"/>
    </row>
    <row r="263" spans="3:52" s="124" customFormat="1" x14ac:dyDescent="0.25">
      <c r="C263" s="127">
        <v>44322</v>
      </c>
      <c r="D263" s="128" t="s">
        <v>29</v>
      </c>
      <c r="E263" s="128" t="s">
        <v>33</v>
      </c>
      <c r="F263" s="124">
        <v>1</v>
      </c>
      <c r="G263" s="155" t="s">
        <v>381</v>
      </c>
      <c r="J263" s="71"/>
      <c r="K263" s="128" t="e">
        <f>VLOOKUP(G263,'BASE PASAJEROS'!A:B,2,FALSE)</f>
        <v>#N/A</v>
      </c>
      <c r="L263" s="128" t="s">
        <v>316</v>
      </c>
      <c r="M263" s="128" t="e">
        <f>VLOOKUP(G263,'BASE PASAJEROS'!A:H,8,FALSE)</f>
        <v>#N/A</v>
      </c>
      <c r="N263" s="79"/>
      <c r="O263" s="79"/>
      <c r="P263" s="128" t="e">
        <f>VLOOKUP(G263,'BASE PASAJEROS'!A:F,6,FALSE)</f>
        <v>#N/A</v>
      </c>
      <c r="Q263" s="128" t="e">
        <f>VLOOKUP(G263,'BASE PASAJEROS'!A:C,3,FALSE)</f>
        <v>#N/A</v>
      </c>
      <c r="R263" s="128" t="e">
        <f>VLOOKUP(G263,'BASE PASAJEROS'!A:G,7,FALSE)</f>
        <v>#N/A</v>
      </c>
      <c r="S263" s="128" t="s">
        <v>305</v>
      </c>
      <c r="T263" s="128" t="s">
        <v>409</v>
      </c>
      <c r="U263" s="130" t="e">
        <f>VLOOKUP(G263,'BASE PASAJEROS'!A:AG,33,FALSE)</f>
        <v>#N/A</v>
      </c>
      <c r="V263" s="130" t="e">
        <f>VLOOKUP(G263,'BASE PASAJEROS'!A:AH,34,FALSE)</f>
        <v>#N/A</v>
      </c>
      <c r="X263" s="155" t="s">
        <v>368</v>
      </c>
      <c r="Y263" s="124" t="s">
        <v>374</v>
      </c>
      <c r="Z263" s="124" t="s">
        <v>328</v>
      </c>
      <c r="AA263" s="128" t="s">
        <v>317</v>
      </c>
      <c r="AB263" s="128" t="e">
        <f>VLOOKUP(AA263,'BASE BANCOS'!$A$2:$D$202,3,FALSE)</f>
        <v>#N/A</v>
      </c>
      <c r="AC263" s="128" t="s">
        <v>318</v>
      </c>
      <c r="AD263" s="129" t="e">
        <f>VLOOKUP(AC263,'BASE CONDUCTORES'!E:G,3,FALSE)</f>
        <v>#N/A</v>
      </c>
      <c r="AE263" s="155"/>
      <c r="AF263" s="150"/>
      <c r="AG263" s="75"/>
      <c r="AH263" s="150"/>
      <c r="AI263" s="75"/>
      <c r="AJ263" s="79"/>
      <c r="AL263" s="79"/>
      <c r="AM263" s="79"/>
      <c r="AN263" s="79"/>
      <c r="AO263" s="75"/>
      <c r="AP263" s="75"/>
      <c r="AQ263" s="79"/>
      <c r="AR263" s="79"/>
      <c r="AS263" s="79"/>
      <c r="AT263" s="79"/>
      <c r="AU263" s="104"/>
      <c r="AV263" s="105"/>
      <c r="AW263" s="79"/>
      <c r="AX263" s="79"/>
      <c r="AY263" s="79"/>
      <c r="AZ263" s="79"/>
    </row>
    <row r="264" spans="3:52" s="124" customFormat="1" x14ac:dyDescent="0.25">
      <c r="C264" s="127">
        <v>44322</v>
      </c>
      <c r="D264" s="128" t="s">
        <v>29</v>
      </c>
      <c r="E264" s="128" t="s">
        <v>33</v>
      </c>
      <c r="F264" s="124">
        <v>1</v>
      </c>
      <c r="G264" s="155" t="s">
        <v>382</v>
      </c>
      <c r="J264" s="71"/>
      <c r="K264" s="128" t="e">
        <f>VLOOKUP(G264,'BASE PASAJEROS'!A:B,2,FALSE)</f>
        <v>#N/A</v>
      </c>
      <c r="L264" s="128" t="s">
        <v>316</v>
      </c>
      <c r="M264" s="128" t="e">
        <f>VLOOKUP(G264,'BASE PASAJEROS'!A:H,8,FALSE)</f>
        <v>#N/A</v>
      </c>
      <c r="N264" s="79"/>
      <c r="O264" s="79"/>
      <c r="P264" s="128" t="e">
        <f>VLOOKUP(G264,'BASE PASAJEROS'!A:F,6,FALSE)</f>
        <v>#N/A</v>
      </c>
      <c r="Q264" s="128" t="e">
        <f>VLOOKUP(G264,'BASE PASAJEROS'!A:C,3,FALSE)</f>
        <v>#N/A</v>
      </c>
      <c r="R264" s="128" t="e">
        <f>VLOOKUP(G264,'BASE PASAJEROS'!A:G,7,FALSE)</f>
        <v>#N/A</v>
      </c>
      <c r="S264" s="128" t="s">
        <v>305</v>
      </c>
      <c r="T264" s="128" t="s">
        <v>409</v>
      </c>
      <c r="U264" s="130" t="e">
        <f>VLOOKUP(G264,'BASE PASAJEROS'!A:AG,33,FALSE)</f>
        <v>#N/A</v>
      </c>
      <c r="V264" s="130" t="e">
        <f>VLOOKUP(G264,'BASE PASAJEROS'!A:AH,34,FALSE)</f>
        <v>#N/A</v>
      </c>
      <c r="X264" s="155" t="s">
        <v>368</v>
      </c>
      <c r="Y264" s="124" t="s">
        <v>374</v>
      </c>
      <c r="Z264" s="124" t="s">
        <v>328</v>
      </c>
      <c r="AA264" s="128" t="s">
        <v>317</v>
      </c>
      <c r="AB264" s="128" t="e">
        <f>VLOOKUP(AA264,'BASE BANCOS'!$A$2:$D$202,3,FALSE)</f>
        <v>#N/A</v>
      </c>
      <c r="AC264" s="128" t="s">
        <v>318</v>
      </c>
      <c r="AD264" s="129" t="e">
        <f>VLOOKUP(AC264,'BASE CONDUCTORES'!E:G,3,FALSE)</f>
        <v>#N/A</v>
      </c>
      <c r="AE264" s="155"/>
      <c r="AF264" s="150"/>
      <c r="AG264" s="75"/>
      <c r="AH264" s="150"/>
      <c r="AI264" s="75"/>
      <c r="AJ264" s="79"/>
      <c r="AL264" s="79"/>
      <c r="AM264" s="79"/>
      <c r="AN264" s="79"/>
      <c r="AO264" s="75"/>
      <c r="AP264" s="75"/>
      <c r="AQ264" s="79"/>
      <c r="AR264" s="79"/>
      <c r="AS264" s="79"/>
      <c r="AT264" s="79"/>
      <c r="AU264" s="104"/>
      <c r="AV264" s="105"/>
      <c r="AW264" s="79"/>
      <c r="AX264" s="79"/>
      <c r="AY264" s="79"/>
      <c r="AZ264" s="79"/>
    </row>
    <row r="265" spans="3:52" s="124" customFormat="1" x14ac:dyDescent="0.25">
      <c r="C265" s="127">
        <v>44322</v>
      </c>
      <c r="D265" s="128" t="s">
        <v>29</v>
      </c>
      <c r="E265" s="128" t="s">
        <v>33</v>
      </c>
      <c r="F265" s="124">
        <v>1</v>
      </c>
      <c r="G265" s="155" t="s">
        <v>383</v>
      </c>
      <c r="J265" s="71"/>
      <c r="K265" s="128" t="e">
        <f>VLOOKUP(G265,'BASE PASAJEROS'!A:B,2,FALSE)</f>
        <v>#N/A</v>
      </c>
      <c r="L265" s="128" t="s">
        <v>316</v>
      </c>
      <c r="M265" s="128" t="e">
        <f>VLOOKUP(G265,'BASE PASAJEROS'!A:H,8,FALSE)</f>
        <v>#N/A</v>
      </c>
      <c r="N265" s="79"/>
      <c r="O265" s="79"/>
      <c r="P265" s="128" t="e">
        <f>VLOOKUP(G265,'BASE PASAJEROS'!A:F,6,FALSE)</f>
        <v>#N/A</v>
      </c>
      <c r="Q265" s="128" t="e">
        <f>VLOOKUP(G265,'BASE PASAJEROS'!A:C,3,FALSE)</f>
        <v>#N/A</v>
      </c>
      <c r="R265" s="128" t="e">
        <f>VLOOKUP(G265,'BASE PASAJEROS'!A:G,7,FALSE)</f>
        <v>#N/A</v>
      </c>
      <c r="S265" s="128" t="s">
        <v>305</v>
      </c>
      <c r="T265" s="128" t="s">
        <v>409</v>
      </c>
      <c r="U265" s="130" t="e">
        <f>VLOOKUP(G265,'BASE PASAJEROS'!A:AG,33,FALSE)</f>
        <v>#N/A</v>
      </c>
      <c r="V265" s="130" t="e">
        <f>VLOOKUP(G265,'BASE PASAJEROS'!A:AH,34,FALSE)</f>
        <v>#N/A</v>
      </c>
      <c r="X265" s="155" t="s">
        <v>368</v>
      </c>
      <c r="Y265" s="124" t="s">
        <v>374</v>
      </c>
      <c r="Z265" s="124" t="s">
        <v>328</v>
      </c>
      <c r="AA265" s="128" t="s">
        <v>317</v>
      </c>
      <c r="AB265" s="128" t="e">
        <f>VLOOKUP(AA265,'BASE BANCOS'!$A$2:$D$202,3,FALSE)</f>
        <v>#N/A</v>
      </c>
      <c r="AC265" s="79" t="s">
        <v>405</v>
      </c>
      <c r="AD265" s="129" t="e">
        <f>VLOOKUP(AC265,'BASE CONDUCTORES'!E:G,3,FALSE)</f>
        <v>#N/A</v>
      </c>
      <c r="AE265" s="155"/>
      <c r="AF265" s="150"/>
      <c r="AG265" s="75"/>
      <c r="AH265" s="150"/>
      <c r="AI265" s="75"/>
      <c r="AJ265" s="79"/>
      <c r="AL265" s="79"/>
      <c r="AM265" s="79"/>
      <c r="AN265" s="79"/>
      <c r="AO265" s="75"/>
      <c r="AP265" s="75"/>
      <c r="AQ265" s="79"/>
      <c r="AR265" s="79"/>
      <c r="AS265" s="79"/>
      <c r="AT265" s="79"/>
      <c r="AU265" s="104"/>
      <c r="AV265" s="105"/>
      <c r="AW265" s="79"/>
      <c r="AX265" s="79"/>
      <c r="AY265" s="79"/>
      <c r="AZ265" s="79"/>
    </row>
    <row r="266" spans="3:52" s="124" customFormat="1" x14ac:dyDescent="0.25">
      <c r="C266" s="127">
        <v>44322</v>
      </c>
      <c r="D266" s="128" t="s">
        <v>29</v>
      </c>
      <c r="E266" s="128" t="s">
        <v>33</v>
      </c>
      <c r="F266" s="124">
        <v>1</v>
      </c>
      <c r="G266" s="155" t="s">
        <v>384</v>
      </c>
      <c r="J266" s="71"/>
      <c r="K266" s="128" t="e">
        <f>VLOOKUP(G266,'BASE PASAJEROS'!A:B,2,FALSE)</f>
        <v>#N/A</v>
      </c>
      <c r="L266" s="128" t="s">
        <v>316</v>
      </c>
      <c r="M266" s="128" t="e">
        <f>VLOOKUP(G266,'BASE PASAJEROS'!A:H,8,FALSE)</f>
        <v>#N/A</v>
      </c>
      <c r="N266" s="79"/>
      <c r="O266" s="79"/>
      <c r="P266" s="128" t="e">
        <f>VLOOKUP(G266,'BASE PASAJEROS'!A:F,6,FALSE)</f>
        <v>#N/A</v>
      </c>
      <c r="Q266" s="128" t="e">
        <f>VLOOKUP(G266,'BASE PASAJEROS'!A:C,3,FALSE)</f>
        <v>#N/A</v>
      </c>
      <c r="R266" s="128" t="e">
        <f>VLOOKUP(G266,'BASE PASAJEROS'!A:G,7,FALSE)</f>
        <v>#N/A</v>
      </c>
      <c r="S266" s="128" t="s">
        <v>305</v>
      </c>
      <c r="T266" s="128" t="s">
        <v>409</v>
      </c>
      <c r="U266" s="130" t="e">
        <f>VLOOKUP(G266,'BASE PASAJEROS'!A:AG,33,FALSE)</f>
        <v>#N/A</v>
      </c>
      <c r="V266" s="130" t="e">
        <f>VLOOKUP(G266,'BASE PASAJEROS'!A:AH,34,FALSE)</f>
        <v>#N/A</v>
      </c>
      <c r="X266" s="155" t="s">
        <v>368</v>
      </c>
      <c r="Y266" s="124" t="s">
        <v>374</v>
      </c>
      <c r="Z266" s="124" t="s">
        <v>328</v>
      </c>
      <c r="AA266" s="128" t="s">
        <v>317</v>
      </c>
      <c r="AB266" s="128" t="e">
        <f>VLOOKUP(AA266,'BASE BANCOS'!$A$2:$D$202,3,FALSE)</f>
        <v>#N/A</v>
      </c>
      <c r="AC266" s="79" t="s">
        <v>405</v>
      </c>
      <c r="AD266" s="129" t="e">
        <f>VLOOKUP(AC266,'BASE CONDUCTORES'!E:G,3,FALSE)</f>
        <v>#N/A</v>
      </c>
      <c r="AE266" s="155"/>
      <c r="AF266" s="150"/>
      <c r="AG266" s="75"/>
      <c r="AH266" s="150"/>
      <c r="AI266" s="75"/>
      <c r="AJ266" s="79"/>
      <c r="AL266" s="79"/>
      <c r="AM266" s="79"/>
      <c r="AN266" s="79"/>
      <c r="AO266" s="75"/>
      <c r="AP266" s="75"/>
      <c r="AQ266" s="79"/>
      <c r="AR266" s="79"/>
      <c r="AS266" s="79"/>
      <c r="AT266" s="79"/>
      <c r="AU266" s="104"/>
      <c r="AV266" s="105"/>
      <c r="AW266" s="79"/>
      <c r="AX266" s="79"/>
      <c r="AY266" s="79"/>
      <c r="AZ266" s="79"/>
    </row>
    <row r="267" spans="3:52" s="124" customFormat="1" x14ac:dyDescent="0.25">
      <c r="C267" s="127">
        <v>44322</v>
      </c>
      <c r="D267" s="128" t="s">
        <v>29</v>
      </c>
      <c r="E267" s="128" t="s">
        <v>33</v>
      </c>
      <c r="F267" s="124">
        <v>1</v>
      </c>
      <c r="G267" s="155" t="s">
        <v>385</v>
      </c>
      <c r="J267" s="71"/>
      <c r="K267" s="128" t="e">
        <f>VLOOKUP(G267,'BASE PASAJEROS'!A:B,2,FALSE)</f>
        <v>#N/A</v>
      </c>
      <c r="L267" s="128" t="s">
        <v>316</v>
      </c>
      <c r="M267" s="128" t="e">
        <f>VLOOKUP(G267,'BASE PASAJEROS'!A:H,8,FALSE)</f>
        <v>#N/A</v>
      </c>
      <c r="N267" s="79"/>
      <c r="O267" s="79"/>
      <c r="P267" s="128" t="e">
        <f>VLOOKUP(G267,'BASE PASAJEROS'!A:F,6,FALSE)</f>
        <v>#N/A</v>
      </c>
      <c r="Q267" s="128" t="e">
        <f>VLOOKUP(G267,'BASE PASAJEROS'!A:C,3,FALSE)</f>
        <v>#N/A</v>
      </c>
      <c r="R267" s="128" t="e">
        <f>VLOOKUP(G267,'BASE PASAJEROS'!A:G,7,FALSE)</f>
        <v>#N/A</v>
      </c>
      <c r="S267" s="128" t="s">
        <v>305</v>
      </c>
      <c r="T267" s="128" t="s">
        <v>409</v>
      </c>
      <c r="U267" s="130" t="e">
        <f>VLOOKUP(G267,'BASE PASAJEROS'!A:AG,33,FALSE)</f>
        <v>#N/A</v>
      </c>
      <c r="V267" s="130" t="e">
        <f>VLOOKUP(G267,'BASE PASAJEROS'!A:AH,34,FALSE)</f>
        <v>#N/A</v>
      </c>
      <c r="X267" s="155" t="s">
        <v>368</v>
      </c>
      <c r="Y267" s="124" t="s">
        <v>374</v>
      </c>
      <c r="Z267" s="124" t="s">
        <v>328</v>
      </c>
      <c r="AA267" s="128" t="s">
        <v>317</v>
      </c>
      <c r="AB267" s="128" t="e">
        <f>VLOOKUP(AA267,'BASE BANCOS'!$A$2:$D$202,3,FALSE)</f>
        <v>#N/A</v>
      </c>
      <c r="AC267" s="143" t="s">
        <v>369</v>
      </c>
      <c r="AD267" s="129" t="e">
        <f>VLOOKUP(AC267,'BASE CONDUCTORES'!E:G,3,FALSE)</f>
        <v>#N/A</v>
      </c>
      <c r="AE267" s="155"/>
      <c r="AF267" s="150"/>
      <c r="AG267" s="75"/>
      <c r="AH267" s="150"/>
      <c r="AI267" s="75"/>
      <c r="AJ267" s="79"/>
      <c r="AL267" s="79"/>
      <c r="AM267" s="79"/>
      <c r="AN267" s="79"/>
      <c r="AO267" s="75"/>
      <c r="AP267" s="75"/>
      <c r="AQ267" s="79"/>
      <c r="AR267" s="79"/>
      <c r="AS267" s="79"/>
      <c r="AT267" s="79"/>
      <c r="AU267" s="104"/>
      <c r="AV267" s="105"/>
      <c r="AW267" s="79"/>
      <c r="AX267" s="79"/>
      <c r="AY267" s="79"/>
      <c r="AZ267" s="79"/>
    </row>
    <row r="268" spans="3:52" s="124" customFormat="1" x14ac:dyDescent="0.25">
      <c r="C268" s="127">
        <v>44322</v>
      </c>
      <c r="D268" s="128" t="s">
        <v>29</v>
      </c>
      <c r="E268" s="128" t="s">
        <v>33</v>
      </c>
      <c r="F268" s="124">
        <v>1</v>
      </c>
      <c r="G268" s="155" t="s">
        <v>386</v>
      </c>
      <c r="J268" s="71"/>
      <c r="K268" s="128" t="e">
        <f>VLOOKUP(G268,'BASE PASAJEROS'!A:B,2,FALSE)</f>
        <v>#N/A</v>
      </c>
      <c r="L268" s="128" t="s">
        <v>316</v>
      </c>
      <c r="M268" s="128" t="e">
        <f>VLOOKUP(G268,'BASE PASAJEROS'!A:H,8,FALSE)</f>
        <v>#N/A</v>
      </c>
      <c r="N268" s="79"/>
      <c r="O268" s="79"/>
      <c r="P268" s="128" t="e">
        <f>VLOOKUP(G268,'BASE PASAJEROS'!A:F,6,FALSE)</f>
        <v>#N/A</v>
      </c>
      <c r="Q268" s="128" t="e">
        <f>VLOOKUP(G268,'BASE PASAJEROS'!A:C,3,FALSE)</f>
        <v>#N/A</v>
      </c>
      <c r="R268" s="128" t="e">
        <f>VLOOKUP(G268,'BASE PASAJEROS'!A:G,7,FALSE)</f>
        <v>#N/A</v>
      </c>
      <c r="S268" s="128" t="s">
        <v>305</v>
      </c>
      <c r="T268" s="128" t="s">
        <v>409</v>
      </c>
      <c r="U268" s="130" t="e">
        <f>VLOOKUP(G268,'BASE PASAJEROS'!A:AG,33,FALSE)</f>
        <v>#N/A</v>
      </c>
      <c r="V268" s="130" t="e">
        <f>VLOOKUP(G268,'BASE PASAJEROS'!A:AH,34,FALSE)</f>
        <v>#N/A</v>
      </c>
      <c r="X268" s="155" t="s">
        <v>368</v>
      </c>
      <c r="Y268" s="124" t="s">
        <v>374</v>
      </c>
      <c r="Z268" s="124" t="s">
        <v>328</v>
      </c>
      <c r="AA268" s="128" t="s">
        <v>317</v>
      </c>
      <c r="AB268" s="128" t="e">
        <f>VLOOKUP(AA268,'BASE BANCOS'!$A$2:$D$202,3,FALSE)</f>
        <v>#N/A</v>
      </c>
      <c r="AC268" s="79" t="s">
        <v>405</v>
      </c>
      <c r="AD268" s="129" t="e">
        <f>VLOOKUP(AC268,'BASE CONDUCTORES'!E:G,3,FALSE)</f>
        <v>#N/A</v>
      </c>
      <c r="AE268" s="155"/>
      <c r="AF268" s="150"/>
      <c r="AG268" s="75"/>
      <c r="AH268" s="150"/>
      <c r="AI268" s="75"/>
      <c r="AJ268" s="79"/>
      <c r="AL268" s="79"/>
      <c r="AM268" s="79"/>
      <c r="AN268" s="79"/>
      <c r="AO268" s="75"/>
      <c r="AP268" s="75"/>
      <c r="AQ268" s="79"/>
      <c r="AR268" s="79"/>
      <c r="AS268" s="79"/>
      <c r="AT268" s="79"/>
      <c r="AU268" s="104"/>
      <c r="AV268" s="105"/>
      <c r="AW268" s="79"/>
      <c r="AX268" s="79"/>
      <c r="AY268" s="79"/>
      <c r="AZ268" s="79"/>
    </row>
    <row r="269" spans="3:52" s="124" customFormat="1" x14ac:dyDescent="0.25">
      <c r="C269" s="127">
        <v>44322</v>
      </c>
      <c r="D269" s="128" t="s">
        <v>29</v>
      </c>
      <c r="E269" s="128" t="s">
        <v>33</v>
      </c>
      <c r="F269" s="124">
        <v>1</v>
      </c>
      <c r="G269" s="155" t="s">
        <v>387</v>
      </c>
      <c r="J269" s="71"/>
      <c r="K269" s="128" t="e">
        <f>VLOOKUP(G269,'BASE PASAJEROS'!A:B,2,FALSE)</f>
        <v>#N/A</v>
      </c>
      <c r="L269" s="128" t="s">
        <v>316</v>
      </c>
      <c r="M269" s="128" t="e">
        <f>VLOOKUP(G269,'BASE PASAJEROS'!A:H,8,FALSE)</f>
        <v>#N/A</v>
      </c>
      <c r="N269" s="79"/>
      <c r="O269" s="79"/>
      <c r="P269" s="128" t="e">
        <f>VLOOKUP(G269,'BASE PASAJEROS'!A:F,6,FALSE)</f>
        <v>#N/A</v>
      </c>
      <c r="Q269" s="128" t="e">
        <f>VLOOKUP(G269,'BASE PASAJEROS'!A:C,3,FALSE)</f>
        <v>#N/A</v>
      </c>
      <c r="R269" s="128" t="e">
        <f>VLOOKUP(G269,'BASE PASAJEROS'!A:G,7,FALSE)</f>
        <v>#N/A</v>
      </c>
      <c r="S269" s="128" t="s">
        <v>305</v>
      </c>
      <c r="T269" s="128" t="s">
        <v>409</v>
      </c>
      <c r="U269" s="130" t="e">
        <f>VLOOKUP(G269,'BASE PASAJEROS'!A:AG,33,FALSE)</f>
        <v>#N/A</v>
      </c>
      <c r="V269" s="130" t="e">
        <f>VLOOKUP(G269,'BASE PASAJEROS'!A:AH,34,FALSE)</f>
        <v>#N/A</v>
      </c>
      <c r="X269" s="155" t="s">
        <v>368</v>
      </c>
      <c r="Y269" s="124" t="s">
        <v>374</v>
      </c>
      <c r="Z269" s="124" t="s">
        <v>328</v>
      </c>
      <c r="AA269" s="128" t="s">
        <v>317</v>
      </c>
      <c r="AB269" s="128" t="e">
        <f>VLOOKUP(AA269,'BASE BANCOS'!$A$2:$D$202,3,FALSE)</f>
        <v>#N/A</v>
      </c>
      <c r="AC269" s="143" t="s">
        <v>369</v>
      </c>
      <c r="AD269" s="129" t="e">
        <f>VLOOKUP(AC269,'BASE CONDUCTORES'!E:G,3,FALSE)</f>
        <v>#N/A</v>
      </c>
      <c r="AE269" s="155"/>
      <c r="AF269" s="150"/>
      <c r="AG269" s="75"/>
      <c r="AH269" s="150"/>
      <c r="AI269" s="75"/>
      <c r="AJ269" s="79"/>
      <c r="AL269" s="79"/>
      <c r="AM269" s="79"/>
      <c r="AN269" s="79"/>
      <c r="AO269" s="75"/>
      <c r="AP269" s="75"/>
      <c r="AQ269" s="79"/>
      <c r="AR269" s="79"/>
      <c r="AS269" s="79"/>
      <c r="AT269" s="79"/>
      <c r="AU269" s="104"/>
      <c r="AV269" s="105"/>
      <c r="AW269" s="79"/>
      <c r="AX269" s="79"/>
      <c r="AY269" s="79"/>
      <c r="AZ269" s="79"/>
    </row>
    <row r="270" spans="3:52" s="124" customFormat="1" x14ac:dyDescent="0.25">
      <c r="C270" s="127">
        <v>44322</v>
      </c>
      <c r="D270" s="128" t="s">
        <v>29</v>
      </c>
      <c r="E270" s="128" t="s">
        <v>33</v>
      </c>
      <c r="F270" s="124">
        <v>1</v>
      </c>
      <c r="G270" s="155" t="s">
        <v>388</v>
      </c>
      <c r="J270" s="71"/>
      <c r="K270" s="128" t="e">
        <f>VLOOKUP(G270,'BASE PASAJEROS'!A:B,2,FALSE)</f>
        <v>#N/A</v>
      </c>
      <c r="L270" s="128" t="s">
        <v>316</v>
      </c>
      <c r="M270" s="128" t="e">
        <f>VLOOKUP(G270,'BASE PASAJEROS'!A:H,8,FALSE)</f>
        <v>#N/A</v>
      </c>
      <c r="N270" s="79"/>
      <c r="O270" s="79"/>
      <c r="P270" s="128" t="e">
        <f>VLOOKUP(G270,'BASE PASAJEROS'!A:F,6,FALSE)</f>
        <v>#N/A</v>
      </c>
      <c r="Q270" s="128" t="e">
        <f>VLOOKUP(G270,'BASE PASAJEROS'!A:C,3,FALSE)</f>
        <v>#N/A</v>
      </c>
      <c r="R270" s="128" t="e">
        <f>VLOOKUP(G270,'BASE PASAJEROS'!A:G,7,FALSE)</f>
        <v>#N/A</v>
      </c>
      <c r="S270" s="128" t="s">
        <v>305</v>
      </c>
      <c r="T270" s="128" t="s">
        <v>409</v>
      </c>
      <c r="U270" s="130" t="e">
        <f>VLOOKUP(G270,'BASE PASAJEROS'!A:AG,33,FALSE)</f>
        <v>#N/A</v>
      </c>
      <c r="V270" s="130" t="e">
        <f>VLOOKUP(G270,'BASE PASAJEROS'!A:AH,34,FALSE)</f>
        <v>#N/A</v>
      </c>
      <c r="X270" s="155" t="s">
        <v>368</v>
      </c>
      <c r="Y270" s="124" t="s">
        <v>374</v>
      </c>
      <c r="Z270" s="124" t="s">
        <v>328</v>
      </c>
      <c r="AA270" s="128" t="s">
        <v>317</v>
      </c>
      <c r="AB270" s="128" t="e">
        <f>VLOOKUP(AA270,'BASE BANCOS'!$A$2:$D$202,3,FALSE)</f>
        <v>#N/A</v>
      </c>
      <c r="AC270" s="79" t="s">
        <v>405</v>
      </c>
      <c r="AD270" s="129" t="e">
        <f>VLOOKUP(AC270,'BASE CONDUCTORES'!E:G,3,FALSE)</f>
        <v>#N/A</v>
      </c>
      <c r="AE270" s="155"/>
      <c r="AF270" s="150"/>
      <c r="AG270" s="75"/>
      <c r="AH270" s="150"/>
      <c r="AI270" s="75"/>
      <c r="AJ270" s="79"/>
      <c r="AL270" s="79"/>
      <c r="AM270" s="79"/>
      <c r="AN270" s="79"/>
      <c r="AO270" s="75"/>
      <c r="AP270" s="75"/>
      <c r="AQ270" s="79"/>
      <c r="AR270" s="79"/>
      <c r="AS270" s="79"/>
      <c r="AT270" s="79"/>
      <c r="AU270" s="104"/>
      <c r="AV270" s="105"/>
      <c r="AW270" s="79"/>
      <c r="AX270" s="79"/>
      <c r="AY270" s="79"/>
      <c r="AZ270" s="79"/>
    </row>
    <row r="271" spans="3:52" s="124" customFormat="1" x14ac:dyDescent="0.25">
      <c r="C271" s="127">
        <v>44322</v>
      </c>
      <c r="D271" s="128" t="s">
        <v>29</v>
      </c>
      <c r="E271" s="128" t="s">
        <v>33</v>
      </c>
      <c r="F271" s="124">
        <v>1</v>
      </c>
      <c r="G271" s="155" t="s">
        <v>389</v>
      </c>
      <c r="J271" s="71"/>
      <c r="K271" s="128" t="e">
        <f>VLOOKUP(G271,'BASE PASAJEROS'!A:B,2,FALSE)</f>
        <v>#N/A</v>
      </c>
      <c r="L271" s="128" t="s">
        <v>316</v>
      </c>
      <c r="M271" s="128" t="e">
        <f>VLOOKUP(G271,'BASE PASAJEROS'!A:H,8,FALSE)</f>
        <v>#N/A</v>
      </c>
      <c r="N271" s="79"/>
      <c r="O271" s="79"/>
      <c r="P271" s="128" t="e">
        <f>VLOOKUP(G271,'BASE PASAJEROS'!A:F,6,FALSE)</f>
        <v>#N/A</v>
      </c>
      <c r="Q271" s="128" t="e">
        <f>VLOOKUP(G271,'BASE PASAJEROS'!A:C,3,FALSE)</f>
        <v>#N/A</v>
      </c>
      <c r="R271" s="128" t="e">
        <f>VLOOKUP(G271,'BASE PASAJEROS'!A:G,7,FALSE)</f>
        <v>#N/A</v>
      </c>
      <c r="S271" s="128" t="s">
        <v>305</v>
      </c>
      <c r="T271" s="128" t="s">
        <v>409</v>
      </c>
      <c r="U271" s="130" t="e">
        <f>VLOOKUP(G271,'BASE PASAJEROS'!A:AG,33,FALSE)</f>
        <v>#N/A</v>
      </c>
      <c r="V271" s="130" t="e">
        <f>VLOOKUP(G271,'BASE PASAJEROS'!A:AH,34,FALSE)</f>
        <v>#N/A</v>
      </c>
      <c r="X271" s="155" t="s">
        <v>368</v>
      </c>
      <c r="Y271" s="124" t="s">
        <v>374</v>
      </c>
      <c r="Z271" s="124" t="s">
        <v>328</v>
      </c>
      <c r="AA271" s="128" t="s">
        <v>317</v>
      </c>
      <c r="AB271" s="128" t="e">
        <f>VLOOKUP(AA271,'BASE BANCOS'!$A$2:$D$202,3,FALSE)</f>
        <v>#N/A</v>
      </c>
      <c r="AC271" s="143" t="s">
        <v>369</v>
      </c>
      <c r="AD271" s="129" t="e">
        <f>VLOOKUP(AC271,'BASE CONDUCTORES'!E:G,3,FALSE)</f>
        <v>#N/A</v>
      </c>
      <c r="AE271" s="155"/>
      <c r="AF271" s="150"/>
      <c r="AG271" s="75"/>
      <c r="AH271" s="150"/>
      <c r="AI271" s="75"/>
      <c r="AJ271" s="79"/>
      <c r="AL271" s="79"/>
      <c r="AM271" s="79"/>
      <c r="AN271" s="79"/>
      <c r="AO271" s="75"/>
      <c r="AP271" s="75"/>
      <c r="AQ271" s="79"/>
      <c r="AR271" s="79"/>
      <c r="AS271" s="79"/>
      <c r="AT271" s="79"/>
      <c r="AU271" s="104"/>
      <c r="AV271" s="105"/>
      <c r="AW271" s="79"/>
      <c r="AX271" s="79"/>
      <c r="AY271" s="79"/>
      <c r="AZ271" s="79"/>
    </row>
    <row r="272" spans="3:52" s="124" customFormat="1" x14ac:dyDescent="0.25">
      <c r="C272" s="127">
        <v>44322</v>
      </c>
      <c r="D272" s="128" t="s">
        <v>29</v>
      </c>
      <c r="E272" s="128" t="s">
        <v>33</v>
      </c>
      <c r="F272" s="124">
        <v>1</v>
      </c>
      <c r="G272" s="155" t="s">
        <v>390</v>
      </c>
      <c r="J272" s="71"/>
      <c r="K272" s="128" t="e">
        <f>VLOOKUP(G272,'BASE PASAJEROS'!A:B,2,FALSE)</f>
        <v>#N/A</v>
      </c>
      <c r="L272" s="128" t="s">
        <v>316</v>
      </c>
      <c r="M272" s="128" t="e">
        <f>VLOOKUP(G272,'BASE PASAJEROS'!A:H,8,FALSE)</f>
        <v>#N/A</v>
      </c>
      <c r="N272" s="79"/>
      <c r="O272" s="79"/>
      <c r="P272" s="128" t="e">
        <f>VLOOKUP(G272,'BASE PASAJEROS'!A:F,6,FALSE)</f>
        <v>#N/A</v>
      </c>
      <c r="Q272" s="128" t="e">
        <f>VLOOKUP(G272,'BASE PASAJEROS'!A:C,3,FALSE)</f>
        <v>#N/A</v>
      </c>
      <c r="R272" s="128" t="e">
        <f>VLOOKUP(G272,'BASE PASAJEROS'!A:G,7,FALSE)</f>
        <v>#N/A</v>
      </c>
      <c r="S272" s="128" t="s">
        <v>305</v>
      </c>
      <c r="T272" s="128" t="s">
        <v>409</v>
      </c>
      <c r="U272" s="130" t="e">
        <f>VLOOKUP(G272,'BASE PASAJEROS'!A:AG,33,FALSE)</f>
        <v>#N/A</v>
      </c>
      <c r="V272" s="130" t="e">
        <f>VLOOKUP(G272,'BASE PASAJEROS'!A:AH,34,FALSE)</f>
        <v>#N/A</v>
      </c>
      <c r="X272" s="155" t="s">
        <v>368</v>
      </c>
      <c r="Y272" s="124" t="s">
        <v>374</v>
      </c>
      <c r="Z272" s="124" t="s">
        <v>328</v>
      </c>
      <c r="AA272" s="128" t="s">
        <v>317</v>
      </c>
      <c r="AB272" s="128" t="e">
        <f>VLOOKUP(AA272,'BASE BANCOS'!$A$2:$D$202,3,FALSE)</f>
        <v>#N/A</v>
      </c>
      <c r="AC272" s="143" t="s">
        <v>369</v>
      </c>
      <c r="AD272" s="129" t="e">
        <f>VLOOKUP(AC272,'BASE CONDUCTORES'!E:G,3,FALSE)</f>
        <v>#N/A</v>
      </c>
      <c r="AE272" s="155"/>
      <c r="AF272" s="150"/>
      <c r="AG272" s="75"/>
      <c r="AH272" s="150"/>
      <c r="AI272" s="75"/>
      <c r="AJ272" s="79"/>
      <c r="AL272" s="79"/>
      <c r="AM272" s="79"/>
      <c r="AN272" s="79"/>
      <c r="AO272" s="75"/>
      <c r="AP272" s="75"/>
      <c r="AQ272" s="79"/>
      <c r="AR272" s="79"/>
      <c r="AS272" s="79"/>
      <c r="AT272" s="79"/>
      <c r="AU272" s="104"/>
      <c r="AV272" s="105"/>
      <c r="AW272" s="79"/>
      <c r="AX272" s="79"/>
      <c r="AY272" s="79"/>
      <c r="AZ272" s="79"/>
    </row>
    <row r="273" spans="3:52" s="124" customFormat="1" x14ac:dyDescent="0.25">
      <c r="C273" s="127">
        <v>44322</v>
      </c>
      <c r="D273" s="128" t="s">
        <v>29</v>
      </c>
      <c r="E273" s="128" t="s">
        <v>33</v>
      </c>
      <c r="F273" s="124">
        <v>1</v>
      </c>
      <c r="G273" s="155" t="s">
        <v>391</v>
      </c>
      <c r="J273" s="71"/>
      <c r="K273" s="128" t="e">
        <f>VLOOKUP(G273,'BASE PASAJEROS'!A:B,2,FALSE)</f>
        <v>#N/A</v>
      </c>
      <c r="L273" s="128" t="s">
        <v>316</v>
      </c>
      <c r="M273" s="128" t="e">
        <f>VLOOKUP(G273,'BASE PASAJEROS'!A:H,8,FALSE)</f>
        <v>#N/A</v>
      </c>
      <c r="N273" s="79"/>
      <c r="O273" s="79"/>
      <c r="P273" s="128" t="e">
        <f>VLOOKUP(G273,'BASE PASAJEROS'!A:F,6,FALSE)</f>
        <v>#N/A</v>
      </c>
      <c r="Q273" s="128" t="e">
        <f>VLOOKUP(G273,'BASE PASAJEROS'!A:C,3,FALSE)</f>
        <v>#N/A</v>
      </c>
      <c r="R273" s="128" t="e">
        <f>VLOOKUP(G273,'BASE PASAJEROS'!A:G,7,FALSE)</f>
        <v>#N/A</v>
      </c>
      <c r="S273" s="128" t="s">
        <v>305</v>
      </c>
      <c r="T273" s="128" t="s">
        <v>409</v>
      </c>
      <c r="U273" s="130" t="e">
        <f>VLOOKUP(G273,'BASE PASAJEROS'!A:AG,33,FALSE)</f>
        <v>#N/A</v>
      </c>
      <c r="V273" s="130" t="e">
        <f>VLOOKUP(G273,'BASE PASAJEROS'!A:AH,34,FALSE)</f>
        <v>#N/A</v>
      </c>
      <c r="X273" s="155" t="s">
        <v>368</v>
      </c>
      <c r="Y273" s="124" t="s">
        <v>374</v>
      </c>
      <c r="Z273" s="124" t="s">
        <v>328</v>
      </c>
      <c r="AA273" s="128" t="s">
        <v>317</v>
      </c>
      <c r="AB273" s="128" t="e">
        <f>VLOOKUP(AA273,'BASE BANCOS'!$A$2:$D$202,3,FALSE)</f>
        <v>#N/A</v>
      </c>
      <c r="AC273" s="128" t="s">
        <v>318</v>
      </c>
      <c r="AD273" s="129" t="e">
        <f>VLOOKUP(AC273,'BASE CONDUCTORES'!E:G,3,FALSE)</f>
        <v>#N/A</v>
      </c>
      <c r="AE273" s="155"/>
      <c r="AF273" s="150"/>
      <c r="AG273" s="75"/>
      <c r="AH273" s="150"/>
      <c r="AI273" s="75"/>
      <c r="AJ273" s="79"/>
      <c r="AL273" s="79"/>
      <c r="AM273" s="79"/>
      <c r="AN273" s="79"/>
      <c r="AO273" s="75"/>
      <c r="AP273" s="75"/>
      <c r="AQ273" s="79"/>
      <c r="AR273" s="79"/>
      <c r="AS273" s="79"/>
      <c r="AT273" s="79"/>
      <c r="AU273" s="104"/>
      <c r="AV273" s="105"/>
      <c r="AW273" s="79"/>
      <c r="AX273" s="79"/>
      <c r="AY273" s="79"/>
      <c r="AZ273" s="79"/>
    </row>
    <row r="274" spans="3:52" s="124" customFormat="1" x14ac:dyDescent="0.25">
      <c r="C274" s="127">
        <v>44322</v>
      </c>
      <c r="D274" s="128" t="s">
        <v>29</v>
      </c>
      <c r="E274" s="128" t="s">
        <v>33</v>
      </c>
      <c r="F274" s="124">
        <v>1</v>
      </c>
      <c r="G274" s="155" t="s">
        <v>392</v>
      </c>
      <c r="J274" s="71"/>
      <c r="K274" s="128" t="e">
        <f>VLOOKUP(G274,'BASE PASAJEROS'!A:B,2,FALSE)</f>
        <v>#N/A</v>
      </c>
      <c r="L274" s="128" t="s">
        <v>316</v>
      </c>
      <c r="M274" s="128" t="e">
        <f>VLOOKUP(G274,'BASE PASAJEROS'!A:H,8,FALSE)</f>
        <v>#N/A</v>
      </c>
      <c r="N274" s="79"/>
      <c r="O274" s="79"/>
      <c r="P274" s="128" t="e">
        <f>VLOOKUP(G274,'BASE PASAJEROS'!A:F,6,FALSE)</f>
        <v>#N/A</v>
      </c>
      <c r="Q274" s="128" t="e">
        <f>VLOOKUP(G274,'BASE PASAJEROS'!A:C,3,FALSE)</f>
        <v>#N/A</v>
      </c>
      <c r="R274" s="128" t="e">
        <f>VLOOKUP(G274,'BASE PASAJEROS'!A:G,7,FALSE)</f>
        <v>#N/A</v>
      </c>
      <c r="S274" s="128" t="s">
        <v>305</v>
      </c>
      <c r="T274" s="128" t="s">
        <v>409</v>
      </c>
      <c r="U274" s="130" t="e">
        <f>VLOOKUP(G274,'BASE PASAJEROS'!A:AG,33,FALSE)</f>
        <v>#N/A</v>
      </c>
      <c r="V274" s="130" t="e">
        <f>VLOOKUP(G274,'BASE PASAJEROS'!A:AH,34,FALSE)</f>
        <v>#N/A</v>
      </c>
      <c r="X274" s="155" t="s">
        <v>368</v>
      </c>
      <c r="Y274" s="124" t="s">
        <v>374</v>
      </c>
      <c r="Z274" s="124" t="s">
        <v>328</v>
      </c>
      <c r="AA274" s="128" t="s">
        <v>317</v>
      </c>
      <c r="AB274" s="128" t="e">
        <f>VLOOKUP(AA274,'BASE BANCOS'!$A$2:$D$202,3,FALSE)</f>
        <v>#N/A</v>
      </c>
      <c r="AC274" s="128" t="s">
        <v>318</v>
      </c>
      <c r="AD274" s="129" t="e">
        <f>VLOOKUP(AC274,'BASE CONDUCTORES'!E:G,3,FALSE)</f>
        <v>#N/A</v>
      </c>
      <c r="AE274" s="155"/>
      <c r="AF274" s="150"/>
      <c r="AG274" s="75"/>
      <c r="AH274" s="150"/>
      <c r="AI274" s="75"/>
      <c r="AJ274" s="79"/>
      <c r="AL274" s="79"/>
      <c r="AM274" s="79"/>
      <c r="AN274" s="79"/>
      <c r="AO274" s="75"/>
      <c r="AP274" s="75"/>
      <c r="AQ274" s="79"/>
      <c r="AR274" s="79"/>
      <c r="AS274" s="79"/>
      <c r="AT274" s="79"/>
      <c r="AU274" s="104"/>
      <c r="AV274" s="105"/>
      <c r="AW274" s="79"/>
      <c r="AX274" s="79"/>
      <c r="AY274" s="79"/>
      <c r="AZ274" s="79"/>
    </row>
    <row r="275" spans="3:52" s="124" customFormat="1" x14ac:dyDescent="0.25">
      <c r="C275" s="127">
        <v>44322</v>
      </c>
      <c r="D275" s="128" t="s">
        <v>29</v>
      </c>
      <c r="E275" s="128" t="s">
        <v>33</v>
      </c>
      <c r="F275" s="124">
        <v>1</v>
      </c>
      <c r="G275" s="155" t="s">
        <v>393</v>
      </c>
      <c r="J275" s="71"/>
      <c r="K275" s="128" t="e">
        <f>VLOOKUP(G275,'BASE PASAJEROS'!A:B,2,FALSE)</f>
        <v>#N/A</v>
      </c>
      <c r="L275" s="128" t="s">
        <v>316</v>
      </c>
      <c r="M275" s="128" t="e">
        <f>VLOOKUP(G275,'BASE PASAJEROS'!A:H,8,FALSE)</f>
        <v>#N/A</v>
      </c>
      <c r="N275" s="79"/>
      <c r="O275" s="79"/>
      <c r="P275" s="128" t="e">
        <f>VLOOKUP(G275,'BASE PASAJEROS'!A:F,6,FALSE)</f>
        <v>#N/A</v>
      </c>
      <c r="Q275" s="128" t="e">
        <f>VLOOKUP(G275,'BASE PASAJEROS'!A:C,3,FALSE)</f>
        <v>#N/A</v>
      </c>
      <c r="R275" s="128" t="e">
        <f>VLOOKUP(G275,'BASE PASAJEROS'!A:G,7,FALSE)</f>
        <v>#N/A</v>
      </c>
      <c r="S275" s="128" t="s">
        <v>305</v>
      </c>
      <c r="T275" s="128" t="s">
        <v>409</v>
      </c>
      <c r="U275" s="130" t="e">
        <f>VLOOKUP(G275,'BASE PASAJEROS'!A:AG,33,FALSE)</f>
        <v>#N/A</v>
      </c>
      <c r="V275" s="130" t="e">
        <f>VLOOKUP(G275,'BASE PASAJEROS'!A:AH,34,FALSE)</f>
        <v>#N/A</v>
      </c>
      <c r="X275" s="155" t="s">
        <v>368</v>
      </c>
      <c r="Y275" s="124" t="s">
        <v>374</v>
      </c>
      <c r="Z275" s="124" t="s">
        <v>328</v>
      </c>
      <c r="AA275" s="128" t="s">
        <v>317</v>
      </c>
      <c r="AB275" s="128" t="e">
        <f>VLOOKUP(AA275,'BASE BANCOS'!$A$2:$D$202,3,FALSE)</f>
        <v>#N/A</v>
      </c>
      <c r="AC275" s="79" t="s">
        <v>405</v>
      </c>
      <c r="AD275" s="129" t="e">
        <f>VLOOKUP(AC275,'BASE CONDUCTORES'!E:G,3,FALSE)</f>
        <v>#N/A</v>
      </c>
      <c r="AE275" s="155"/>
      <c r="AF275" s="150"/>
      <c r="AG275" s="75"/>
      <c r="AH275" s="150"/>
      <c r="AI275" s="75"/>
      <c r="AJ275" s="79"/>
      <c r="AL275" s="79"/>
      <c r="AM275" s="79"/>
      <c r="AN275" s="79"/>
      <c r="AO275" s="75"/>
      <c r="AP275" s="75"/>
      <c r="AQ275" s="79"/>
      <c r="AR275" s="79"/>
      <c r="AS275" s="79"/>
      <c r="AT275" s="79"/>
      <c r="AU275" s="104"/>
      <c r="AV275" s="105"/>
      <c r="AW275" s="79"/>
      <c r="AX275" s="79"/>
      <c r="AY275" s="79"/>
      <c r="AZ275" s="79"/>
    </row>
    <row r="276" spans="3:52" s="124" customFormat="1" x14ac:dyDescent="0.25">
      <c r="C276" s="127">
        <v>44322</v>
      </c>
      <c r="D276" s="128" t="s">
        <v>29</v>
      </c>
      <c r="E276" s="128" t="s">
        <v>33</v>
      </c>
      <c r="F276" s="124">
        <v>1</v>
      </c>
      <c r="G276" s="155" t="s">
        <v>394</v>
      </c>
      <c r="J276" s="71"/>
      <c r="K276" s="128" t="e">
        <f>VLOOKUP(G276,'BASE PASAJEROS'!A:B,2,FALSE)</f>
        <v>#N/A</v>
      </c>
      <c r="L276" s="128" t="s">
        <v>316</v>
      </c>
      <c r="M276" s="128" t="e">
        <f>VLOOKUP(G276,'BASE PASAJEROS'!A:H,8,FALSE)</f>
        <v>#N/A</v>
      </c>
      <c r="N276" s="79"/>
      <c r="O276" s="79"/>
      <c r="P276" s="128" t="e">
        <f>VLOOKUP(G276,'BASE PASAJEROS'!A:F,6,FALSE)</f>
        <v>#N/A</v>
      </c>
      <c r="Q276" s="128" t="e">
        <f>VLOOKUP(G276,'BASE PASAJEROS'!A:C,3,FALSE)</f>
        <v>#N/A</v>
      </c>
      <c r="R276" s="128" t="e">
        <f>VLOOKUP(G276,'BASE PASAJEROS'!A:G,7,FALSE)</f>
        <v>#N/A</v>
      </c>
      <c r="S276" s="128" t="s">
        <v>305</v>
      </c>
      <c r="T276" s="128" t="s">
        <v>409</v>
      </c>
      <c r="U276" s="130" t="e">
        <f>VLOOKUP(G276,'BASE PASAJEROS'!A:AG,33,FALSE)</f>
        <v>#N/A</v>
      </c>
      <c r="V276" s="130" t="e">
        <f>VLOOKUP(G276,'BASE PASAJEROS'!A:AH,34,FALSE)</f>
        <v>#N/A</v>
      </c>
      <c r="X276" s="155" t="s">
        <v>368</v>
      </c>
      <c r="Y276" s="124" t="s">
        <v>374</v>
      </c>
      <c r="Z276" s="124" t="s">
        <v>328</v>
      </c>
      <c r="AA276" s="128" t="s">
        <v>317</v>
      </c>
      <c r="AB276" s="128" t="e">
        <f>VLOOKUP(AA276,'BASE BANCOS'!$A$2:$D$202,3,FALSE)</f>
        <v>#N/A</v>
      </c>
      <c r="AC276" s="79" t="s">
        <v>405</v>
      </c>
      <c r="AD276" s="129" t="e">
        <f>VLOOKUP(AC276,'BASE CONDUCTORES'!E:G,3,FALSE)</f>
        <v>#N/A</v>
      </c>
      <c r="AE276" s="155"/>
      <c r="AF276" s="150"/>
      <c r="AG276" s="75"/>
      <c r="AH276" s="150"/>
      <c r="AI276" s="75"/>
      <c r="AJ276" s="79"/>
      <c r="AL276" s="79"/>
      <c r="AM276" s="79"/>
      <c r="AN276" s="79"/>
      <c r="AO276" s="75"/>
      <c r="AP276" s="75"/>
      <c r="AQ276" s="79"/>
      <c r="AR276" s="79"/>
      <c r="AS276" s="79"/>
      <c r="AT276" s="79"/>
      <c r="AU276" s="104"/>
      <c r="AV276" s="105"/>
      <c r="AW276" s="79"/>
      <c r="AX276" s="79"/>
      <c r="AY276" s="79"/>
      <c r="AZ276" s="79"/>
    </row>
    <row r="277" spans="3:52" s="124" customFormat="1" x14ac:dyDescent="0.25">
      <c r="C277" s="127">
        <v>44322</v>
      </c>
      <c r="D277" s="128" t="s">
        <v>29</v>
      </c>
      <c r="E277" s="128" t="s">
        <v>33</v>
      </c>
      <c r="F277" s="124">
        <v>1</v>
      </c>
      <c r="G277" s="155" t="s">
        <v>395</v>
      </c>
      <c r="J277" s="71"/>
      <c r="K277" s="128" t="e">
        <f>VLOOKUP(G277,'BASE PASAJEROS'!A:B,2,FALSE)</f>
        <v>#N/A</v>
      </c>
      <c r="L277" s="128" t="s">
        <v>316</v>
      </c>
      <c r="M277" s="128" t="e">
        <f>VLOOKUP(G277,'BASE PASAJEROS'!A:H,8,FALSE)</f>
        <v>#N/A</v>
      </c>
      <c r="N277" s="79"/>
      <c r="O277" s="79"/>
      <c r="P277" s="128" t="e">
        <f>VLOOKUP(G277,'BASE PASAJEROS'!A:F,6,FALSE)</f>
        <v>#N/A</v>
      </c>
      <c r="Q277" s="128" t="e">
        <f>VLOOKUP(G277,'BASE PASAJEROS'!A:C,3,FALSE)</f>
        <v>#N/A</v>
      </c>
      <c r="R277" s="128" t="e">
        <f>VLOOKUP(G277,'BASE PASAJEROS'!A:G,7,FALSE)</f>
        <v>#N/A</v>
      </c>
      <c r="S277" s="128" t="s">
        <v>305</v>
      </c>
      <c r="T277" s="128" t="s">
        <v>409</v>
      </c>
      <c r="U277" s="130" t="e">
        <f>VLOOKUP(G277,'BASE PASAJEROS'!A:AG,33,FALSE)</f>
        <v>#N/A</v>
      </c>
      <c r="V277" s="130" t="e">
        <f>VLOOKUP(G277,'BASE PASAJEROS'!A:AH,34,FALSE)</f>
        <v>#N/A</v>
      </c>
      <c r="X277" s="155" t="s">
        <v>368</v>
      </c>
      <c r="Y277" s="124" t="s">
        <v>374</v>
      </c>
      <c r="Z277" s="124" t="s">
        <v>328</v>
      </c>
      <c r="AA277" s="128" t="s">
        <v>317</v>
      </c>
      <c r="AB277" s="128" t="e">
        <f>VLOOKUP(AA277,'BASE BANCOS'!$A$2:$D$202,3,FALSE)</f>
        <v>#N/A</v>
      </c>
      <c r="AC277" s="128" t="s">
        <v>318</v>
      </c>
      <c r="AD277" s="129" t="e">
        <f>VLOOKUP(AC277,'BASE CONDUCTORES'!E:G,3,FALSE)</f>
        <v>#N/A</v>
      </c>
      <c r="AE277" s="155"/>
      <c r="AF277" s="150"/>
      <c r="AG277" s="75"/>
      <c r="AH277" s="150"/>
      <c r="AI277" s="75"/>
      <c r="AJ277" s="79"/>
      <c r="AL277" s="79"/>
      <c r="AM277" s="79"/>
      <c r="AN277" s="79"/>
      <c r="AO277" s="75"/>
      <c r="AP277" s="75"/>
      <c r="AQ277" s="79"/>
      <c r="AR277" s="79"/>
      <c r="AS277" s="79"/>
      <c r="AT277" s="79"/>
      <c r="AU277" s="104"/>
      <c r="AV277" s="105"/>
      <c r="AW277" s="79"/>
      <c r="AX277" s="79"/>
      <c r="AY277" s="79"/>
      <c r="AZ277" s="79"/>
    </row>
    <row r="278" spans="3:52" s="124" customFormat="1" x14ac:dyDescent="0.25">
      <c r="C278" s="127">
        <v>44322</v>
      </c>
      <c r="D278" s="128" t="s">
        <v>29</v>
      </c>
      <c r="E278" s="128" t="s">
        <v>33</v>
      </c>
      <c r="F278" s="124">
        <v>1</v>
      </c>
      <c r="G278" s="155" t="s">
        <v>396</v>
      </c>
      <c r="J278" s="71"/>
      <c r="K278" s="128" t="e">
        <f>VLOOKUP(G278,'BASE PASAJEROS'!A:B,2,FALSE)</f>
        <v>#N/A</v>
      </c>
      <c r="L278" s="128" t="s">
        <v>316</v>
      </c>
      <c r="M278" s="128" t="e">
        <f>VLOOKUP(G278,'BASE PASAJEROS'!A:H,8,FALSE)</f>
        <v>#N/A</v>
      </c>
      <c r="N278" s="79"/>
      <c r="O278" s="79"/>
      <c r="P278" s="128" t="e">
        <f>VLOOKUP(G278,'BASE PASAJEROS'!A:F,6,FALSE)</f>
        <v>#N/A</v>
      </c>
      <c r="Q278" s="128" t="e">
        <f>VLOOKUP(G278,'BASE PASAJEROS'!A:C,3,FALSE)</f>
        <v>#N/A</v>
      </c>
      <c r="R278" s="128" t="e">
        <f>VLOOKUP(G278,'BASE PASAJEROS'!A:G,7,FALSE)</f>
        <v>#N/A</v>
      </c>
      <c r="S278" s="128" t="s">
        <v>305</v>
      </c>
      <c r="T278" s="128" t="s">
        <v>409</v>
      </c>
      <c r="U278" s="130" t="e">
        <f>VLOOKUP(G278,'BASE PASAJEROS'!A:AG,33,FALSE)</f>
        <v>#N/A</v>
      </c>
      <c r="V278" s="130" t="e">
        <f>VLOOKUP(G278,'BASE PASAJEROS'!A:AH,34,FALSE)</f>
        <v>#N/A</v>
      </c>
      <c r="X278" s="155" t="s">
        <v>368</v>
      </c>
      <c r="Y278" s="124" t="s">
        <v>21</v>
      </c>
      <c r="Z278" s="124" t="s">
        <v>328</v>
      </c>
      <c r="AA278" s="128" t="s">
        <v>319</v>
      </c>
      <c r="AB278" s="128" t="e">
        <f>VLOOKUP(AA278,'BASE BANCOS'!$A$2:$D$202,3,FALSE)</f>
        <v>#N/A</v>
      </c>
      <c r="AD278" s="129" t="e">
        <f>VLOOKUP(AC278,'BASE CONDUCTORES'!E:G,3,FALSE)</f>
        <v>#N/A</v>
      </c>
      <c r="AE278" s="155"/>
      <c r="AF278" s="150"/>
      <c r="AG278" s="75"/>
      <c r="AH278" s="150"/>
      <c r="AI278" s="75"/>
      <c r="AJ278" s="79"/>
      <c r="AK278" s="124" t="s">
        <v>419</v>
      </c>
      <c r="AL278" s="79"/>
      <c r="AM278" s="79"/>
      <c r="AN278" s="79"/>
      <c r="AO278" s="75"/>
      <c r="AP278" s="75"/>
      <c r="AQ278" s="79"/>
      <c r="AR278" s="79"/>
      <c r="AS278" s="79"/>
      <c r="AT278" s="79"/>
      <c r="AU278" s="104"/>
      <c r="AV278" s="105"/>
      <c r="AW278" s="79"/>
      <c r="AX278" s="79"/>
      <c r="AY278" s="79"/>
      <c r="AZ278" s="79"/>
    </row>
    <row r="279" spans="3:52" s="124" customFormat="1" x14ac:dyDescent="0.25">
      <c r="C279" s="127">
        <v>44322</v>
      </c>
      <c r="D279" s="128" t="s">
        <v>29</v>
      </c>
      <c r="E279" s="128" t="s">
        <v>33</v>
      </c>
      <c r="F279" s="124">
        <v>1</v>
      </c>
      <c r="G279" s="155" t="s">
        <v>397</v>
      </c>
      <c r="J279" s="71"/>
      <c r="K279" s="128" t="e">
        <f>VLOOKUP(G279,'BASE PASAJEROS'!A:B,2,FALSE)</f>
        <v>#N/A</v>
      </c>
      <c r="L279" s="128" t="s">
        <v>316</v>
      </c>
      <c r="M279" s="128" t="e">
        <f>VLOOKUP(G279,'BASE PASAJEROS'!A:H,8,FALSE)</f>
        <v>#N/A</v>
      </c>
      <c r="N279" s="79"/>
      <c r="O279" s="79"/>
      <c r="P279" s="128" t="e">
        <f>VLOOKUP(G279,'BASE PASAJEROS'!A:F,6,FALSE)</f>
        <v>#N/A</v>
      </c>
      <c r="Q279" s="128" t="e">
        <f>VLOOKUP(G279,'BASE PASAJEROS'!A:C,3,FALSE)</f>
        <v>#N/A</v>
      </c>
      <c r="R279" s="128" t="e">
        <f>VLOOKUP(G279,'BASE PASAJEROS'!A:G,7,FALSE)</f>
        <v>#N/A</v>
      </c>
      <c r="S279" s="128" t="s">
        <v>305</v>
      </c>
      <c r="T279" s="128" t="s">
        <v>409</v>
      </c>
      <c r="U279" s="130" t="e">
        <f>VLOOKUP(G279,'BASE PASAJEROS'!A:AG,33,FALSE)</f>
        <v>#N/A</v>
      </c>
      <c r="V279" s="130" t="e">
        <f>VLOOKUP(G279,'BASE PASAJEROS'!A:AH,34,FALSE)</f>
        <v>#N/A</v>
      </c>
      <c r="X279" s="155" t="s">
        <v>368</v>
      </c>
      <c r="Y279" s="124" t="s">
        <v>374</v>
      </c>
      <c r="Z279" s="124" t="s">
        <v>328</v>
      </c>
      <c r="AA279" s="128" t="s">
        <v>317</v>
      </c>
      <c r="AB279" s="128" t="e">
        <f>VLOOKUP(AA279,'BASE BANCOS'!$A$2:$D$202,3,FALSE)</f>
        <v>#N/A</v>
      </c>
      <c r="AC279" s="143" t="s">
        <v>369</v>
      </c>
      <c r="AD279" s="129" t="e">
        <f>VLOOKUP(AC279,'BASE CONDUCTORES'!E:G,3,FALSE)</f>
        <v>#N/A</v>
      </c>
      <c r="AE279" s="155"/>
      <c r="AF279" s="150"/>
      <c r="AG279" s="75"/>
      <c r="AH279" s="150"/>
      <c r="AI279" s="75"/>
      <c r="AJ279" s="79"/>
      <c r="AL279" s="79"/>
      <c r="AM279" s="79"/>
      <c r="AN279" s="79"/>
      <c r="AO279" s="75"/>
      <c r="AP279" s="75"/>
      <c r="AQ279" s="79"/>
      <c r="AR279" s="79"/>
      <c r="AS279" s="79"/>
      <c r="AT279" s="79"/>
      <c r="AU279" s="104"/>
      <c r="AV279" s="105"/>
      <c r="AW279" s="79"/>
      <c r="AX279" s="79"/>
      <c r="AY279" s="79"/>
      <c r="AZ279" s="79"/>
    </row>
    <row r="280" spans="3:52" s="124" customFormat="1" x14ac:dyDescent="0.25">
      <c r="C280" s="127">
        <v>44322</v>
      </c>
      <c r="D280" s="128" t="s">
        <v>29</v>
      </c>
      <c r="E280" s="128" t="s">
        <v>33</v>
      </c>
      <c r="F280" s="124">
        <v>1</v>
      </c>
      <c r="G280" s="155" t="s">
        <v>398</v>
      </c>
      <c r="J280" s="71"/>
      <c r="K280" s="128" t="e">
        <f>VLOOKUP(G280,'BASE PASAJEROS'!A:B,2,FALSE)</f>
        <v>#N/A</v>
      </c>
      <c r="L280" s="128" t="s">
        <v>316</v>
      </c>
      <c r="M280" s="128" t="e">
        <f>VLOOKUP(G280,'BASE PASAJEROS'!A:H,8,FALSE)</f>
        <v>#N/A</v>
      </c>
      <c r="N280" s="79"/>
      <c r="O280" s="79"/>
      <c r="P280" s="128" t="e">
        <f>VLOOKUP(G280,'BASE PASAJEROS'!A:F,6,FALSE)</f>
        <v>#N/A</v>
      </c>
      <c r="Q280" s="128" t="e">
        <f>VLOOKUP(G280,'BASE PASAJEROS'!A:C,3,FALSE)</f>
        <v>#N/A</v>
      </c>
      <c r="R280" s="128" t="e">
        <f>VLOOKUP(G280,'BASE PASAJEROS'!A:G,7,FALSE)</f>
        <v>#N/A</v>
      </c>
      <c r="S280" s="128" t="s">
        <v>305</v>
      </c>
      <c r="T280" s="128" t="s">
        <v>409</v>
      </c>
      <c r="U280" s="130" t="e">
        <f>VLOOKUP(G280,'BASE PASAJEROS'!A:AG,33,FALSE)</f>
        <v>#N/A</v>
      </c>
      <c r="V280" s="130" t="e">
        <f>VLOOKUP(G280,'BASE PASAJEROS'!A:AH,34,FALSE)</f>
        <v>#N/A</v>
      </c>
      <c r="X280" s="155" t="s">
        <v>368</v>
      </c>
      <c r="Y280" s="124" t="s">
        <v>374</v>
      </c>
      <c r="Z280" s="124" t="s">
        <v>328</v>
      </c>
      <c r="AA280" s="128" t="s">
        <v>317</v>
      </c>
      <c r="AB280" s="128" t="e">
        <f>VLOOKUP(AA280,'BASE BANCOS'!$A$2:$D$202,3,FALSE)</f>
        <v>#N/A</v>
      </c>
      <c r="AC280" s="128" t="s">
        <v>318</v>
      </c>
      <c r="AD280" s="129" t="e">
        <f>VLOOKUP(AC280,'BASE CONDUCTORES'!E:G,3,FALSE)</f>
        <v>#N/A</v>
      </c>
      <c r="AE280" s="155"/>
      <c r="AF280" s="150"/>
      <c r="AG280" s="75"/>
      <c r="AH280" s="150"/>
      <c r="AI280" s="75"/>
      <c r="AJ280" s="79"/>
      <c r="AL280" s="79"/>
      <c r="AM280" s="79"/>
      <c r="AN280" s="79"/>
      <c r="AO280" s="75"/>
      <c r="AP280" s="75"/>
      <c r="AQ280" s="79"/>
      <c r="AR280" s="79"/>
      <c r="AS280" s="79"/>
      <c r="AT280" s="79"/>
      <c r="AU280" s="104"/>
      <c r="AV280" s="105"/>
      <c r="AW280" s="79"/>
      <c r="AX280" s="79"/>
      <c r="AY280" s="79"/>
      <c r="AZ280" s="79"/>
    </row>
    <row r="281" spans="3:52" s="124" customFormat="1" x14ac:dyDescent="0.25">
      <c r="C281" s="127">
        <v>44322</v>
      </c>
      <c r="D281" s="128" t="s">
        <v>29</v>
      </c>
      <c r="E281" s="128" t="s">
        <v>33</v>
      </c>
      <c r="F281" s="124">
        <v>1</v>
      </c>
      <c r="G281" s="155" t="s">
        <v>399</v>
      </c>
      <c r="J281" s="71"/>
      <c r="K281" s="128" t="e">
        <f>VLOOKUP(G281,'BASE PASAJEROS'!A:B,2,FALSE)</f>
        <v>#N/A</v>
      </c>
      <c r="L281" s="128" t="s">
        <v>316</v>
      </c>
      <c r="M281" s="128" t="e">
        <f>VLOOKUP(G281,'BASE PASAJEROS'!A:H,8,FALSE)</f>
        <v>#N/A</v>
      </c>
      <c r="N281" s="79"/>
      <c r="O281" s="79"/>
      <c r="P281" s="128" t="e">
        <f>VLOOKUP(G281,'BASE PASAJEROS'!A:F,6,FALSE)</f>
        <v>#N/A</v>
      </c>
      <c r="Q281" s="128" t="e">
        <f>VLOOKUP(G281,'BASE PASAJEROS'!A:C,3,FALSE)</f>
        <v>#N/A</v>
      </c>
      <c r="R281" s="128" t="e">
        <f>VLOOKUP(G281,'BASE PASAJEROS'!A:G,7,FALSE)</f>
        <v>#N/A</v>
      </c>
      <c r="S281" s="128" t="s">
        <v>305</v>
      </c>
      <c r="T281" s="128" t="s">
        <v>409</v>
      </c>
      <c r="U281" s="130" t="e">
        <f>VLOOKUP(G281,'BASE PASAJEROS'!A:AG,33,FALSE)</f>
        <v>#N/A</v>
      </c>
      <c r="V281" s="130" t="e">
        <f>VLOOKUP(G281,'BASE PASAJEROS'!A:AH,34,FALSE)</f>
        <v>#N/A</v>
      </c>
      <c r="X281" s="155" t="s">
        <v>368</v>
      </c>
      <c r="Y281" s="124" t="s">
        <v>374</v>
      </c>
      <c r="Z281" s="124" t="s">
        <v>328</v>
      </c>
      <c r="AA281" s="128" t="s">
        <v>317</v>
      </c>
      <c r="AB281" s="128" t="e">
        <f>VLOOKUP(AA281,'BASE BANCOS'!$A$2:$D$202,3,FALSE)</f>
        <v>#N/A</v>
      </c>
      <c r="AC281" s="128" t="s">
        <v>318</v>
      </c>
      <c r="AD281" s="129" t="e">
        <f>VLOOKUP(AC281,'BASE CONDUCTORES'!E:G,3,FALSE)</f>
        <v>#N/A</v>
      </c>
      <c r="AE281" s="155"/>
      <c r="AF281" s="150"/>
      <c r="AG281" s="75"/>
      <c r="AH281" s="150"/>
      <c r="AI281" s="75"/>
      <c r="AJ281" s="79"/>
      <c r="AL281" s="79"/>
      <c r="AM281" s="79"/>
      <c r="AN281" s="79"/>
      <c r="AO281" s="75"/>
      <c r="AP281" s="75"/>
      <c r="AQ281" s="79"/>
      <c r="AR281" s="79"/>
      <c r="AS281" s="79"/>
      <c r="AT281" s="79"/>
      <c r="AU281" s="104"/>
      <c r="AV281" s="105"/>
      <c r="AW281" s="79"/>
      <c r="AX281" s="79"/>
      <c r="AY281" s="79"/>
      <c r="AZ281" s="79"/>
    </row>
    <row r="282" spans="3:52" s="124" customFormat="1" x14ac:dyDescent="0.25">
      <c r="C282" s="127">
        <v>44322</v>
      </c>
      <c r="D282" s="128" t="s">
        <v>29</v>
      </c>
      <c r="E282" s="128" t="s">
        <v>33</v>
      </c>
      <c r="F282" s="124">
        <v>1</v>
      </c>
      <c r="G282" s="155" t="s">
        <v>400</v>
      </c>
      <c r="J282" s="71"/>
      <c r="K282" s="128" t="e">
        <f>VLOOKUP(G282,'BASE PASAJEROS'!A:B,2,FALSE)</f>
        <v>#N/A</v>
      </c>
      <c r="L282" s="128" t="s">
        <v>316</v>
      </c>
      <c r="M282" s="128" t="e">
        <f>VLOOKUP(G282,'BASE PASAJEROS'!A:H,8,FALSE)</f>
        <v>#N/A</v>
      </c>
      <c r="N282" s="79"/>
      <c r="O282" s="79"/>
      <c r="P282" s="128" t="e">
        <f>VLOOKUP(G282,'BASE PASAJEROS'!A:F,6,FALSE)</f>
        <v>#N/A</v>
      </c>
      <c r="Q282" s="128" t="e">
        <f>VLOOKUP(G282,'BASE PASAJEROS'!A:C,3,FALSE)</f>
        <v>#N/A</v>
      </c>
      <c r="R282" s="128" t="e">
        <f>VLOOKUP(G282,'BASE PASAJEROS'!A:G,7,FALSE)</f>
        <v>#N/A</v>
      </c>
      <c r="S282" s="128" t="s">
        <v>305</v>
      </c>
      <c r="T282" s="128" t="s">
        <v>409</v>
      </c>
      <c r="U282" s="130" t="e">
        <f>VLOOKUP(G282,'BASE PASAJEROS'!A:AG,33,FALSE)</f>
        <v>#N/A</v>
      </c>
      <c r="V282" s="130" t="e">
        <f>VLOOKUP(G282,'BASE PASAJEROS'!A:AH,34,FALSE)</f>
        <v>#N/A</v>
      </c>
      <c r="X282" s="155" t="s">
        <v>368</v>
      </c>
      <c r="Y282" s="124" t="s">
        <v>374</v>
      </c>
      <c r="Z282" s="124" t="s">
        <v>328</v>
      </c>
      <c r="AA282" s="128" t="s">
        <v>317</v>
      </c>
      <c r="AB282" s="128" t="e">
        <f>VLOOKUP(AA282,'BASE BANCOS'!$A$2:$D$202,3,FALSE)</f>
        <v>#N/A</v>
      </c>
      <c r="AC282" s="143" t="s">
        <v>369</v>
      </c>
      <c r="AD282" s="129" t="e">
        <f>VLOOKUP(AC282,'BASE CONDUCTORES'!E:G,3,FALSE)</f>
        <v>#N/A</v>
      </c>
      <c r="AE282" s="155"/>
      <c r="AF282" s="150"/>
      <c r="AG282" s="75"/>
      <c r="AH282" s="150"/>
      <c r="AI282" s="75"/>
      <c r="AJ282" s="79"/>
      <c r="AL282" s="79"/>
      <c r="AM282" s="79"/>
      <c r="AN282" s="79"/>
      <c r="AO282" s="75"/>
      <c r="AP282" s="75"/>
      <c r="AQ282" s="79"/>
      <c r="AR282" s="79"/>
      <c r="AS282" s="79"/>
      <c r="AT282" s="79"/>
      <c r="AU282" s="104"/>
      <c r="AV282" s="105"/>
      <c r="AW282" s="79"/>
      <c r="AX282" s="79"/>
      <c r="AY282" s="79"/>
      <c r="AZ282" s="79"/>
    </row>
    <row r="283" spans="3:52" s="124" customFormat="1" x14ac:dyDescent="0.25">
      <c r="C283" s="127">
        <v>44322</v>
      </c>
      <c r="D283" s="128" t="s">
        <v>29</v>
      </c>
      <c r="E283" s="128" t="s">
        <v>33</v>
      </c>
      <c r="F283" s="124">
        <v>1</v>
      </c>
      <c r="G283" s="155" t="s">
        <v>401</v>
      </c>
      <c r="J283" s="71"/>
      <c r="K283" s="128" t="e">
        <f>VLOOKUP(G283,'BASE PASAJEROS'!A:B,2,FALSE)</f>
        <v>#N/A</v>
      </c>
      <c r="L283" s="128" t="s">
        <v>316</v>
      </c>
      <c r="M283" s="128" t="e">
        <f>VLOOKUP(G283,'BASE PASAJEROS'!A:H,8,FALSE)</f>
        <v>#N/A</v>
      </c>
      <c r="N283" s="79"/>
      <c r="O283" s="79"/>
      <c r="P283" s="128" t="e">
        <f>VLOOKUP(G283,'BASE PASAJEROS'!A:F,6,FALSE)</f>
        <v>#N/A</v>
      </c>
      <c r="Q283" s="128" t="e">
        <f>VLOOKUP(G283,'BASE PASAJEROS'!A:C,3,FALSE)</f>
        <v>#N/A</v>
      </c>
      <c r="R283" s="128" t="e">
        <f>VLOOKUP(G283,'BASE PASAJEROS'!A:G,7,FALSE)</f>
        <v>#N/A</v>
      </c>
      <c r="S283" s="128" t="s">
        <v>305</v>
      </c>
      <c r="T283" s="128" t="s">
        <v>409</v>
      </c>
      <c r="U283" s="130" t="e">
        <f>VLOOKUP(G283,'BASE PASAJEROS'!A:AG,33,FALSE)</f>
        <v>#N/A</v>
      </c>
      <c r="V283" s="130" t="e">
        <f>VLOOKUP(G283,'BASE PASAJEROS'!A:AH,34,FALSE)</f>
        <v>#N/A</v>
      </c>
      <c r="X283" s="155" t="s">
        <v>368</v>
      </c>
      <c r="Y283" s="124" t="s">
        <v>21</v>
      </c>
      <c r="Z283" s="124" t="s">
        <v>328</v>
      </c>
      <c r="AA283" s="128" t="s">
        <v>319</v>
      </c>
      <c r="AB283" s="128" t="e">
        <f>VLOOKUP(AA283,'BASE BANCOS'!$A$2:$D$202,3,FALSE)</f>
        <v>#N/A</v>
      </c>
      <c r="AD283" s="129" t="e">
        <f>VLOOKUP(AC283,'BASE CONDUCTORES'!E:G,3,FALSE)</f>
        <v>#N/A</v>
      </c>
      <c r="AE283" s="155"/>
      <c r="AF283" s="150"/>
      <c r="AG283" s="75"/>
      <c r="AH283" s="150"/>
      <c r="AI283" s="75"/>
      <c r="AJ283" s="79"/>
      <c r="AK283" s="124" t="s">
        <v>402</v>
      </c>
      <c r="AL283" s="79"/>
      <c r="AM283" s="79"/>
      <c r="AN283" s="79"/>
      <c r="AO283" s="75"/>
      <c r="AP283" s="75"/>
      <c r="AQ283" s="79"/>
      <c r="AR283" s="79"/>
      <c r="AS283" s="79"/>
      <c r="AT283" s="79"/>
      <c r="AU283" s="104"/>
      <c r="AV283" s="105"/>
      <c r="AW283" s="79"/>
      <c r="AX283" s="79"/>
      <c r="AY283" s="79"/>
      <c r="AZ283" s="79"/>
    </row>
    <row r="284" spans="3:52" s="124" customFormat="1" x14ac:dyDescent="0.25">
      <c r="C284" s="127">
        <v>44322</v>
      </c>
      <c r="D284" s="128" t="s">
        <v>29</v>
      </c>
      <c r="E284" s="128" t="s">
        <v>33</v>
      </c>
      <c r="F284" s="124">
        <v>1</v>
      </c>
      <c r="G284" s="144" t="s">
        <v>411</v>
      </c>
      <c r="J284" s="71"/>
      <c r="K284" s="128" t="e">
        <f>VLOOKUP(G284,'BASE PASAJEROS'!A:B,2,FALSE)</f>
        <v>#N/A</v>
      </c>
      <c r="L284" s="128" t="s">
        <v>316</v>
      </c>
      <c r="M284" s="128" t="e">
        <f>VLOOKUP(G284,'BASE PASAJEROS'!A:H,8,FALSE)</f>
        <v>#N/A</v>
      </c>
      <c r="N284" s="128"/>
      <c r="O284" s="128"/>
      <c r="P284" s="128" t="e">
        <f>VLOOKUP(G284,'BASE PASAJEROS'!A:F,6,FALSE)</f>
        <v>#N/A</v>
      </c>
      <c r="Q284" s="128" t="e">
        <f>VLOOKUP(G284,'BASE PASAJEROS'!A:C,3,FALSE)</f>
        <v>#N/A</v>
      </c>
      <c r="R284" s="128" t="e">
        <f>VLOOKUP(G284,'BASE PASAJEROS'!A:G,7,FALSE)</f>
        <v>#N/A</v>
      </c>
      <c r="S284" s="128" t="s">
        <v>305</v>
      </c>
      <c r="T284" s="128" t="s">
        <v>409</v>
      </c>
      <c r="U284" s="130" t="e">
        <f>VLOOKUP(G284,'BASE PASAJEROS'!A:AG,33,FALSE)</f>
        <v>#N/A</v>
      </c>
      <c r="V284" s="130" t="e">
        <f>VLOOKUP(G284,'BASE PASAJEROS'!A:AH,34,FALSE)</f>
        <v>#N/A</v>
      </c>
      <c r="X284" s="155" t="s">
        <v>368</v>
      </c>
      <c r="Y284" s="124" t="s">
        <v>374</v>
      </c>
      <c r="Z284" s="124" t="s">
        <v>328</v>
      </c>
      <c r="AA284" s="128" t="s">
        <v>452</v>
      </c>
      <c r="AB284" s="128" t="e">
        <f>VLOOKUP(AA284,'BASE BANCOS'!$A$2:$D$202,3,FALSE)</f>
        <v>#N/A</v>
      </c>
      <c r="AC284" s="128" t="s">
        <v>453</v>
      </c>
      <c r="AD284" s="129" t="e">
        <f>VLOOKUP(AC284,'BASE CONDUCTORES'!E:G,3,FALSE)</f>
        <v>#N/A</v>
      </c>
      <c r="AE284" s="155"/>
      <c r="AF284" s="150"/>
      <c r="AG284" s="75"/>
      <c r="AH284" s="150"/>
      <c r="AI284" s="75"/>
      <c r="AJ284" s="79"/>
      <c r="AK284" s="124" t="s">
        <v>410</v>
      </c>
      <c r="AL284" s="79"/>
      <c r="AM284" s="79"/>
      <c r="AN284" s="79"/>
      <c r="AO284" s="75"/>
      <c r="AP284" s="75"/>
      <c r="AQ284" s="79"/>
      <c r="AR284" s="79"/>
      <c r="AS284" s="79"/>
      <c r="AT284" s="79"/>
      <c r="AU284" s="104"/>
      <c r="AV284" s="105"/>
      <c r="AW284" s="79"/>
      <c r="AX284" s="79"/>
      <c r="AY284" s="79"/>
      <c r="AZ284" s="79"/>
    </row>
    <row r="285" spans="3:52" ht="15.75" x14ac:dyDescent="0.25">
      <c r="C285" s="127">
        <v>44323</v>
      </c>
      <c r="D285" s="128" t="s">
        <v>29</v>
      </c>
      <c r="E285" s="128" t="s">
        <v>33</v>
      </c>
      <c r="F285" s="124">
        <v>1</v>
      </c>
      <c r="G285" s="175" t="s">
        <v>336</v>
      </c>
      <c r="K285" s="128" t="e">
        <f>VLOOKUP(G285,'BASE PASAJEROS'!A:B,2,FALSE)</f>
        <v>#N/A</v>
      </c>
      <c r="L285" s="128" t="s">
        <v>316</v>
      </c>
      <c r="M285" s="128" t="e">
        <f>VLOOKUP(G285,'BASE PASAJEROS'!A:H,8,FALSE)</f>
        <v>#N/A</v>
      </c>
      <c r="P285" s="128" t="e">
        <f>VLOOKUP(G285,'BASE PASAJEROS'!A:F,6,FALSE)</f>
        <v>#N/A</v>
      </c>
      <c r="Q285" s="128" t="e">
        <f>VLOOKUP(G285,'BASE PASAJEROS'!A:C,3,FALSE)</f>
        <v>#N/A</v>
      </c>
      <c r="R285" s="128" t="e">
        <f>VLOOKUP(G285,'BASE PASAJEROS'!A:G,7,FALSE)</f>
        <v>#N/A</v>
      </c>
      <c r="S285" s="128" t="s">
        <v>305</v>
      </c>
      <c r="T285" s="128" t="s">
        <v>409</v>
      </c>
      <c r="U285" s="130" t="e">
        <f>VLOOKUP(G285,'BASE PASAJEROS'!A:AG,33,FALSE)</f>
        <v>#N/A</v>
      </c>
      <c r="V285" s="130" t="e">
        <f>VLOOKUP(G285,'BASE PASAJEROS'!A:AH,34,FALSE)</f>
        <v>#N/A</v>
      </c>
      <c r="W285" s="124"/>
      <c r="X285" s="155" t="s">
        <v>368</v>
      </c>
      <c r="Y285" s="124" t="s">
        <v>374</v>
      </c>
      <c r="Z285" s="124" t="s">
        <v>328</v>
      </c>
      <c r="AA285" s="128" t="s">
        <v>317</v>
      </c>
      <c r="AB285" s="128" t="e">
        <f>VLOOKUP(AA285,'BASE BANCOS'!$A$2:$D$202,3,FALSE)</f>
        <v>#N/A</v>
      </c>
      <c r="AC285" s="143" t="s">
        <v>369</v>
      </c>
      <c r="AD285" s="129" t="e">
        <f>VLOOKUP(AC285,'BASE CONDUCTORES'!E:G,3,FALSE)</f>
        <v>#N/A</v>
      </c>
    </row>
    <row r="286" spans="3:52" s="124" customFormat="1" ht="15.75" x14ac:dyDescent="0.25">
      <c r="C286" s="127">
        <v>44323</v>
      </c>
      <c r="D286" s="128" t="s">
        <v>29</v>
      </c>
      <c r="E286" s="128" t="s">
        <v>33</v>
      </c>
      <c r="F286" s="124">
        <v>1</v>
      </c>
      <c r="G286" s="167" t="s">
        <v>337</v>
      </c>
      <c r="J286" s="149"/>
      <c r="K286" s="128" t="e">
        <f>VLOOKUP(G286,'BASE PASAJEROS'!A:B,2,FALSE)</f>
        <v>#N/A</v>
      </c>
      <c r="L286" s="128" t="s">
        <v>316</v>
      </c>
      <c r="M286" s="128" t="e">
        <f>VLOOKUP(G286,'BASE PASAJEROS'!A:H,8,FALSE)</f>
        <v>#N/A</v>
      </c>
      <c r="N286" s="79"/>
      <c r="O286" s="79"/>
      <c r="P286" s="128" t="e">
        <f>VLOOKUP(G286,'BASE PASAJEROS'!A:F,6,FALSE)</f>
        <v>#N/A</v>
      </c>
      <c r="Q286" s="128" t="e">
        <f>VLOOKUP(G286,'BASE PASAJEROS'!A:C,3,FALSE)</f>
        <v>#N/A</v>
      </c>
      <c r="R286" s="128" t="e">
        <f>VLOOKUP(G286,'BASE PASAJEROS'!A:G,7,FALSE)</f>
        <v>#N/A</v>
      </c>
      <c r="S286" s="128" t="s">
        <v>305</v>
      </c>
      <c r="T286" s="128" t="s">
        <v>409</v>
      </c>
      <c r="U286" s="130" t="e">
        <f>VLOOKUP(G286,'BASE PASAJEROS'!A:AG,33,FALSE)</f>
        <v>#N/A</v>
      </c>
      <c r="V286" s="130" t="e">
        <f>VLOOKUP(G286,'BASE PASAJEROS'!A:AH,34,FALSE)</f>
        <v>#N/A</v>
      </c>
      <c r="X286" s="155" t="s">
        <v>368</v>
      </c>
      <c r="Y286" s="124" t="s">
        <v>374</v>
      </c>
      <c r="Z286" s="124" t="s">
        <v>328</v>
      </c>
      <c r="AA286" s="128" t="s">
        <v>317</v>
      </c>
      <c r="AB286" s="128" t="e">
        <f>VLOOKUP(AA286,'BASE BANCOS'!$A$2:$D$202,3,FALSE)</f>
        <v>#N/A</v>
      </c>
      <c r="AC286" s="79" t="s">
        <v>405</v>
      </c>
      <c r="AD286" s="129" t="e">
        <f>VLOOKUP(AC286,'BASE CONDUCTORES'!E:G,3,FALSE)</f>
        <v>#N/A</v>
      </c>
      <c r="AE286" s="155"/>
      <c r="AF286" s="150"/>
      <c r="AG286" s="150"/>
      <c r="AH286" s="150"/>
      <c r="AI286" s="150"/>
      <c r="AO286" s="150"/>
      <c r="AP286" s="150"/>
      <c r="AU286" s="151"/>
      <c r="AV286" s="133"/>
    </row>
    <row r="287" spans="3:52" s="124" customFormat="1" ht="15.75" x14ac:dyDescent="0.25">
      <c r="C287" s="127">
        <v>44323</v>
      </c>
      <c r="D287" s="128" t="s">
        <v>29</v>
      </c>
      <c r="E287" s="128" t="s">
        <v>33</v>
      </c>
      <c r="F287" s="124">
        <v>1</v>
      </c>
      <c r="G287" s="166" t="s">
        <v>338</v>
      </c>
      <c r="J287" s="149"/>
      <c r="K287" s="128" t="e">
        <f>VLOOKUP(G287,'BASE PASAJEROS'!A:B,2,FALSE)</f>
        <v>#N/A</v>
      </c>
      <c r="L287" s="128" t="s">
        <v>316</v>
      </c>
      <c r="M287" s="128" t="e">
        <f>VLOOKUP(G287,'BASE PASAJEROS'!A:H,8,FALSE)</f>
        <v>#N/A</v>
      </c>
      <c r="N287" s="79"/>
      <c r="O287" s="79"/>
      <c r="P287" s="128" t="e">
        <f>VLOOKUP(G287,'BASE PASAJEROS'!A:F,6,FALSE)</f>
        <v>#N/A</v>
      </c>
      <c r="Q287" s="128" t="e">
        <f>VLOOKUP(G287,'BASE PASAJEROS'!A:C,3,FALSE)</f>
        <v>#N/A</v>
      </c>
      <c r="R287" s="128" t="e">
        <f>VLOOKUP(G287,'BASE PASAJEROS'!A:G,7,FALSE)</f>
        <v>#N/A</v>
      </c>
      <c r="S287" s="128" t="s">
        <v>305</v>
      </c>
      <c r="T287" s="128" t="s">
        <v>409</v>
      </c>
      <c r="U287" s="130" t="e">
        <f>VLOOKUP(G287,'BASE PASAJEROS'!A:AG,33,FALSE)</f>
        <v>#N/A</v>
      </c>
      <c r="V287" s="130" t="e">
        <f>VLOOKUP(G287,'BASE PASAJEROS'!A:AH,34,FALSE)</f>
        <v>#N/A</v>
      </c>
      <c r="X287" s="155" t="s">
        <v>368</v>
      </c>
      <c r="Y287" s="124" t="s">
        <v>374</v>
      </c>
      <c r="Z287" s="124" t="s">
        <v>328</v>
      </c>
      <c r="AA287" s="128" t="s">
        <v>317</v>
      </c>
      <c r="AB287" s="128" t="e">
        <f>VLOOKUP(AA287,'BASE BANCOS'!$A$2:$D$202,3,FALSE)</f>
        <v>#N/A</v>
      </c>
      <c r="AC287" s="143" t="s">
        <v>369</v>
      </c>
      <c r="AD287" s="129" t="e">
        <f>VLOOKUP(AC287,'BASE CONDUCTORES'!E:G,3,FALSE)</f>
        <v>#N/A</v>
      </c>
      <c r="AE287" s="155"/>
      <c r="AF287" s="150"/>
      <c r="AG287" s="150"/>
      <c r="AH287" s="150"/>
      <c r="AI287" s="150"/>
      <c r="AO287" s="150"/>
      <c r="AP287" s="150"/>
      <c r="AU287" s="151"/>
      <c r="AV287" s="133"/>
    </row>
    <row r="288" spans="3:52" s="124" customFormat="1" ht="15.75" x14ac:dyDescent="0.25">
      <c r="C288" s="127">
        <v>44323</v>
      </c>
      <c r="D288" s="128" t="s">
        <v>29</v>
      </c>
      <c r="E288" s="128" t="s">
        <v>33</v>
      </c>
      <c r="F288" s="124">
        <v>1</v>
      </c>
      <c r="G288" s="166" t="s">
        <v>339</v>
      </c>
      <c r="J288" s="149"/>
      <c r="K288" s="128" t="e">
        <f>VLOOKUP(G288,'BASE PASAJEROS'!A:B,2,FALSE)</f>
        <v>#N/A</v>
      </c>
      <c r="L288" s="128" t="s">
        <v>316</v>
      </c>
      <c r="M288" s="128" t="e">
        <f>VLOOKUP(G288,'BASE PASAJEROS'!A:H,8,FALSE)</f>
        <v>#N/A</v>
      </c>
      <c r="N288" s="79"/>
      <c r="O288" s="79"/>
      <c r="P288" s="128" t="e">
        <f>VLOOKUP(G288,'BASE PASAJEROS'!A:F,6,FALSE)</f>
        <v>#N/A</v>
      </c>
      <c r="Q288" s="128" t="e">
        <f>VLOOKUP(G288,'BASE PASAJEROS'!A:C,3,FALSE)</f>
        <v>#N/A</v>
      </c>
      <c r="R288" s="128" t="e">
        <f>VLOOKUP(G288,'BASE PASAJEROS'!A:G,7,FALSE)</f>
        <v>#N/A</v>
      </c>
      <c r="S288" s="128" t="s">
        <v>305</v>
      </c>
      <c r="T288" s="128" t="s">
        <v>409</v>
      </c>
      <c r="U288" s="130" t="e">
        <f>VLOOKUP(G288,'BASE PASAJEROS'!A:AG,33,FALSE)</f>
        <v>#N/A</v>
      </c>
      <c r="V288" s="130" t="e">
        <f>VLOOKUP(G288,'BASE PASAJEROS'!A:AH,34,FALSE)</f>
        <v>#N/A</v>
      </c>
      <c r="X288" s="155" t="s">
        <v>368</v>
      </c>
      <c r="Y288" s="124" t="s">
        <v>374</v>
      </c>
      <c r="Z288" s="124" t="s">
        <v>328</v>
      </c>
      <c r="AA288" s="128" t="s">
        <v>317</v>
      </c>
      <c r="AB288" s="128" t="e">
        <f>VLOOKUP(AA288,'BASE BANCOS'!$A$2:$D$202,3,FALSE)</f>
        <v>#N/A</v>
      </c>
      <c r="AC288" s="143" t="s">
        <v>369</v>
      </c>
      <c r="AD288" s="129" t="e">
        <f>VLOOKUP(AC288,'BASE CONDUCTORES'!E:G,3,FALSE)</f>
        <v>#N/A</v>
      </c>
      <c r="AE288" s="155"/>
      <c r="AF288" s="150"/>
      <c r="AG288" s="150"/>
      <c r="AH288" s="150"/>
      <c r="AI288" s="150"/>
      <c r="AO288" s="150"/>
      <c r="AP288" s="150"/>
      <c r="AU288" s="151"/>
      <c r="AV288" s="133"/>
    </row>
    <row r="289" spans="3:48" s="124" customFormat="1" ht="15.75" x14ac:dyDescent="0.25">
      <c r="C289" s="127">
        <v>44323</v>
      </c>
      <c r="D289" s="128" t="s">
        <v>29</v>
      </c>
      <c r="E289" s="128" t="s">
        <v>33</v>
      </c>
      <c r="F289" s="124">
        <v>1</v>
      </c>
      <c r="G289" s="167" t="s">
        <v>340</v>
      </c>
      <c r="J289" s="149"/>
      <c r="K289" s="128" t="e">
        <f>VLOOKUP(G289,'BASE PASAJEROS'!A:B,2,FALSE)</f>
        <v>#N/A</v>
      </c>
      <c r="L289" s="128" t="s">
        <v>316</v>
      </c>
      <c r="M289" s="128" t="e">
        <f>VLOOKUP(G289,'BASE PASAJEROS'!A:H,8,FALSE)</f>
        <v>#N/A</v>
      </c>
      <c r="N289" s="79"/>
      <c r="O289" s="79"/>
      <c r="P289" s="128" t="e">
        <f>VLOOKUP(G289,'BASE PASAJEROS'!A:F,6,FALSE)</f>
        <v>#N/A</v>
      </c>
      <c r="Q289" s="128" t="e">
        <f>VLOOKUP(G289,'BASE PASAJEROS'!A:C,3,FALSE)</f>
        <v>#N/A</v>
      </c>
      <c r="R289" s="128" t="e">
        <f>VLOOKUP(G289,'BASE PASAJEROS'!A:G,7,FALSE)</f>
        <v>#N/A</v>
      </c>
      <c r="S289" s="128" t="s">
        <v>305</v>
      </c>
      <c r="T289" s="128" t="s">
        <v>409</v>
      </c>
      <c r="U289" s="130" t="e">
        <f>VLOOKUP(G289,'BASE PASAJEROS'!A:AG,33,FALSE)</f>
        <v>#N/A</v>
      </c>
      <c r="V289" s="130" t="e">
        <f>VLOOKUP(G289,'BASE PASAJEROS'!A:AH,34,FALSE)</f>
        <v>#N/A</v>
      </c>
      <c r="X289" s="155" t="s">
        <v>368</v>
      </c>
      <c r="Y289" s="124" t="s">
        <v>374</v>
      </c>
      <c r="Z289" s="124" t="s">
        <v>328</v>
      </c>
      <c r="AA289" s="128" t="s">
        <v>317</v>
      </c>
      <c r="AB289" s="128" t="e">
        <f>VLOOKUP(AA289,'BASE BANCOS'!$A$2:$D$202,3,FALSE)</f>
        <v>#N/A</v>
      </c>
      <c r="AC289" s="79" t="s">
        <v>405</v>
      </c>
      <c r="AD289" s="129" t="e">
        <f>VLOOKUP(AC289,'BASE CONDUCTORES'!E:G,3,FALSE)</f>
        <v>#N/A</v>
      </c>
      <c r="AE289" s="155"/>
      <c r="AF289" s="150"/>
      <c r="AG289" s="150"/>
      <c r="AH289" s="150"/>
      <c r="AI289" s="150"/>
      <c r="AO289" s="150"/>
      <c r="AP289" s="150"/>
      <c r="AU289" s="151"/>
      <c r="AV289" s="133"/>
    </row>
    <row r="290" spans="3:48" s="124" customFormat="1" ht="15.75" x14ac:dyDescent="0.25">
      <c r="C290" s="127">
        <v>44323</v>
      </c>
      <c r="D290" s="128" t="s">
        <v>29</v>
      </c>
      <c r="E290" s="128" t="s">
        <v>33</v>
      </c>
      <c r="F290" s="124">
        <v>1</v>
      </c>
      <c r="G290" s="166" t="s">
        <v>341</v>
      </c>
      <c r="J290" s="149"/>
      <c r="K290" s="128" t="e">
        <f>VLOOKUP(G290,'BASE PASAJEROS'!A:B,2,FALSE)</f>
        <v>#N/A</v>
      </c>
      <c r="L290" s="128" t="s">
        <v>316</v>
      </c>
      <c r="M290" s="128" t="e">
        <f>VLOOKUP(G290,'BASE PASAJEROS'!A:H,8,FALSE)</f>
        <v>#N/A</v>
      </c>
      <c r="N290" s="79"/>
      <c r="O290" s="79"/>
      <c r="P290" s="128" t="e">
        <f>VLOOKUP(G290,'BASE PASAJEROS'!A:F,6,FALSE)</f>
        <v>#N/A</v>
      </c>
      <c r="Q290" s="128" t="e">
        <f>VLOOKUP(G290,'BASE PASAJEROS'!A:C,3,FALSE)</f>
        <v>#N/A</v>
      </c>
      <c r="R290" s="128" t="e">
        <f>VLOOKUP(G290,'BASE PASAJEROS'!A:G,7,FALSE)</f>
        <v>#N/A</v>
      </c>
      <c r="S290" s="128" t="s">
        <v>305</v>
      </c>
      <c r="T290" s="128" t="s">
        <v>409</v>
      </c>
      <c r="U290" s="130" t="e">
        <f>VLOOKUP(G290,'BASE PASAJEROS'!A:AG,33,FALSE)</f>
        <v>#N/A</v>
      </c>
      <c r="V290" s="130" t="e">
        <f>VLOOKUP(G290,'BASE PASAJEROS'!A:AH,34,FALSE)</f>
        <v>#N/A</v>
      </c>
      <c r="X290" s="155" t="s">
        <v>368</v>
      </c>
      <c r="Y290" s="124" t="s">
        <v>374</v>
      </c>
      <c r="Z290" s="124" t="s">
        <v>328</v>
      </c>
      <c r="AA290" s="128" t="s">
        <v>317</v>
      </c>
      <c r="AB290" s="128" t="e">
        <f>VLOOKUP(AA290,'BASE BANCOS'!$A$2:$D$202,3,FALSE)</f>
        <v>#N/A</v>
      </c>
      <c r="AC290" s="143" t="s">
        <v>369</v>
      </c>
      <c r="AD290" s="129" t="e">
        <f>VLOOKUP(AC290,'BASE CONDUCTORES'!E:G,3,FALSE)</f>
        <v>#N/A</v>
      </c>
      <c r="AE290" s="155"/>
      <c r="AF290" s="150"/>
      <c r="AG290" s="150"/>
      <c r="AH290" s="150"/>
      <c r="AI290" s="150"/>
      <c r="AO290" s="150"/>
      <c r="AP290" s="150"/>
      <c r="AU290" s="151"/>
      <c r="AV290" s="133"/>
    </row>
    <row r="291" spans="3:48" s="124" customFormat="1" ht="15.75" x14ac:dyDescent="0.25">
      <c r="C291" s="127">
        <v>44323</v>
      </c>
      <c r="D291" s="128" t="s">
        <v>29</v>
      </c>
      <c r="E291" s="128" t="s">
        <v>33</v>
      </c>
      <c r="F291" s="124">
        <v>1</v>
      </c>
      <c r="G291" s="166" t="s">
        <v>342</v>
      </c>
      <c r="J291" s="149"/>
      <c r="K291" s="128" t="e">
        <f>VLOOKUP(G291,'BASE PASAJEROS'!A:B,2,FALSE)</f>
        <v>#N/A</v>
      </c>
      <c r="L291" s="128" t="s">
        <v>316</v>
      </c>
      <c r="M291" s="128" t="e">
        <f>VLOOKUP(G291,'BASE PASAJEROS'!A:H,8,FALSE)</f>
        <v>#N/A</v>
      </c>
      <c r="N291" s="79"/>
      <c r="O291" s="79"/>
      <c r="P291" s="128" t="e">
        <f>VLOOKUP(G291,'BASE PASAJEROS'!A:F,6,FALSE)</f>
        <v>#N/A</v>
      </c>
      <c r="Q291" s="128" t="e">
        <f>VLOOKUP(G291,'BASE PASAJEROS'!A:C,3,FALSE)</f>
        <v>#N/A</v>
      </c>
      <c r="R291" s="128" t="e">
        <f>VLOOKUP(G291,'BASE PASAJEROS'!A:G,7,FALSE)</f>
        <v>#N/A</v>
      </c>
      <c r="S291" s="128" t="s">
        <v>305</v>
      </c>
      <c r="T291" s="128" t="s">
        <v>409</v>
      </c>
      <c r="U291" s="130" t="e">
        <f>VLOOKUP(G291,'BASE PASAJEROS'!A:AG,33,FALSE)</f>
        <v>#N/A</v>
      </c>
      <c r="V291" s="130" t="e">
        <f>VLOOKUP(G291,'BASE PASAJEROS'!A:AH,34,FALSE)</f>
        <v>#N/A</v>
      </c>
      <c r="X291" s="155" t="s">
        <v>368</v>
      </c>
      <c r="Y291" s="124" t="s">
        <v>374</v>
      </c>
      <c r="Z291" s="124" t="s">
        <v>328</v>
      </c>
      <c r="AA291" s="128" t="s">
        <v>317</v>
      </c>
      <c r="AB291" s="128" t="e">
        <f>VLOOKUP(AA291,'BASE BANCOS'!$A$2:$D$202,3,FALSE)</f>
        <v>#N/A</v>
      </c>
      <c r="AC291" s="143" t="s">
        <v>369</v>
      </c>
      <c r="AD291" s="129" t="e">
        <f>VLOOKUP(AC291,'BASE CONDUCTORES'!E:G,3,FALSE)</f>
        <v>#N/A</v>
      </c>
      <c r="AE291" s="155"/>
      <c r="AF291" s="150"/>
      <c r="AG291" s="150"/>
      <c r="AH291" s="150"/>
      <c r="AI291" s="150"/>
      <c r="AO291" s="150"/>
      <c r="AP291" s="150"/>
      <c r="AU291" s="151"/>
      <c r="AV291" s="133"/>
    </row>
    <row r="292" spans="3:48" s="124" customFormat="1" ht="15.75" x14ac:dyDescent="0.25">
      <c r="C292" s="127">
        <v>44323</v>
      </c>
      <c r="D292" s="128" t="s">
        <v>29</v>
      </c>
      <c r="E292" s="128" t="s">
        <v>33</v>
      </c>
      <c r="F292" s="124">
        <v>1</v>
      </c>
      <c r="G292" s="166" t="s">
        <v>343</v>
      </c>
      <c r="J292" s="149"/>
      <c r="K292" s="128" t="e">
        <f>VLOOKUP(G292,'BASE PASAJEROS'!A:B,2,FALSE)</f>
        <v>#N/A</v>
      </c>
      <c r="L292" s="128" t="s">
        <v>316</v>
      </c>
      <c r="M292" s="128" t="e">
        <f>VLOOKUP(G292,'BASE PASAJEROS'!A:H,8,FALSE)</f>
        <v>#N/A</v>
      </c>
      <c r="N292" s="79"/>
      <c r="O292" s="79"/>
      <c r="P292" s="128" t="e">
        <f>VLOOKUP(G292,'BASE PASAJEROS'!A:F,6,FALSE)</f>
        <v>#N/A</v>
      </c>
      <c r="Q292" s="128" t="e">
        <f>VLOOKUP(G292,'BASE PASAJEROS'!A:C,3,FALSE)</f>
        <v>#N/A</v>
      </c>
      <c r="R292" s="128" t="e">
        <f>VLOOKUP(G292,'BASE PASAJEROS'!A:G,7,FALSE)</f>
        <v>#N/A</v>
      </c>
      <c r="S292" s="128" t="s">
        <v>305</v>
      </c>
      <c r="T292" s="128" t="s">
        <v>409</v>
      </c>
      <c r="U292" s="130" t="e">
        <f>VLOOKUP(G292,'BASE PASAJEROS'!A:AG,33,FALSE)</f>
        <v>#N/A</v>
      </c>
      <c r="V292" s="130" t="e">
        <f>VLOOKUP(G292,'BASE PASAJEROS'!A:AH,34,FALSE)</f>
        <v>#N/A</v>
      </c>
      <c r="X292" s="155" t="s">
        <v>368</v>
      </c>
      <c r="Y292" s="124" t="s">
        <v>374</v>
      </c>
      <c r="Z292" s="124" t="s">
        <v>328</v>
      </c>
      <c r="AA292" s="128" t="s">
        <v>317</v>
      </c>
      <c r="AB292" s="128" t="e">
        <f>VLOOKUP(AA292,'BASE BANCOS'!$A$2:$D$202,3,FALSE)</f>
        <v>#N/A</v>
      </c>
      <c r="AC292" s="143" t="s">
        <v>369</v>
      </c>
      <c r="AD292" s="129" t="e">
        <f>VLOOKUP(AC292,'BASE CONDUCTORES'!E:G,3,FALSE)</f>
        <v>#N/A</v>
      </c>
      <c r="AE292" s="155"/>
      <c r="AF292" s="150"/>
      <c r="AG292" s="150"/>
      <c r="AH292" s="150"/>
      <c r="AI292" s="150"/>
      <c r="AO292" s="150"/>
      <c r="AP292" s="150"/>
      <c r="AU292" s="151"/>
      <c r="AV292" s="133"/>
    </row>
    <row r="293" spans="3:48" s="124" customFormat="1" ht="15.75" x14ac:dyDescent="0.25">
      <c r="C293" s="127">
        <v>44323</v>
      </c>
      <c r="D293" s="128" t="s">
        <v>29</v>
      </c>
      <c r="E293" s="128" t="s">
        <v>33</v>
      </c>
      <c r="F293" s="124">
        <v>1</v>
      </c>
      <c r="G293" s="167" t="s">
        <v>344</v>
      </c>
      <c r="J293" s="149"/>
      <c r="K293" s="128" t="e">
        <f>VLOOKUP(G293,'BASE PASAJEROS'!A:B,2,FALSE)</f>
        <v>#N/A</v>
      </c>
      <c r="L293" s="128" t="s">
        <v>316</v>
      </c>
      <c r="M293" s="128" t="e">
        <f>VLOOKUP(G293,'BASE PASAJEROS'!A:H,8,FALSE)</f>
        <v>#N/A</v>
      </c>
      <c r="N293" s="79"/>
      <c r="O293" s="79"/>
      <c r="P293" s="128" t="e">
        <f>VLOOKUP(G293,'BASE PASAJEROS'!A:F,6,FALSE)</f>
        <v>#N/A</v>
      </c>
      <c r="Q293" s="128" t="e">
        <f>VLOOKUP(G293,'BASE PASAJEROS'!A:C,3,FALSE)</f>
        <v>#N/A</v>
      </c>
      <c r="R293" s="128" t="e">
        <f>VLOOKUP(G293,'BASE PASAJEROS'!A:G,7,FALSE)</f>
        <v>#N/A</v>
      </c>
      <c r="S293" s="128" t="s">
        <v>305</v>
      </c>
      <c r="T293" s="128" t="s">
        <v>409</v>
      </c>
      <c r="U293" s="130" t="e">
        <f>VLOOKUP(G293,'BASE PASAJEROS'!A:AG,33,FALSE)</f>
        <v>#N/A</v>
      </c>
      <c r="V293" s="130" t="e">
        <f>VLOOKUP(G293,'BASE PASAJEROS'!A:AH,34,FALSE)</f>
        <v>#N/A</v>
      </c>
      <c r="X293" s="155" t="s">
        <v>368</v>
      </c>
      <c r="Y293" s="124" t="s">
        <v>374</v>
      </c>
      <c r="Z293" s="124" t="s">
        <v>328</v>
      </c>
      <c r="AA293" s="128" t="s">
        <v>317</v>
      </c>
      <c r="AB293" s="128" t="e">
        <f>VLOOKUP(AA293,'BASE BANCOS'!$A$2:$D$202,3,FALSE)</f>
        <v>#N/A</v>
      </c>
      <c r="AC293" s="79" t="s">
        <v>405</v>
      </c>
      <c r="AD293" s="129" t="e">
        <f>VLOOKUP(AC293,'BASE CONDUCTORES'!E:G,3,FALSE)</f>
        <v>#N/A</v>
      </c>
      <c r="AE293" s="155"/>
      <c r="AF293" s="150"/>
      <c r="AG293" s="150"/>
      <c r="AH293" s="150"/>
      <c r="AI293" s="150"/>
      <c r="AO293" s="150"/>
      <c r="AP293" s="150"/>
      <c r="AU293" s="151"/>
      <c r="AV293" s="133"/>
    </row>
    <row r="294" spans="3:48" s="124" customFormat="1" x14ac:dyDescent="0.25">
      <c r="C294" s="127">
        <v>44323</v>
      </c>
      <c r="D294" s="128" t="s">
        <v>29</v>
      </c>
      <c r="E294" s="128" t="s">
        <v>33</v>
      </c>
      <c r="F294" s="124">
        <v>1</v>
      </c>
      <c r="G294" s="155" t="s">
        <v>345</v>
      </c>
      <c r="J294" s="149"/>
      <c r="K294" s="128" t="e">
        <f>VLOOKUP(G294,'BASE PASAJEROS'!A:B,2,FALSE)</f>
        <v>#N/A</v>
      </c>
      <c r="L294" s="128" t="s">
        <v>316</v>
      </c>
      <c r="M294" s="128" t="e">
        <f>VLOOKUP(G294,'BASE PASAJEROS'!A:H,8,FALSE)</f>
        <v>#N/A</v>
      </c>
      <c r="N294" s="79"/>
      <c r="O294" s="79"/>
      <c r="P294" s="128" t="e">
        <f>VLOOKUP(G294,'BASE PASAJEROS'!A:F,6,FALSE)</f>
        <v>#N/A</v>
      </c>
      <c r="Q294" s="128" t="e">
        <f>VLOOKUP(G294,'BASE PASAJEROS'!A:C,3,FALSE)</f>
        <v>#N/A</v>
      </c>
      <c r="R294" s="128" t="e">
        <f>VLOOKUP(G294,'BASE PASAJEROS'!A:G,7,FALSE)</f>
        <v>#N/A</v>
      </c>
      <c r="S294" s="128" t="s">
        <v>305</v>
      </c>
      <c r="T294" s="128" t="s">
        <v>409</v>
      </c>
      <c r="U294" s="130" t="e">
        <f>VLOOKUP(G294,'BASE PASAJEROS'!A:AG,33,FALSE)</f>
        <v>#N/A</v>
      </c>
      <c r="V294" s="130" t="e">
        <f>VLOOKUP(G294,'BASE PASAJEROS'!A:AH,34,FALSE)</f>
        <v>#N/A</v>
      </c>
      <c r="X294" s="155" t="s">
        <v>368</v>
      </c>
      <c r="Y294" s="124" t="s">
        <v>374</v>
      </c>
      <c r="Z294" s="124" t="s">
        <v>328</v>
      </c>
      <c r="AA294" s="173" t="s">
        <v>414</v>
      </c>
      <c r="AB294" s="128" t="e">
        <f>VLOOKUP(AA294,'BASE BANCOS'!$A$2:$D$202,3,FALSE)</f>
        <v>#N/A</v>
      </c>
      <c r="AC294" s="173" t="s">
        <v>414</v>
      </c>
      <c r="AD294" s="129" t="e">
        <f>VLOOKUP(AC294,'BASE CONDUCTORES'!E:G,3,FALSE)</f>
        <v>#N/A</v>
      </c>
      <c r="AE294" s="155"/>
      <c r="AF294" s="150"/>
      <c r="AG294" s="150"/>
      <c r="AH294" s="150"/>
      <c r="AI294" s="150"/>
      <c r="AO294" s="150"/>
      <c r="AP294" s="150"/>
      <c r="AU294" s="151"/>
      <c r="AV294" s="133"/>
    </row>
    <row r="295" spans="3:48" s="124" customFormat="1" x14ac:dyDescent="0.25">
      <c r="C295" s="127">
        <v>44323</v>
      </c>
      <c r="D295" s="128" t="s">
        <v>29</v>
      </c>
      <c r="E295" s="128" t="s">
        <v>33</v>
      </c>
      <c r="F295" s="124">
        <v>1</v>
      </c>
      <c r="G295" s="155" t="s">
        <v>346</v>
      </c>
      <c r="J295" s="149"/>
      <c r="K295" s="128" t="e">
        <f>VLOOKUP(G295,'BASE PASAJEROS'!A:B,2,FALSE)</f>
        <v>#N/A</v>
      </c>
      <c r="L295" s="128" t="s">
        <v>316</v>
      </c>
      <c r="M295" s="128" t="e">
        <f>VLOOKUP(G295,'BASE PASAJEROS'!A:H,8,FALSE)</f>
        <v>#N/A</v>
      </c>
      <c r="N295" s="79"/>
      <c r="O295" s="79"/>
      <c r="P295" s="128" t="e">
        <f>VLOOKUP(G295,'BASE PASAJEROS'!A:F,6,FALSE)</f>
        <v>#N/A</v>
      </c>
      <c r="Q295" s="128" t="e">
        <f>VLOOKUP(G295,'BASE PASAJEROS'!A:C,3,FALSE)</f>
        <v>#N/A</v>
      </c>
      <c r="R295" s="128" t="e">
        <f>VLOOKUP(G295,'BASE PASAJEROS'!A:G,7,FALSE)</f>
        <v>#N/A</v>
      </c>
      <c r="S295" s="128" t="s">
        <v>305</v>
      </c>
      <c r="T295" s="128" t="s">
        <v>409</v>
      </c>
      <c r="U295" s="130" t="e">
        <f>VLOOKUP(G295,'BASE PASAJEROS'!A:AG,33,FALSE)</f>
        <v>#N/A</v>
      </c>
      <c r="V295" s="130" t="e">
        <f>VLOOKUP(G295,'BASE PASAJEROS'!A:AH,34,FALSE)</f>
        <v>#N/A</v>
      </c>
      <c r="X295" s="155" t="s">
        <v>368</v>
      </c>
      <c r="Y295" s="124" t="s">
        <v>374</v>
      </c>
      <c r="Z295" s="124" t="s">
        <v>328</v>
      </c>
      <c r="AA295" s="173" t="s">
        <v>414</v>
      </c>
      <c r="AB295" s="128" t="e">
        <f>VLOOKUP(AA295,'BASE BANCOS'!$A$2:$D$202,3,FALSE)</f>
        <v>#N/A</v>
      </c>
      <c r="AC295" s="173" t="s">
        <v>414</v>
      </c>
      <c r="AD295" s="129" t="e">
        <f>VLOOKUP(AC295,'BASE CONDUCTORES'!E:G,3,FALSE)</f>
        <v>#N/A</v>
      </c>
      <c r="AE295" s="155"/>
      <c r="AF295" s="150"/>
      <c r="AG295" s="150"/>
      <c r="AH295" s="150"/>
      <c r="AI295" s="150"/>
      <c r="AO295" s="150"/>
      <c r="AP295" s="150"/>
      <c r="AU295" s="151"/>
      <c r="AV295" s="133"/>
    </row>
    <row r="296" spans="3:48" s="124" customFormat="1" ht="15.75" x14ac:dyDescent="0.25">
      <c r="C296" s="127">
        <v>44323</v>
      </c>
      <c r="D296" s="128" t="s">
        <v>29</v>
      </c>
      <c r="E296" s="128" t="s">
        <v>33</v>
      </c>
      <c r="F296" s="124">
        <v>1</v>
      </c>
      <c r="G296" s="166" t="s">
        <v>347</v>
      </c>
      <c r="J296" s="149"/>
      <c r="K296" s="128" t="e">
        <f>VLOOKUP(G296,'BASE PASAJEROS'!A:B,2,FALSE)</f>
        <v>#N/A</v>
      </c>
      <c r="L296" s="128" t="s">
        <v>316</v>
      </c>
      <c r="M296" s="128" t="e">
        <f>VLOOKUP(G296,'BASE PASAJEROS'!A:H,8,FALSE)</f>
        <v>#N/A</v>
      </c>
      <c r="N296" s="79"/>
      <c r="O296" s="79"/>
      <c r="P296" s="128" t="e">
        <f>VLOOKUP(G296,'BASE PASAJEROS'!A:F,6,FALSE)</f>
        <v>#N/A</v>
      </c>
      <c r="Q296" s="128" t="e">
        <f>VLOOKUP(G296,'BASE PASAJEROS'!A:C,3,FALSE)</f>
        <v>#N/A</v>
      </c>
      <c r="R296" s="128" t="e">
        <f>VLOOKUP(G296,'BASE PASAJEROS'!A:G,7,FALSE)</f>
        <v>#N/A</v>
      </c>
      <c r="S296" s="128" t="s">
        <v>305</v>
      </c>
      <c r="T296" s="128" t="s">
        <v>409</v>
      </c>
      <c r="U296" s="130" t="e">
        <f>VLOOKUP(G296,'BASE PASAJEROS'!A:AG,33,FALSE)</f>
        <v>#N/A</v>
      </c>
      <c r="V296" s="130" t="e">
        <f>VLOOKUP(G296,'BASE PASAJEROS'!A:AH,34,FALSE)</f>
        <v>#N/A</v>
      </c>
      <c r="X296" s="155" t="s">
        <v>368</v>
      </c>
      <c r="Y296" s="124" t="s">
        <v>374</v>
      </c>
      <c r="Z296" s="124" t="s">
        <v>328</v>
      </c>
      <c r="AA296" s="128" t="s">
        <v>317</v>
      </c>
      <c r="AB296" s="128" t="e">
        <f>VLOOKUP(AA296,'BASE BANCOS'!$A$2:$D$202,3,FALSE)</f>
        <v>#N/A</v>
      </c>
      <c r="AC296" s="143" t="s">
        <v>369</v>
      </c>
      <c r="AD296" s="129" t="e">
        <f>VLOOKUP(AC296,'BASE CONDUCTORES'!E:G,3,FALSE)</f>
        <v>#N/A</v>
      </c>
      <c r="AE296" s="155"/>
      <c r="AF296" s="150"/>
      <c r="AG296" s="150"/>
      <c r="AH296" s="150"/>
      <c r="AI296" s="150"/>
      <c r="AO296" s="150"/>
      <c r="AP296" s="150"/>
      <c r="AU296" s="151"/>
      <c r="AV296" s="133"/>
    </row>
    <row r="297" spans="3:48" s="124" customFormat="1" ht="15.75" x14ac:dyDescent="0.25">
      <c r="C297" s="127">
        <v>44323</v>
      </c>
      <c r="D297" s="128" t="s">
        <v>29</v>
      </c>
      <c r="E297" s="128" t="s">
        <v>33</v>
      </c>
      <c r="F297" s="124">
        <v>1</v>
      </c>
      <c r="G297" s="167" t="s">
        <v>348</v>
      </c>
      <c r="J297" s="149"/>
      <c r="K297" s="128" t="e">
        <f>VLOOKUP(G297,'BASE PASAJEROS'!A:B,2,FALSE)</f>
        <v>#N/A</v>
      </c>
      <c r="L297" s="128" t="s">
        <v>316</v>
      </c>
      <c r="M297" s="128" t="e">
        <f>VLOOKUP(G297,'BASE PASAJEROS'!A:H,8,FALSE)</f>
        <v>#N/A</v>
      </c>
      <c r="N297" s="79"/>
      <c r="O297" s="79"/>
      <c r="P297" s="128" t="e">
        <f>VLOOKUP(G297,'BASE PASAJEROS'!A:F,6,FALSE)</f>
        <v>#N/A</v>
      </c>
      <c r="Q297" s="128" t="e">
        <f>VLOOKUP(G297,'BASE PASAJEROS'!A:C,3,FALSE)</f>
        <v>#N/A</v>
      </c>
      <c r="R297" s="128" t="e">
        <f>VLOOKUP(G297,'BASE PASAJEROS'!A:G,7,FALSE)</f>
        <v>#N/A</v>
      </c>
      <c r="S297" s="128" t="s">
        <v>305</v>
      </c>
      <c r="T297" s="128" t="s">
        <v>409</v>
      </c>
      <c r="U297" s="130" t="e">
        <f>VLOOKUP(G297,'BASE PASAJEROS'!A:AG,33,FALSE)</f>
        <v>#N/A</v>
      </c>
      <c r="V297" s="130" t="e">
        <f>VLOOKUP(G297,'BASE PASAJEROS'!A:AH,34,FALSE)</f>
        <v>#N/A</v>
      </c>
      <c r="X297" s="155" t="s">
        <v>368</v>
      </c>
      <c r="Y297" s="124" t="s">
        <v>374</v>
      </c>
      <c r="Z297" s="124" t="s">
        <v>328</v>
      </c>
      <c r="AA297" s="128" t="s">
        <v>317</v>
      </c>
      <c r="AB297" s="128" t="e">
        <f>VLOOKUP(AA297,'BASE BANCOS'!$A$2:$D$202,3,FALSE)</f>
        <v>#N/A</v>
      </c>
      <c r="AC297" s="79" t="s">
        <v>405</v>
      </c>
      <c r="AD297" s="129" t="e">
        <f>VLOOKUP(AC297,'BASE CONDUCTORES'!E:G,3,FALSE)</f>
        <v>#N/A</v>
      </c>
      <c r="AE297" s="155"/>
      <c r="AF297" s="150"/>
      <c r="AG297" s="150"/>
      <c r="AH297" s="150"/>
      <c r="AI297" s="150"/>
      <c r="AO297" s="150"/>
      <c r="AP297" s="150"/>
      <c r="AU297" s="151"/>
      <c r="AV297" s="133"/>
    </row>
    <row r="298" spans="3:48" s="124" customFormat="1" ht="15.75" x14ac:dyDescent="0.25">
      <c r="C298" s="127">
        <v>44323</v>
      </c>
      <c r="D298" s="128" t="s">
        <v>29</v>
      </c>
      <c r="E298" s="128" t="s">
        <v>33</v>
      </c>
      <c r="F298" s="124">
        <v>1</v>
      </c>
      <c r="G298" s="166" t="s">
        <v>349</v>
      </c>
      <c r="J298" s="149"/>
      <c r="K298" s="128" t="e">
        <f>VLOOKUP(G298,'BASE PASAJEROS'!A:B,2,FALSE)</f>
        <v>#N/A</v>
      </c>
      <c r="L298" s="128" t="s">
        <v>316</v>
      </c>
      <c r="M298" s="128" t="e">
        <f>VLOOKUP(G298,'BASE PASAJEROS'!A:H,8,FALSE)</f>
        <v>#N/A</v>
      </c>
      <c r="N298" s="79"/>
      <c r="O298" s="79"/>
      <c r="P298" s="128" t="e">
        <f>VLOOKUP(G298,'BASE PASAJEROS'!A:F,6,FALSE)</f>
        <v>#N/A</v>
      </c>
      <c r="Q298" s="128" t="e">
        <f>VLOOKUP(G298,'BASE PASAJEROS'!A:C,3,FALSE)</f>
        <v>#N/A</v>
      </c>
      <c r="R298" s="128" t="e">
        <f>VLOOKUP(G298,'BASE PASAJEROS'!A:G,7,FALSE)</f>
        <v>#N/A</v>
      </c>
      <c r="S298" s="128" t="s">
        <v>305</v>
      </c>
      <c r="T298" s="128" t="s">
        <v>409</v>
      </c>
      <c r="U298" s="130" t="e">
        <f>VLOOKUP(G298,'BASE PASAJEROS'!A:AG,33,FALSE)</f>
        <v>#N/A</v>
      </c>
      <c r="V298" s="130" t="e">
        <f>VLOOKUP(G298,'BASE PASAJEROS'!A:AH,34,FALSE)</f>
        <v>#N/A</v>
      </c>
      <c r="X298" s="155" t="s">
        <v>368</v>
      </c>
      <c r="Y298" s="124" t="s">
        <v>374</v>
      </c>
      <c r="Z298" s="124" t="s">
        <v>328</v>
      </c>
      <c r="AA298" s="128" t="s">
        <v>317</v>
      </c>
      <c r="AB298" s="128" t="e">
        <f>VLOOKUP(AA298,'BASE BANCOS'!$A$2:$D$202,3,FALSE)</f>
        <v>#N/A</v>
      </c>
      <c r="AC298" s="143" t="s">
        <v>369</v>
      </c>
      <c r="AD298" s="129" t="e">
        <f>VLOOKUP(AC298,'BASE CONDUCTORES'!E:G,3,FALSE)</f>
        <v>#N/A</v>
      </c>
      <c r="AE298" s="155"/>
      <c r="AF298" s="150"/>
      <c r="AG298" s="150"/>
      <c r="AH298" s="150"/>
      <c r="AI298" s="150"/>
      <c r="AO298" s="150"/>
      <c r="AP298" s="150"/>
      <c r="AU298" s="151"/>
      <c r="AV298" s="133"/>
    </row>
    <row r="299" spans="3:48" s="124" customFormat="1" ht="15.75" x14ac:dyDescent="0.25">
      <c r="C299" s="127">
        <v>44323</v>
      </c>
      <c r="D299" s="128" t="s">
        <v>29</v>
      </c>
      <c r="E299" s="128" t="s">
        <v>33</v>
      </c>
      <c r="F299" s="124">
        <v>1</v>
      </c>
      <c r="G299" s="167" t="s">
        <v>350</v>
      </c>
      <c r="J299" s="149"/>
      <c r="K299" s="128" t="e">
        <f>VLOOKUP(G299,'BASE PASAJEROS'!A:B,2,FALSE)</f>
        <v>#N/A</v>
      </c>
      <c r="L299" s="128" t="s">
        <v>316</v>
      </c>
      <c r="M299" s="128" t="e">
        <f>VLOOKUP(G299,'BASE PASAJEROS'!A:H,8,FALSE)</f>
        <v>#N/A</v>
      </c>
      <c r="N299" s="79"/>
      <c r="O299" s="79"/>
      <c r="P299" s="128" t="e">
        <f>VLOOKUP(G299,'BASE PASAJEROS'!A:F,6,FALSE)</f>
        <v>#N/A</v>
      </c>
      <c r="Q299" s="128" t="e">
        <f>VLOOKUP(G299,'BASE PASAJEROS'!A:C,3,FALSE)</f>
        <v>#N/A</v>
      </c>
      <c r="R299" s="128" t="e">
        <f>VLOOKUP(G299,'BASE PASAJEROS'!A:G,7,FALSE)</f>
        <v>#N/A</v>
      </c>
      <c r="S299" s="128" t="s">
        <v>305</v>
      </c>
      <c r="T299" s="128" t="s">
        <v>409</v>
      </c>
      <c r="U299" s="130" t="e">
        <f>VLOOKUP(G299,'BASE PASAJEROS'!A:AG,33,FALSE)</f>
        <v>#N/A</v>
      </c>
      <c r="V299" s="130" t="e">
        <f>VLOOKUP(G299,'BASE PASAJEROS'!A:AH,34,FALSE)</f>
        <v>#N/A</v>
      </c>
      <c r="X299" s="155" t="s">
        <v>368</v>
      </c>
      <c r="Y299" s="124" t="s">
        <v>374</v>
      </c>
      <c r="Z299" s="124" t="s">
        <v>328</v>
      </c>
      <c r="AA299" s="128" t="s">
        <v>317</v>
      </c>
      <c r="AB299" s="128" t="e">
        <f>VLOOKUP(AA299,'BASE BANCOS'!$A$2:$D$202,3,FALSE)</f>
        <v>#N/A</v>
      </c>
      <c r="AC299" s="79" t="s">
        <v>405</v>
      </c>
      <c r="AD299" s="129" t="e">
        <f>VLOOKUP(AC299,'BASE CONDUCTORES'!E:G,3,FALSE)</f>
        <v>#N/A</v>
      </c>
      <c r="AE299" s="155"/>
      <c r="AF299" s="150"/>
      <c r="AG299" s="150"/>
      <c r="AH299" s="150"/>
      <c r="AI299" s="150"/>
      <c r="AO299" s="150"/>
      <c r="AP299" s="150"/>
      <c r="AU299" s="151"/>
      <c r="AV299" s="133"/>
    </row>
    <row r="300" spans="3:48" s="124" customFormat="1" ht="15.75" x14ac:dyDescent="0.25">
      <c r="C300" s="127">
        <v>44323</v>
      </c>
      <c r="D300" s="128" t="s">
        <v>29</v>
      </c>
      <c r="E300" s="128" t="s">
        <v>33</v>
      </c>
      <c r="F300" s="124">
        <v>1</v>
      </c>
      <c r="G300" s="167" t="s">
        <v>351</v>
      </c>
      <c r="J300" s="149"/>
      <c r="K300" s="128" t="e">
        <f>VLOOKUP(G300,'BASE PASAJEROS'!A:B,2,FALSE)</f>
        <v>#N/A</v>
      </c>
      <c r="L300" s="128" t="s">
        <v>316</v>
      </c>
      <c r="M300" s="128" t="e">
        <f>VLOOKUP(G300,'BASE PASAJEROS'!A:H,8,FALSE)</f>
        <v>#N/A</v>
      </c>
      <c r="N300" s="79"/>
      <c r="O300" s="79"/>
      <c r="P300" s="128" t="e">
        <f>VLOOKUP(G300,'BASE PASAJEROS'!A:F,6,FALSE)</f>
        <v>#N/A</v>
      </c>
      <c r="Q300" s="128" t="e">
        <f>VLOOKUP(G300,'BASE PASAJEROS'!A:C,3,FALSE)</f>
        <v>#N/A</v>
      </c>
      <c r="R300" s="128" t="e">
        <f>VLOOKUP(G300,'BASE PASAJEROS'!A:G,7,FALSE)</f>
        <v>#N/A</v>
      </c>
      <c r="S300" s="128" t="s">
        <v>305</v>
      </c>
      <c r="T300" s="128" t="s">
        <v>409</v>
      </c>
      <c r="U300" s="130" t="e">
        <f>VLOOKUP(G300,'BASE PASAJEROS'!A:AG,33,FALSE)</f>
        <v>#N/A</v>
      </c>
      <c r="V300" s="130" t="e">
        <f>VLOOKUP(G300,'BASE PASAJEROS'!A:AH,34,FALSE)</f>
        <v>#N/A</v>
      </c>
      <c r="X300" s="155" t="s">
        <v>368</v>
      </c>
      <c r="Y300" s="124" t="s">
        <v>374</v>
      </c>
      <c r="Z300" s="124" t="s">
        <v>328</v>
      </c>
      <c r="AA300" s="128" t="s">
        <v>317</v>
      </c>
      <c r="AB300" s="128" t="e">
        <f>VLOOKUP(AA300,'BASE BANCOS'!$A$2:$D$202,3,FALSE)</f>
        <v>#N/A</v>
      </c>
      <c r="AC300" s="79" t="s">
        <v>405</v>
      </c>
      <c r="AD300" s="129" t="e">
        <f>VLOOKUP(AC300,'BASE CONDUCTORES'!E:G,3,FALSE)</f>
        <v>#N/A</v>
      </c>
      <c r="AE300" s="155"/>
      <c r="AF300" s="150"/>
      <c r="AG300" s="150"/>
      <c r="AH300" s="150"/>
      <c r="AI300" s="150"/>
      <c r="AO300" s="150"/>
      <c r="AP300" s="150"/>
      <c r="AU300" s="151"/>
      <c r="AV300" s="133"/>
    </row>
    <row r="301" spans="3:48" s="124" customFormat="1" x14ac:dyDescent="0.25">
      <c r="C301" s="127">
        <v>44323</v>
      </c>
      <c r="D301" s="128" t="s">
        <v>29</v>
      </c>
      <c r="E301" s="128" t="s">
        <v>33</v>
      </c>
      <c r="F301" s="124">
        <v>1</v>
      </c>
      <c r="G301" s="155" t="s">
        <v>352</v>
      </c>
      <c r="J301" s="149"/>
      <c r="K301" s="128" t="e">
        <f>VLOOKUP(G301,'BASE PASAJEROS'!A:B,2,FALSE)</f>
        <v>#N/A</v>
      </c>
      <c r="L301" s="128" t="s">
        <v>316</v>
      </c>
      <c r="M301" s="128" t="e">
        <f>VLOOKUP(G301,'BASE PASAJEROS'!A:H,8,FALSE)</f>
        <v>#N/A</v>
      </c>
      <c r="N301" s="79"/>
      <c r="O301" s="79"/>
      <c r="P301" s="128" t="e">
        <f>VLOOKUP(G301,'BASE PASAJEROS'!A:F,6,FALSE)</f>
        <v>#N/A</v>
      </c>
      <c r="Q301" s="128" t="e">
        <f>VLOOKUP(G301,'BASE PASAJEROS'!A:C,3,FALSE)</f>
        <v>#N/A</v>
      </c>
      <c r="R301" s="128" t="e">
        <f>VLOOKUP(G301,'BASE PASAJEROS'!A:G,7,FALSE)</f>
        <v>#N/A</v>
      </c>
      <c r="S301" s="128" t="s">
        <v>305</v>
      </c>
      <c r="T301" s="128" t="s">
        <v>409</v>
      </c>
      <c r="U301" s="130" t="e">
        <f>VLOOKUP(G301,'BASE PASAJEROS'!A:AG,33,FALSE)</f>
        <v>#N/A</v>
      </c>
      <c r="V301" s="130" t="e">
        <f>VLOOKUP(G301,'BASE PASAJEROS'!A:AH,34,FALSE)</f>
        <v>#N/A</v>
      </c>
      <c r="X301" s="155" t="s">
        <v>368</v>
      </c>
      <c r="Y301" s="124" t="s">
        <v>374</v>
      </c>
      <c r="Z301" s="124" t="s">
        <v>328</v>
      </c>
      <c r="AA301" s="128" t="s">
        <v>452</v>
      </c>
      <c r="AB301" s="128" t="e">
        <f>VLOOKUP(AA301,'BASE BANCOS'!$A$2:$D$202,3,FALSE)</f>
        <v>#N/A</v>
      </c>
      <c r="AC301" s="128" t="s">
        <v>453</v>
      </c>
      <c r="AD301" s="129" t="e">
        <f>VLOOKUP(AC301,'BASE CONDUCTORES'!E:G,3,FALSE)</f>
        <v>#N/A</v>
      </c>
      <c r="AE301" s="155"/>
      <c r="AF301" s="150"/>
      <c r="AG301" s="150"/>
      <c r="AH301" s="150"/>
      <c r="AI301" s="150"/>
      <c r="AO301" s="150"/>
      <c r="AP301" s="150"/>
      <c r="AU301" s="151"/>
      <c r="AV301" s="133"/>
    </row>
    <row r="302" spans="3:48" s="124" customFormat="1" ht="15.75" x14ac:dyDescent="0.25">
      <c r="C302" s="127">
        <v>44323</v>
      </c>
      <c r="D302" s="128" t="s">
        <v>29</v>
      </c>
      <c r="E302" s="128" t="s">
        <v>33</v>
      </c>
      <c r="F302" s="124">
        <v>1</v>
      </c>
      <c r="G302" s="166" t="s">
        <v>353</v>
      </c>
      <c r="J302" s="149"/>
      <c r="K302" s="128" t="e">
        <f>VLOOKUP(G302,'BASE PASAJEROS'!A:B,2,FALSE)</f>
        <v>#N/A</v>
      </c>
      <c r="L302" s="128" t="s">
        <v>316</v>
      </c>
      <c r="M302" s="128" t="e">
        <f>VLOOKUP(G302,'BASE PASAJEROS'!A:H,8,FALSE)</f>
        <v>#N/A</v>
      </c>
      <c r="N302" s="79"/>
      <c r="O302" s="79"/>
      <c r="P302" s="128" t="e">
        <f>VLOOKUP(G302,'BASE PASAJEROS'!A:F,6,FALSE)</f>
        <v>#N/A</v>
      </c>
      <c r="Q302" s="128" t="e">
        <f>VLOOKUP(G302,'BASE PASAJEROS'!A:C,3,FALSE)</f>
        <v>#N/A</v>
      </c>
      <c r="R302" s="128" t="e">
        <f>VLOOKUP(G302,'BASE PASAJEROS'!A:G,7,FALSE)</f>
        <v>#N/A</v>
      </c>
      <c r="S302" s="128" t="s">
        <v>305</v>
      </c>
      <c r="T302" s="128" t="s">
        <v>409</v>
      </c>
      <c r="U302" s="130" t="e">
        <f>VLOOKUP(G302,'BASE PASAJEROS'!A:AG,33,FALSE)</f>
        <v>#N/A</v>
      </c>
      <c r="V302" s="130" t="e">
        <f>VLOOKUP(G302,'BASE PASAJEROS'!A:AH,34,FALSE)</f>
        <v>#N/A</v>
      </c>
      <c r="X302" s="155" t="s">
        <v>368</v>
      </c>
      <c r="Y302" s="124" t="s">
        <v>374</v>
      </c>
      <c r="Z302" s="124" t="s">
        <v>328</v>
      </c>
      <c r="AA302" s="128" t="s">
        <v>317</v>
      </c>
      <c r="AB302" s="128" t="e">
        <f>VLOOKUP(AA302,'BASE BANCOS'!$A$2:$D$202,3,FALSE)</f>
        <v>#N/A</v>
      </c>
      <c r="AC302" s="143" t="s">
        <v>369</v>
      </c>
      <c r="AD302" s="129" t="e">
        <f>VLOOKUP(AC302,'BASE CONDUCTORES'!E:G,3,FALSE)</f>
        <v>#N/A</v>
      </c>
      <c r="AE302" s="155"/>
      <c r="AF302" s="150"/>
      <c r="AG302" s="150"/>
      <c r="AH302" s="150"/>
      <c r="AI302" s="150"/>
      <c r="AO302" s="150"/>
      <c r="AP302" s="150"/>
      <c r="AU302" s="151"/>
      <c r="AV302" s="133"/>
    </row>
    <row r="303" spans="3:48" s="124" customFormat="1" x14ac:dyDescent="0.25">
      <c r="C303" s="127">
        <v>44323</v>
      </c>
      <c r="D303" s="128" t="s">
        <v>29</v>
      </c>
      <c r="E303" s="128" t="s">
        <v>33</v>
      </c>
      <c r="F303" s="124">
        <v>1</v>
      </c>
      <c r="G303" s="155" t="s">
        <v>354</v>
      </c>
      <c r="J303" s="149"/>
      <c r="K303" s="128" t="e">
        <f>VLOOKUP(G303,'BASE PASAJEROS'!A:B,2,FALSE)</f>
        <v>#N/A</v>
      </c>
      <c r="L303" s="128" t="s">
        <v>316</v>
      </c>
      <c r="M303" s="128" t="e">
        <f>VLOOKUP(G303,'BASE PASAJEROS'!A:H,8,FALSE)</f>
        <v>#N/A</v>
      </c>
      <c r="N303" s="79"/>
      <c r="O303" s="79"/>
      <c r="P303" s="128" t="e">
        <f>VLOOKUP(G303,'BASE PASAJEROS'!A:F,6,FALSE)</f>
        <v>#N/A</v>
      </c>
      <c r="Q303" s="128" t="e">
        <f>VLOOKUP(G303,'BASE PASAJEROS'!A:C,3,FALSE)</f>
        <v>#N/A</v>
      </c>
      <c r="R303" s="128" t="e">
        <f>VLOOKUP(G303,'BASE PASAJEROS'!A:G,7,FALSE)</f>
        <v>#N/A</v>
      </c>
      <c r="S303" s="128" t="s">
        <v>305</v>
      </c>
      <c r="T303" s="128" t="s">
        <v>409</v>
      </c>
      <c r="U303" s="130" t="e">
        <f>VLOOKUP(G303,'BASE PASAJEROS'!A:AG,33,FALSE)</f>
        <v>#N/A</v>
      </c>
      <c r="V303" s="130" t="e">
        <f>VLOOKUP(G303,'BASE PASAJEROS'!A:AH,34,FALSE)</f>
        <v>#N/A</v>
      </c>
      <c r="X303" s="155" t="s">
        <v>368</v>
      </c>
      <c r="Y303" s="124" t="s">
        <v>374</v>
      </c>
      <c r="Z303" s="124" t="s">
        <v>328</v>
      </c>
      <c r="AA303" s="173" t="s">
        <v>414</v>
      </c>
      <c r="AB303" s="128" t="e">
        <f>VLOOKUP(AA303,'BASE BANCOS'!$A$2:$D$202,3,FALSE)</f>
        <v>#N/A</v>
      </c>
      <c r="AC303" s="173" t="s">
        <v>414</v>
      </c>
      <c r="AD303" s="129" t="e">
        <f>VLOOKUP(AC303,'BASE CONDUCTORES'!E:G,3,FALSE)</f>
        <v>#N/A</v>
      </c>
      <c r="AE303" s="155"/>
      <c r="AF303" s="150"/>
      <c r="AG303" s="150"/>
      <c r="AH303" s="150"/>
      <c r="AI303" s="150"/>
      <c r="AO303" s="150"/>
      <c r="AP303" s="150"/>
      <c r="AU303" s="151"/>
      <c r="AV303" s="133"/>
    </row>
    <row r="304" spans="3:48" s="124" customFormat="1" x14ac:dyDescent="0.25">
      <c r="C304" s="127">
        <v>44323</v>
      </c>
      <c r="D304" s="128" t="s">
        <v>29</v>
      </c>
      <c r="E304" s="128" t="s">
        <v>33</v>
      </c>
      <c r="F304" s="124">
        <v>1</v>
      </c>
      <c r="G304" s="155" t="s">
        <v>355</v>
      </c>
      <c r="J304" s="149"/>
      <c r="K304" s="128" t="e">
        <f>VLOOKUP(G304,'BASE PASAJEROS'!A:B,2,FALSE)</f>
        <v>#N/A</v>
      </c>
      <c r="L304" s="128" t="s">
        <v>316</v>
      </c>
      <c r="M304" s="128" t="e">
        <f>VLOOKUP(G304,'BASE PASAJEROS'!A:H,8,FALSE)</f>
        <v>#N/A</v>
      </c>
      <c r="N304" s="79"/>
      <c r="O304" s="79"/>
      <c r="P304" s="128" t="e">
        <f>VLOOKUP(G304,'BASE PASAJEROS'!A:F,6,FALSE)</f>
        <v>#N/A</v>
      </c>
      <c r="Q304" s="128" t="e">
        <f>VLOOKUP(G304,'BASE PASAJEROS'!A:C,3,FALSE)</f>
        <v>#N/A</v>
      </c>
      <c r="R304" s="128" t="e">
        <f>VLOOKUP(G304,'BASE PASAJEROS'!A:G,7,FALSE)</f>
        <v>#N/A</v>
      </c>
      <c r="S304" s="128" t="s">
        <v>305</v>
      </c>
      <c r="T304" s="128" t="s">
        <v>409</v>
      </c>
      <c r="U304" s="130" t="e">
        <f>VLOOKUP(G304,'BASE PASAJEROS'!A:AG,33,FALSE)</f>
        <v>#N/A</v>
      </c>
      <c r="V304" s="130" t="e">
        <f>VLOOKUP(G304,'BASE PASAJEROS'!A:AH,34,FALSE)</f>
        <v>#N/A</v>
      </c>
      <c r="X304" s="155" t="s">
        <v>368</v>
      </c>
      <c r="Y304" s="124" t="s">
        <v>374</v>
      </c>
      <c r="Z304" s="124" t="s">
        <v>328</v>
      </c>
      <c r="AA304" s="128" t="s">
        <v>452</v>
      </c>
      <c r="AB304" s="128" t="e">
        <f>VLOOKUP(AA304,'BASE BANCOS'!$A$2:$D$202,3,FALSE)</f>
        <v>#N/A</v>
      </c>
      <c r="AC304" s="128" t="s">
        <v>453</v>
      </c>
      <c r="AD304" s="129" t="e">
        <f>VLOOKUP(AC304,'BASE CONDUCTORES'!E:G,3,FALSE)</f>
        <v>#N/A</v>
      </c>
      <c r="AE304" s="155"/>
      <c r="AF304" s="150"/>
      <c r="AG304" s="150"/>
      <c r="AH304" s="150"/>
      <c r="AI304" s="150"/>
      <c r="AO304" s="150"/>
      <c r="AP304" s="150"/>
      <c r="AU304" s="151"/>
      <c r="AV304" s="133"/>
    </row>
    <row r="305" spans="3:52" s="124" customFormat="1" x14ac:dyDescent="0.25">
      <c r="C305" s="127">
        <v>44323</v>
      </c>
      <c r="D305" s="128" t="s">
        <v>29</v>
      </c>
      <c r="E305" s="128" t="s">
        <v>33</v>
      </c>
      <c r="F305" s="124">
        <v>1</v>
      </c>
      <c r="G305" s="155" t="s">
        <v>356</v>
      </c>
      <c r="J305" s="149"/>
      <c r="K305" s="128" t="e">
        <f>VLOOKUP(G305,'BASE PASAJEROS'!A:B,2,FALSE)</f>
        <v>#N/A</v>
      </c>
      <c r="L305" s="128" t="s">
        <v>316</v>
      </c>
      <c r="M305" s="128" t="e">
        <f>VLOOKUP(G305,'BASE PASAJEROS'!A:H,8,FALSE)</f>
        <v>#N/A</v>
      </c>
      <c r="N305" s="79"/>
      <c r="O305" s="79"/>
      <c r="P305" s="128" t="e">
        <f>VLOOKUP(G305,'BASE PASAJEROS'!A:F,6,FALSE)</f>
        <v>#N/A</v>
      </c>
      <c r="Q305" s="128" t="e">
        <f>VLOOKUP(G305,'BASE PASAJEROS'!A:C,3,FALSE)</f>
        <v>#N/A</v>
      </c>
      <c r="R305" s="128" t="e">
        <f>VLOOKUP(G305,'BASE PASAJEROS'!A:G,7,FALSE)</f>
        <v>#N/A</v>
      </c>
      <c r="S305" s="128" t="s">
        <v>305</v>
      </c>
      <c r="T305" s="128" t="s">
        <v>409</v>
      </c>
      <c r="U305" s="130" t="e">
        <f>VLOOKUP(G305,'BASE PASAJEROS'!A:AG,33,FALSE)</f>
        <v>#N/A</v>
      </c>
      <c r="V305" s="130" t="e">
        <f>VLOOKUP(G305,'BASE PASAJEROS'!A:AH,34,FALSE)</f>
        <v>#N/A</v>
      </c>
      <c r="X305" s="155" t="s">
        <v>368</v>
      </c>
      <c r="Y305" s="124" t="s">
        <v>21</v>
      </c>
      <c r="Z305" s="124" t="s">
        <v>328</v>
      </c>
      <c r="AA305" s="128" t="s">
        <v>319</v>
      </c>
      <c r="AB305" s="128" t="e">
        <f>VLOOKUP(AA305,'BASE BANCOS'!$A$2:$D$202,3,FALSE)</f>
        <v>#N/A</v>
      </c>
      <c r="AD305" s="129" t="e">
        <f>VLOOKUP(AC305,'BASE CONDUCTORES'!E:G,3,FALSE)</f>
        <v>#N/A</v>
      </c>
      <c r="AE305" s="155"/>
      <c r="AF305" s="150"/>
      <c r="AG305" s="150"/>
      <c r="AH305" s="150"/>
      <c r="AI305" s="150"/>
      <c r="AO305" s="150"/>
      <c r="AP305" s="150"/>
      <c r="AU305" s="151"/>
      <c r="AV305" s="133"/>
    </row>
    <row r="306" spans="3:52" s="124" customFormat="1" ht="15.75" x14ac:dyDescent="0.25">
      <c r="C306" s="127">
        <v>44323</v>
      </c>
      <c r="D306" s="128" t="s">
        <v>29</v>
      </c>
      <c r="E306" s="128" t="s">
        <v>33</v>
      </c>
      <c r="F306" s="124">
        <v>1</v>
      </c>
      <c r="G306" s="166" t="s">
        <v>357</v>
      </c>
      <c r="J306" s="149"/>
      <c r="K306" s="128" t="e">
        <f>VLOOKUP(G306,'BASE PASAJEROS'!A:B,2,FALSE)</f>
        <v>#N/A</v>
      </c>
      <c r="L306" s="128" t="s">
        <v>316</v>
      </c>
      <c r="M306" s="128" t="e">
        <f>VLOOKUP(G306,'BASE PASAJEROS'!A:H,8,FALSE)</f>
        <v>#N/A</v>
      </c>
      <c r="N306" s="79"/>
      <c r="O306" s="79"/>
      <c r="P306" s="128" t="e">
        <f>VLOOKUP(G306,'BASE PASAJEROS'!A:F,6,FALSE)</f>
        <v>#N/A</v>
      </c>
      <c r="Q306" s="128" t="e">
        <f>VLOOKUP(G306,'BASE PASAJEROS'!A:C,3,FALSE)</f>
        <v>#N/A</v>
      </c>
      <c r="R306" s="128" t="e">
        <f>VLOOKUP(G306,'BASE PASAJEROS'!A:G,7,FALSE)</f>
        <v>#N/A</v>
      </c>
      <c r="S306" s="128" t="s">
        <v>305</v>
      </c>
      <c r="T306" s="128" t="s">
        <v>409</v>
      </c>
      <c r="U306" s="130" t="e">
        <f>VLOOKUP(G306,'BASE PASAJEROS'!A:AG,33,FALSE)</f>
        <v>#N/A</v>
      </c>
      <c r="V306" s="130" t="e">
        <f>VLOOKUP(G306,'BASE PASAJEROS'!A:AH,34,FALSE)</f>
        <v>#N/A</v>
      </c>
      <c r="X306" s="155" t="s">
        <v>368</v>
      </c>
      <c r="Y306" s="124" t="s">
        <v>374</v>
      </c>
      <c r="Z306" s="124" t="s">
        <v>328</v>
      </c>
      <c r="AA306" s="128" t="s">
        <v>317</v>
      </c>
      <c r="AB306" s="128" t="e">
        <f>VLOOKUP(AA306,'BASE BANCOS'!$A$2:$D$202,3,FALSE)</f>
        <v>#N/A</v>
      </c>
      <c r="AC306" s="143" t="s">
        <v>369</v>
      </c>
      <c r="AD306" s="129" t="e">
        <f>VLOOKUP(AC306,'BASE CONDUCTORES'!E:G,3,FALSE)</f>
        <v>#N/A</v>
      </c>
      <c r="AE306" s="155"/>
      <c r="AF306" s="150"/>
      <c r="AG306" s="150"/>
      <c r="AH306" s="150"/>
      <c r="AI306" s="150"/>
      <c r="AO306" s="150"/>
      <c r="AP306" s="150"/>
      <c r="AU306" s="151"/>
      <c r="AV306" s="133"/>
    </row>
    <row r="307" spans="3:52" s="124" customFormat="1" x14ac:dyDescent="0.25">
      <c r="C307" s="127">
        <v>44323</v>
      </c>
      <c r="D307" s="128" t="s">
        <v>29</v>
      </c>
      <c r="E307" s="128" t="s">
        <v>33</v>
      </c>
      <c r="F307" s="124">
        <v>1</v>
      </c>
      <c r="G307" s="124" t="s">
        <v>358</v>
      </c>
      <c r="J307" s="149"/>
      <c r="K307" s="128" t="e">
        <f>VLOOKUP(G307,'BASE PASAJEROS'!A:B,2,FALSE)</f>
        <v>#N/A</v>
      </c>
      <c r="L307" s="128" t="s">
        <v>316</v>
      </c>
      <c r="M307" s="128" t="e">
        <f>VLOOKUP(G307,'BASE PASAJEROS'!A:H,8,FALSE)</f>
        <v>#N/A</v>
      </c>
      <c r="N307" s="79"/>
      <c r="O307" s="79"/>
      <c r="P307" s="128" t="e">
        <f>VLOOKUP(G307,'BASE PASAJEROS'!A:F,6,FALSE)</f>
        <v>#N/A</v>
      </c>
      <c r="Q307" s="128" t="e">
        <f>VLOOKUP(G307,'BASE PASAJEROS'!A:C,3,FALSE)</f>
        <v>#N/A</v>
      </c>
      <c r="R307" s="128" t="e">
        <f>VLOOKUP(G307,'BASE PASAJEROS'!A:G,7,FALSE)</f>
        <v>#N/A</v>
      </c>
      <c r="S307" s="128" t="s">
        <v>305</v>
      </c>
      <c r="T307" s="128" t="s">
        <v>409</v>
      </c>
      <c r="U307" s="130" t="e">
        <f>VLOOKUP(G307,'BASE PASAJEROS'!A:AG,33,FALSE)</f>
        <v>#N/A</v>
      </c>
      <c r="V307" s="130" t="e">
        <f>VLOOKUP(G307,'BASE PASAJEROS'!A:AH,34,FALSE)</f>
        <v>#N/A</v>
      </c>
      <c r="X307" s="155" t="s">
        <v>368</v>
      </c>
      <c r="Y307" s="124" t="s">
        <v>21</v>
      </c>
      <c r="Z307" s="124" t="s">
        <v>328</v>
      </c>
      <c r="AA307" s="128" t="s">
        <v>319</v>
      </c>
      <c r="AB307" s="128" t="e">
        <f>VLOOKUP(AA307,'BASE BANCOS'!$A$2:$D$202,3,FALSE)</f>
        <v>#N/A</v>
      </c>
      <c r="AD307" s="129" t="e">
        <f>VLOOKUP(AC307,'BASE CONDUCTORES'!E:G,3,FALSE)</f>
        <v>#N/A</v>
      </c>
      <c r="AE307" s="155"/>
      <c r="AF307" s="150"/>
      <c r="AG307" s="150"/>
      <c r="AH307" s="150"/>
      <c r="AI307" s="150"/>
      <c r="AK307" s="124" t="s">
        <v>413</v>
      </c>
      <c r="AO307" s="150"/>
      <c r="AP307" s="150"/>
      <c r="AU307" s="151"/>
      <c r="AV307" s="133"/>
    </row>
    <row r="308" spans="3:52" s="124" customFormat="1" x14ac:dyDescent="0.25">
      <c r="C308" s="127">
        <v>44323</v>
      </c>
      <c r="D308" s="128" t="s">
        <v>29</v>
      </c>
      <c r="E308" s="128" t="s">
        <v>33</v>
      </c>
      <c r="F308" s="124">
        <v>1</v>
      </c>
      <c r="G308" s="124" t="s">
        <v>359</v>
      </c>
      <c r="J308" s="149"/>
      <c r="K308" s="128" t="e">
        <f>VLOOKUP(G308,'BASE PASAJEROS'!A:B,2,FALSE)</f>
        <v>#N/A</v>
      </c>
      <c r="L308" s="128" t="s">
        <v>316</v>
      </c>
      <c r="M308" s="128" t="e">
        <f>VLOOKUP(G308,'BASE PASAJEROS'!A:H,8,FALSE)</f>
        <v>#N/A</v>
      </c>
      <c r="N308" s="79"/>
      <c r="O308" s="79"/>
      <c r="P308" s="128" t="e">
        <f>VLOOKUP(G308,'BASE PASAJEROS'!A:F,6,FALSE)</f>
        <v>#N/A</v>
      </c>
      <c r="Q308" s="128" t="e">
        <f>VLOOKUP(G308,'BASE PASAJEROS'!A:C,3,FALSE)</f>
        <v>#N/A</v>
      </c>
      <c r="R308" s="128" t="e">
        <f>VLOOKUP(G308,'BASE PASAJEROS'!A:G,7,FALSE)</f>
        <v>#N/A</v>
      </c>
      <c r="S308" s="128" t="s">
        <v>305</v>
      </c>
      <c r="T308" s="128" t="s">
        <v>409</v>
      </c>
      <c r="U308" s="130" t="e">
        <f>VLOOKUP(G308,'BASE PASAJEROS'!A:AG,33,FALSE)</f>
        <v>#N/A</v>
      </c>
      <c r="V308" s="130" t="e">
        <f>VLOOKUP(G308,'BASE PASAJEROS'!A:AH,34,FALSE)</f>
        <v>#N/A</v>
      </c>
      <c r="X308" s="155" t="s">
        <v>368</v>
      </c>
      <c r="Y308" s="124" t="s">
        <v>374</v>
      </c>
      <c r="Z308" s="124" t="s">
        <v>328</v>
      </c>
      <c r="AA308" s="128" t="s">
        <v>325</v>
      </c>
      <c r="AB308" s="128" t="e">
        <f>VLOOKUP(AA308,'BASE BANCOS'!$A$2:$D$202,3,FALSE)</f>
        <v>#N/A</v>
      </c>
      <c r="AC308" s="128" t="s">
        <v>326</v>
      </c>
      <c r="AD308" s="129" t="e">
        <f>VLOOKUP(AC308,'BASE CONDUCTORES'!E:G,3,FALSE)</f>
        <v>#N/A</v>
      </c>
      <c r="AE308" s="155"/>
      <c r="AF308" s="150"/>
      <c r="AG308" s="150"/>
      <c r="AH308" s="150"/>
      <c r="AI308" s="150"/>
      <c r="AO308" s="150"/>
      <c r="AP308" s="150"/>
      <c r="AU308" s="151"/>
      <c r="AV308" s="133"/>
    </row>
    <row r="309" spans="3:52" s="124" customFormat="1" x14ac:dyDescent="0.25">
      <c r="C309" s="127">
        <v>44323</v>
      </c>
      <c r="D309" s="128" t="s">
        <v>29</v>
      </c>
      <c r="E309" s="128" t="s">
        <v>33</v>
      </c>
      <c r="F309" s="124">
        <v>1</v>
      </c>
      <c r="G309" s="124" t="s">
        <v>360</v>
      </c>
      <c r="J309" s="149"/>
      <c r="K309" s="128" t="e">
        <f>VLOOKUP(G309,'BASE PASAJEROS'!A:B,2,FALSE)</f>
        <v>#N/A</v>
      </c>
      <c r="L309" s="128" t="s">
        <v>316</v>
      </c>
      <c r="M309" s="128" t="e">
        <f>VLOOKUP(G309,'BASE PASAJEROS'!A:H,8,FALSE)</f>
        <v>#N/A</v>
      </c>
      <c r="N309" s="79"/>
      <c r="O309" s="79"/>
      <c r="P309" s="128" t="e">
        <f>VLOOKUP(G309,'BASE PASAJEROS'!A:F,6,FALSE)</f>
        <v>#N/A</v>
      </c>
      <c r="Q309" s="128" t="e">
        <f>VLOOKUP(G309,'BASE PASAJEROS'!A:C,3,FALSE)</f>
        <v>#N/A</v>
      </c>
      <c r="R309" s="128" t="e">
        <f>VLOOKUP(G309,'BASE PASAJEROS'!A:G,7,FALSE)</f>
        <v>#N/A</v>
      </c>
      <c r="S309" s="128" t="s">
        <v>305</v>
      </c>
      <c r="T309" s="128" t="s">
        <v>409</v>
      </c>
      <c r="U309" s="130" t="e">
        <f>VLOOKUP(G309,'BASE PASAJEROS'!A:AG,33,FALSE)</f>
        <v>#N/A</v>
      </c>
      <c r="V309" s="130" t="e">
        <f>VLOOKUP(G309,'BASE PASAJEROS'!A:AH,34,FALSE)</f>
        <v>#N/A</v>
      </c>
      <c r="X309" s="155" t="s">
        <v>368</v>
      </c>
      <c r="Y309" s="124" t="s">
        <v>21</v>
      </c>
      <c r="Z309" s="124" t="s">
        <v>328</v>
      </c>
      <c r="AA309" s="128" t="s">
        <v>319</v>
      </c>
      <c r="AB309" s="128" t="e">
        <f>VLOOKUP(AA309,'BASE BANCOS'!$A$2:$D$202,3,FALSE)</f>
        <v>#N/A</v>
      </c>
      <c r="AD309" s="129" t="e">
        <f>VLOOKUP(AC309,'BASE CONDUCTORES'!E:G,3,FALSE)</f>
        <v>#N/A</v>
      </c>
      <c r="AE309" s="155"/>
      <c r="AF309" s="150"/>
      <c r="AG309" s="150"/>
      <c r="AH309" s="150"/>
      <c r="AI309" s="150"/>
      <c r="AK309" s="124" t="s">
        <v>413</v>
      </c>
      <c r="AO309" s="150"/>
      <c r="AP309" s="150"/>
      <c r="AU309" s="151"/>
      <c r="AV309" s="133"/>
    </row>
    <row r="310" spans="3:52" s="124" customFormat="1" ht="15.75" x14ac:dyDescent="0.25">
      <c r="C310" s="127">
        <v>44323</v>
      </c>
      <c r="D310" s="128" t="s">
        <v>29</v>
      </c>
      <c r="E310" s="128" t="s">
        <v>33</v>
      </c>
      <c r="F310" s="124">
        <v>1</v>
      </c>
      <c r="G310" s="167" t="s">
        <v>361</v>
      </c>
      <c r="J310" s="149"/>
      <c r="K310" s="128" t="e">
        <f>VLOOKUP(G310,'BASE PASAJEROS'!A:B,2,FALSE)</f>
        <v>#N/A</v>
      </c>
      <c r="L310" s="128" t="s">
        <v>316</v>
      </c>
      <c r="M310" s="128" t="e">
        <f>VLOOKUP(G310,'BASE PASAJEROS'!A:H,8,FALSE)</f>
        <v>#N/A</v>
      </c>
      <c r="N310" s="79"/>
      <c r="O310" s="79"/>
      <c r="P310" s="128" t="e">
        <f>VLOOKUP(G310,'BASE PASAJEROS'!A:F,6,FALSE)</f>
        <v>#N/A</v>
      </c>
      <c r="Q310" s="128" t="e">
        <f>VLOOKUP(G310,'BASE PASAJEROS'!A:C,3,FALSE)</f>
        <v>#N/A</v>
      </c>
      <c r="R310" s="128" t="e">
        <f>VLOOKUP(G310,'BASE PASAJEROS'!A:G,7,FALSE)</f>
        <v>#N/A</v>
      </c>
      <c r="S310" s="128" t="s">
        <v>305</v>
      </c>
      <c r="T310" s="128" t="s">
        <v>409</v>
      </c>
      <c r="U310" s="130" t="e">
        <f>VLOOKUP(G310,'BASE PASAJEROS'!A:AG,33,FALSE)</f>
        <v>#N/A</v>
      </c>
      <c r="V310" s="130" t="e">
        <f>VLOOKUP(G310,'BASE PASAJEROS'!A:AH,34,FALSE)</f>
        <v>#N/A</v>
      </c>
      <c r="X310" s="155" t="s">
        <v>368</v>
      </c>
      <c r="Y310" s="124" t="s">
        <v>374</v>
      </c>
      <c r="Z310" s="124" t="s">
        <v>328</v>
      </c>
      <c r="AA310" s="128" t="s">
        <v>317</v>
      </c>
      <c r="AB310" s="128" t="e">
        <f>VLOOKUP(AA310,'BASE BANCOS'!$A$2:$D$202,3,FALSE)</f>
        <v>#N/A</v>
      </c>
      <c r="AC310" s="79" t="s">
        <v>405</v>
      </c>
      <c r="AD310" s="129" t="e">
        <f>VLOOKUP(AC310,'BASE CONDUCTORES'!E:G,3,FALSE)</f>
        <v>#N/A</v>
      </c>
      <c r="AE310" s="155"/>
      <c r="AF310" s="150"/>
      <c r="AG310" s="150"/>
      <c r="AH310" s="150"/>
      <c r="AI310" s="150"/>
      <c r="AO310" s="150"/>
      <c r="AP310" s="150"/>
      <c r="AU310" s="151"/>
      <c r="AV310" s="133"/>
    </row>
    <row r="311" spans="3:52" s="124" customFormat="1" ht="15.75" x14ac:dyDescent="0.25">
      <c r="C311" s="127">
        <v>44323</v>
      </c>
      <c r="D311" s="128" t="s">
        <v>29</v>
      </c>
      <c r="E311" s="128" t="s">
        <v>33</v>
      </c>
      <c r="F311" s="124">
        <v>1</v>
      </c>
      <c r="G311" s="167" t="s">
        <v>362</v>
      </c>
      <c r="J311" s="149"/>
      <c r="K311" s="128" t="e">
        <f>VLOOKUP(G311,'BASE PASAJEROS'!A:B,2,FALSE)</f>
        <v>#N/A</v>
      </c>
      <c r="L311" s="128" t="s">
        <v>316</v>
      </c>
      <c r="M311" s="128" t="e">
        <f>VLOOKUP(G311,'BASE PASAJEROS'!A:H,8,FALSE)</f>
        <v>#N/A</v>
      </c>
      <c r="N311" s="79"/>
      <c r="O311" s="79"/>
      <c r="P311" s="128" t="e">
        <f>VLOOKUP(G311,'BASE PASAJEROS'!A:F,6,FALSE)</f>
        <v>#N/A</v>
      </c>
      <c r="Q311" s="128" t="e">
        <f>VLOOKUP(G311,'BASE PASAJEROS'!A:C,3,FALSE)</f>
        <v>#N/A</v>
      </c>
      <c r="R311" s="128" t="e">
        <f>VLOOKUP(G311,'BASE PASAJEROS'!A:G,7,FALSE)</f>
        <v>#N/A</v>
      </c>
      <c r="S311" s="128" t="s">
        <v>305</v>
      </c>
      <c r="T311" s="128" t="s">
        <v>409</v>
      </c>
      <c r="U311" s="130" t="e">
        <f>VLOOKUP(G311,'BASE PASAJEROS'!A:AG,33,FALSE)</f>
        <v>#N/A</v>
      </c>
      <c r="V311" s="130" t="e">
        <f>VLOOKUP(G311,'BASE PASAJEROS'!A:AH,34,FALSE)</f>
        <v>#N/A</v>
      </c>
      <c r="X311" s="155" t="s">
        <v>368</v>
      </c>
      <c r="Y311" s="124" t="s">
        <v>374</v>
      </c>
      <c r="Z311" s="124" t="s">
        <v>328</v>
      </c>
      <c r="AA311" s="128" t="s">
        <v>317</v>
      </c>
      <c r="AB311" s="128" t="e">
        <f>VLOOKUP(AA311,'BASE BANCOS'!$A$2:$D$202,3,FALSE)</f>
        <v>#N/A</v>
      </c>
      <c r="AC311" s="79" t="s">
        <v>405</v>
      </c>
      <c r="AD311" s="129" t="e">
        <f>VLOOKUP(AC311,'BASE CONDUCTORES'!E:G,3,FALSE)</f>
        <v>#N/A</v>
      </c>
      <c r="AE311" s="155"/>
      <c r="AF311" s="150"/>
      <c r="AG311" s="150"/>
      <c r="AH311" s="150"/>
      <c r="AI311" s="150"/>
      <c r="AO311" s="150"/>
      <c r="AP311" s="150"/>
      <c r="AU311" s="151"/>
      <c r="AV311" s="133"/>
    </row>
    <row r="312" spans="3:52" s="124" customFormat="1" ht="15.75" x14ac:dyDescent="0.25">
      <c r="C312" s="127">
        <v>44323</v>
      </c>
      <c r="D312" s="128" t="s">
        <v>29</v>
      </c>
      <c r="E312" s="128" t="s">
        <v>33</v>
      </c>
      <c r="F312" s="124">
        <v>1</v>
      </c>
      <c r="G312" s="167" t="s">
        <v>363</v>
      </c>
      <c r="J312" s="149"/>
      <c r="K312" s="128" t="e">
        <f>VLOOKUP(G312,'BASE PASAJEROS'!A:B,2,FALSE)</f>
        <v>#N/A</v>
      </c>
      <c r="L312" s="128" t="s">
        <v>316</v>
      </c>
      <c r="M312" s="128" t="e">
        <f>VLOOKUP(G312,'BASE PASAJEROS'!A:H,8,FALSE)</f>
        <v>#N/A</v>
      </c>
      <c r="N312" s="79"/>
      <c r="O312" s="79"/>
      <c r="P312" s="128" t="e">
        <f>VLOOKUP(G312,'BASE PASAJEROS'!A:F,6,FALSE)</f>
        <v>#N/A</v>
      </c>
      <c r="Q312" s="128" t="e">
        <f>VLOOKUP(G312,'BASE PASAJEROS'!A:C,3,FALSE)</f>
        <v>#N/A</v>
      </c>
      <c r="R312" s="128" t="e">
        <f>VLOOKUP(G312,'BASE PASAJEROS'!A:G,7,FALSE)</f>
        <v>#N/A</v>
      </c>
      <c r="S312" s="128" t="s">
        <v>305</v>
      </c>
      <c r="T312" s="128" t="s">
        <v>409</v>
      </c>
      <c r="U312" s="130" t="e">
        <f>VLOOKUP(G312,'BASE PASAJEROS'!A:AG,33,FALSE)</f>
        <v>#N/A</v>
      </c>
      <c r="V312" s="130" t="e">
        <f>VLOOKUP(G312,'BASE PASAJEROS'!A:AH,34,FALSE)</f>
        <v>#N/A</v>
      </c>
      <c r="X312" s="155" t="s">
        <v>368</v>
      </c>
      <c r="Y312" s="124" t="s">
        <v>21</v>
      </c>
      <c r="Z312" s="124" t="s">
        <v>328</v>
      </c>
      <c r="AA312" s="128" t="s">
        <v>319</v>
      </c>
      <c r="AB312" s="128" t="e">
        <f>VLOOKUP(AA312,'BASE BANCOS'!$A$2:$D$202,3,FALSE)</f>
        <v>#N/A</v>
      </c>
      <c r="AD312" s="129" t="e">
        <f>VLOOKUP(AC312,'BASE CONDUCTORES'!E:G,3,FALSE)</f>
        <v>#N/A</v>
      </c>
      <c r="AE312" s="155"/>
      <c r="AF312" s="150"/>
      <c r="AG312" s="150"/>
      <c r="AH312" s="150"/>
      <c r="AI312" s="150"/>
      <c r="AK312" s="124" t="s">
        <v>421</v>
      </c>
      <c r="AO312" s="150"/>
      <c r="AP312" s="150"/>
      <c r="AU312" s="151"/>
      <c r="AV312" s="133"/>
    </row>
    <row r="313" spans="3:52" s="142" customFormat="1" ht="15.75" x14ac:dyDescent="0.25">
      <c r="C313" s="176">
        <v>44324</v>
      </c>
      <c r="D313" s="177" t="s">
        <v>29</v>
      </c>
      <c r="E313" s="177" t="s">
        <v>33</v>
      </c>
      <c r="F313" s="142">
        <v>1</v>
      </c>
      <c r="G313" s="168" t="s">
        <v>375</v>
      </c>
      <c r="J313" s="149"/>
      <c r="K313" s="177" t="e">
        <f>VLOOKUP(G313,'BASE PASAJEROS'!A:B,2,FALSE)</f>
        <v>#N/A</v>
      </c>
      <c r="L313" s="177" t="s">
        <v>316</v>
      </c>
      <c r="M313" s="177" t="e">
        <f>VLOOKUP(G313,'BASE PASAJEROS'!A:H,8,FALSE)</f>
        <v>#N/A</v>
      </c>
      <c r="N313" s="79"/>
      <c r="O313" s="79"/>
      <c r="P313" s="177" t="e">
        <f>VLOOKUP(G313,'BASE PASAJEROS'!A:F,6,FALSE)</f>
        <v>#N/A</v>
      </c>
      <c r="Q313" s="177" t="e">
        <f>VLOOKUP(G313,'BASE PASAJEROS'!A:C,3,FALSE)</f>
        <v>#N/A</v>
      </c>
      <c r="R313" s="177" t="e">
        <f>VLOOKUP(G313,'BASE PASAJEROS'!A:G,7,FALSE)</f>
        <v>#N/A</v>
      </c>
      <c r="S313" s="177" t="s">
        <v>305</v>
      </c>
      <c r="T313" s="177" t="s">
        <v>422</v>
      </c>
      <c r="U313" s="130" t="e">
        <f>VLOOKUP(G313,'BASE PASAJEROS'!A:AG,33,FALSE)</f>
        <v>#N/A</v>
      </c>
      <c r="V313" s="130" t="e">
        <f>VLOOKUP(G313,'BASE PASAJEROS'!A:AH,34,FALSE)</f>
        <v>#N/A</v>
      </c>
      <c r="X313" s="155" t="s">
        <v>368</v>
      </c>
      <c r="Y313" s="124" t="s">
        <v>374</v>
      </c>
      <c r="Z313" s="142" t="s">
        <v>328</v>
      </c>
      <c r="AA313" s="128" t="s">
        <v>452</v>
      </c>
      <c r="AB313" s="128" t="e">
        <f>VLOOKUP(AA313,'BASE BANCOS'!$A$2:$D$202,3,FALSE)</f>
        <v>#N/A</v>
      </c>
      <c r="AC313" s="128" t="s">
        <v>453</v>
      </c>
      <c r="AD313" s="129" t="e">
        <f>VLOOKUP(AC313,'BASE CONDUCTORES'!E:G,3,FALSE)</f>
        <v>#N/A</v>
      </c>
      <c r="AE313" s="155"/>
      <c r="AF313" s="178"/>
      <c r="AG313" s="150"/>
      <c r="AH313" s="178"/>
      <c r="AI313" s="150"/>
      <c r="AJ313" s="124"/>
      <c r="AK313" s="142" t="s">
        <v>451</v>
      </c>
      <c r="AL313" s="124"/>
      <c r="AM313" s="124"/>
      <c r="AN313" s="124"/>
      <c r="AO313" s="150"/>
      <c r="AP313" s="150"/>
      <c r="AQ313" s="124"/>
      <c r="AR313" s="124"/>
      <c r="AS313" s="124"/>
      <c r="AT313" s="124"/>
      <c r="AU313" s="151"/>
      <c r="AV313" s="133"/>
      <c r="AW313" s="124"/>
      <c r="AX313" s="124"/>
      <c r="AY313" s="124"/>
      <c r="AZ313" s="124"/>
    </row>
    <row r="314" spans="3:52" s="142" customFormat="1" ht="15.75" x14ac:dyDescent="0.25">
      <c r="C314" s="176">
        <v>44324</v>
      </c>
      <c r="D314" s="177" t="s">
        <v>29</v>
      </c>
      <c r="E314" s="177" t="s">
        <v>33</v>
      </c>
      <c r="F314" s="142">
        <v>1</v>
      </c>
      <c r="G314" s="168" t="s">
        <v>376</v>
      </c>
      <c r="J314" s="149"/>
      <c r="K314" s="177" t="e">
        <f>VLOOKUP(G314,'BASE PASAJEROS'!A:B,2,FALSE)</f>
        <v>#N/A</v>
      </c>
      <c r="L314" s="177" t="s">
        <v>316</v>
      </c>
      <c r="M314" s="177" t="e">
        <f>VLOOKUP(G314,'BASE PASAJEROS'!A:H,8,FALSE)</f>
        <v>#N/A</v>
      </c>
      <c r="N314" s="79"/>
      <c r="O314" s="79"/>
      <c r="P314" s="177" t="e">
        <f>VLOOKUP(G314,'BASE PASAJEROS'!A:F,6,FALSE)</f>
        <v>#N/A</v>
      </c>
      <c r="Q314" s="177" t="e">
        <f>VLOOKUP(G314,'BASE PASAJEROS'!A:C,3,FALSE)</f>
        <v>#N/A</v>
      </c>
      <c r="R314" s="177" t="e">
        <f>VLOOKUP(G314,'BASE PASAJEROS'!A:G,7,FALSE)</f>
        <v>#N/A</v>
      </c>
      <c r="S314" s="177" t="s">
        <v>305</v>
      </c>
      <c r="T314" s="177" t="s">
        <v>423</v>
      </c>
      <c r="U314" s="130" t="e">
        <f>VLOOKUP(G314,'BASE PASAJEROS'!A:AG,33,FALSE)</f>
        <v>#N/A</v>
      </c>
      <c r="V314" s="130" t="e">
        <f>VLOOKUP(G314,'BASE PASAJEROS'!A:AH,34,FALSE)</f>
        <v>#N/A</v>
      </c>
      <c r="X314" s="155" t="s">
        <v>368</v>
      </c>
      <c r="Y314" s="124" t="s">
        <v>374</v>
      </c>
      <c r="Z314" s="142" t="s">
        <v>328</v>
      </c>
      <c r="AA314" s="128" t="s">
        <v>452</v>
      </c>
      <c r="AB314" s="128" t="e">
        <f>VLOOKUP(AA314,'BASE BANCOS'!$A$2:$D$202,3,FALSE)</f>
        <v>#N/A</v>
      </c>
      <c r="AC314" s="128" t="s">
        <v>453</v>
      </c>
      <c r="AD314" s="129" t="e">
        <f>VLOOKUP(AC314,'BASE CONDUCTORES'!E:G,3,FALSE)</f>
        <v>#N/A</v>
      </c>
      <c r="AE314" s="155"/>
      <c r="AF314" s="178"/>
      <c r="AG314" s="150"/>
      <c r="AH314" s="178"/>
      <c r="AI314" s="150"/>
      <c r="AJ314" s="124"/>
      <c r="AK314" s="142" t="s">
        <v>451</v>
      </c>
      <c r="AL314" s="124"/>
      <c r="AM314" s="124"/>
      <c r="AN314" s="124"/>
      <c r="AO314" s="150"/>
      <c r="AP314" s="150"/>
      <c r="AQ314" s="124"/>
      <c r="AR314" s="124"/>
      <c r="AS314" s="124"/>
      <c r="AT314" s="124"/>
      <c r="AU314" s="151"/>
      <c r="AV314" s="133"/>
      <c r="AW314" s="124"/>
      <c r="AX314" s="124"/>
      <c r="AY314" s="124"/>
      <c r="AZ314" s="124"/>
    </row>
    <row r="315" spans="3:52" s="142" customFormat="1" ht="15.75" x14ac:dyDescent="0.25">
      <c r="C315" s="176">
        <v>44324</v>
      </c>
      <c r="D315" s="177" t="s">
        <v>29</v>
      </c>
      <c r="E315" s="177" t="s">
        <v>33</v>
      </c>
      <c r="F315" s="142">
        <v>1</v>
      </c>
      <c r="G315" s="168" t="s">
        <v>377</v>
      </c>
      <c r="J315" s="149"/>
      <c r="K315" s="177" t="e">
        <f>VLOOKUP(G315,'BASE PASAJEROS'!A:B,2,FALSE)</f>
        <v>#N/A</v>
      </c>
      <c r="L315" s="177" t="s">
        <v>316</v>
      </c>
      <c r="M315" s="177" t="e">
        <f>VLOOKUP(G315,'BASE PASAJEROS'!A:H,8,FALSE)</f>
        <v>#N/A</v>
      </c>
      <c r="N315" s="79"/>
      <c r="O315" s="79"/>
      <c r="P315" s="177" t="e">
        <f>VLOOKUP(G315,'BASE PASAJEROS'!A:F,6,FALSE)</f>
        <v>#N/A</v>
      </c>
      <c r="Q315" s="177" t="e">
        <f>VLOOKUP(G315,'BASE PASAJEROS'!A:C,3,FALSE)</f>
        <v>#N/A</v>
      </c>
      <c r="R315" s="177" t="e">
        <f>VLOOKUP(G315,'BASE PASAJEROS'!A:G,7,FALSE)</f>
        <v>#N/A</v>
      </c>
      <c r="S315" s="177" t="s">
        <v>305</v>
      </c>
      <c r="T315" s="177" t="s">
        <v>424</v>
      </c>
      <c r="U315" s="130" t="e">
        <f>VLOOKUP(G315,'BASE PASAJEROS'!A:AG,33,FALSE)</f>
        <v>#N/A</v>
      </c>
      <c r="V315" s="130" t="e">
        <f>VLOOKUP(G315,'BASE PASAJEROS'!A:AH,34,FALSE)</f>
        <v>#N/A</v>
      </c>
      <c r="X315" s="155" t="s">
        <v>368</v>
      </c>
      <c r="Y315" s="124" t="s">
        <v>374</v>
      </c>
      <c r="Z315" s="142" t="s">
        <v>328</v>
      </c>
      <c r="AA315" s="128" t="s">
        <v>452</v>
      </c>
      <c r="AB315" s="128" t="e">
        <f>VLOOKUP(AA315,'BASE BANCOS'!$A$2:$D$202,3,FALSE)</f>
        <v>#N/A</v>
      </c>
      <c r="AC315" s="128" t="s">
        <v>453</v>
      </c>
      <c r="AD315" s="129" t="e">
        <f>VLOOKUP(AC315,'BASE CONDUCTORES'!E:G,3,FALSE)</f>
        <v>#N/A</v>
      </c>
      <c r="AE315" s="155"/>
      <c r="AF315" s="178"/>
      <c r="AG315" s="150"/>
      <c r="AH315" s="178"/>
      <c r="AI315" s="150"/>
      <c r="AJ315" s="124"/>
      <c r="AK315" s="142" t="s">
        <v>451</v>
      </c>
      <c r="AL315" s="124"/>
      <c r="AM315" s="124"/>
      <c r="AN315" s="124"/>
      <c r="AO315" s="150"/>
      <c r="AP315" s="150"/>
      <c r="AQ315" s="124"/>
      <c r="AR315" s="124"/>
      <c r="AS315" s="124"/>
      <c r="AT315" s="124"/>
      <c r="AU315" s="151"/>
      <c r="AV315" s="133"/>
      <c r="AW315" s="124"/>
      <c r="AX315" s="124"/>
      <c r="AY315" s="124"/>
      <c r="AZ315" s="124"/>
    </row>
    <row r="316" spans="3:52" s="124" customFormat="1" ht="15.75" x14ac:dyDescent="0.25">
      <c r="C316" s="127">
        <v>44324</v>
      </c>
      <c r="D316" s="128" t="s">
        <v>29</v>
      </c>
      <c r="E316" s="128" t="s">
        <v>33</v>
      </c>
      <c r="F316" s="124">
        <v>1</v>
      </c>
      <c r="G316" s="167" t="s">
        <v>363</v>
      </c>
      <c r="J316" s="149"/>
      <c r="K316" s="128" t="e">
        <f>VLOOKUP(G316,'BASE PASAJEROS'!A:B,2,FALSE)</f>
        <v>#N/A</v>
      </c>
      <c r="L316" s="128" t="s">
        <v>316</v>
      </c>
      <c r="M316" s="128" t="e">
        <f>VLOOKUP(G316,'BASE PASAJEROS'!A:H,8,FALSE)</f>
        <v>#N/A</v>
      </c>
      <c r="N316" s="79"/>
      <c r="O316" s="79"/>
      <c r="P316" s="128" t="e">
        <f>VLOOKUP(G316,'BASE PASAJEROS'!A:F,6,FALSE)</f>
        <v>#N/A</v>
      </c>
      <c r="Q316" s="128" t="e">
        <f>VLOOKUP(G316,'BASE PASAJEROS'!A:C,3,FALSE)</f>
        <v>#N/A</v>
      </c>
      <c r="R316" s="128" t="e">
        <f>VLOOKUP(G316,'BASE PASAJEROS'!A:G,7,FALSE)</f>
        <v>#N/A</v>
      </c>
      <c r="S316" s="128" t="s">
        <v>305</v>
      </c>
      <c r="T316" s="128" t="s">
        <v>425</v>
      </c>
      <c r="U316" s="130" t="e">
        <f>VLOOKUP(G316,'BASE PASAJEROS'!A:AG,33,FALSE)</f>
        <v>#N/A</v>
      </c>
      <c r="V316" s="130" t="e">
        <f>VLOOKUP(G316,'BASE PASAJEROS'!A:AH,34,FALSE)</f>
        <v>#N/A</v>
      </c>
      <c r="X316" s="155" t="s">
        <v>368</v>
      </c>
      <c r="Y316" s="124" t="s">
        <v>21</v>
      </c>
      <c r="Z316" s="124" t="s">
        <v>328</v>
      </c>
      <c r="AA316" s="128" t="s">
        <v>319</v>
      </c>
      <c r="AB316" s="128" t="e">
        <f>VLOOKUP(AA316,'BASE BANCOS'!$A$2:$D$202,3,FALSE)</f>
        <v>#N/A</v>
      </c>
      <c r="AD316" s="129" t="e">
        <f>VLOOKUP(AC316,'BASE CONDUCTORES'!E:G,3,FALSE)</f>
        <v>#N/A</v>
      </c>
      <c r="AE316" s="155"/>
      <c r="AF316" s="150"/>
      <c r="AG316" s="150"/>
      <c r="AH316" s="150"/>
      <c r="AI316" s="150"/>
      <c r="AK316" s="180" t="s">
        <v>417</v>
      </c>
      <c r="AO316" s="150"/>
      <c r="AP316" s="150"/>
      <c r="AU316" s="151"/>
      <c r="AV316" s="133"/>
    </row>
    <row r="317" spans="3:52" s="142" customFormat="1" ht="21" x14ac:dyDescent="0.25">
      <c r="C317" s="176">
        <v>44324</v>
      </c>
      <c r="D317" s="177" t="s">
        <v>29</v>
      </c>
      <c r="E317" s="177" t="s">
        <v>33</v>
      </c>
      <c r="F317" s="142">
        <v>1</v>
      </c>
      <c r="G317" s="168" t="s">
        <v>378</v>
      </c>
      <c r="J317" s="149"/>
      <c r="K317" s="177" t="e">
        <f>VLOOKUP(G317,'BASE PASAJEROS'!A:B,2,FALSE)</f>
        <v>#N/A</v>
      </c>
      <c r="L317" s="177" t="s">
        <v>316</v>
      </c>
      <c r="M317" s="177" t="e">
        <f>VLOOKUP(G317,'BASE PASAJEROS'!A:H,8,FALSE)</f>
        <v>#N/A</v>
      </c>
      <c r="N317" s="79"/>
      <c r="O317" s="79"/>
      <c r="P317" s="177" t="e">
        <f>VLOOKUP(G317,'BASE PASAJEROS'!A:F,6,FALSE)</f>
        <v>#N/A</v>
      </c>
      <c r="Q317" s="177" t="e">
        <f>VLOOKUP(G317,'BASE PASAJEROS'!A:C,3,FALSE)</f>
        <v>#N/A</v>
      </c>
      <c r="R317" s="177" t="e">
        <f>VLOOKUP(G317,'BASE PASAJEROS'!A:G,7,FALSE)</f>
        <v>#N/A</v>
      </c>
      <c r="S317" s="177" t="s">
        <v>305</v>
      </c>
      <c r="T317" s="177" t="s">
        <v>426</v>
      </c>
      <c r="U317" s="130" t="e">
        <f>VLOOKUP(G317,'BASE PASAJEROS'!A:AG,33,FALSE)</f>
        <v>#N/A</v>
      </c>
      <c r="V317" s="130" t="e">
        <f>VLOOKUP(G317,'BASE PASAJEROS'!A:AH,34,FALSE)</f>
        <v>#N/A</v>
      </c>
      <c r="X317" s="155" t="s">
        <v>368</v>
      </c>
      <c r="Y317" s="142" t="s">
        <v>21</v>
      </c>
      <c r="Z317" s="142" t="s">
        <v>328</v>
      </c>
      <c r="AA317" s="128" t="s">
        <v>319</v>
      </c>
      <c r="AB317" s="128" t="e">
        <f>VLOOKUP(AA317,'BASE BANCOS'!$A$2:$D$202,3,FALSE)</f>
        <v>#N/A</v>
      </c>
      <c r="AD317" s="129" t="e">
        <f>VLOOKUP(AC317,'BASE CONDUCTORES'!E:G,3,FALSE)</f>
        <v>#N/A</v>
      </c>
      <c r="AE317" s="155"/>
      <c r="AF317" s="178"/>
      <c r="AG317" s="150"/>
      <c r="AH317" s="178"/>
      <c r="AI317" s="150"/>
      <c r="AJ317" s="124"/>
      <c r="AK317" s="181" t="s">
        <v>418</v>
      </c>
      <c r="AL317" s="124"/>
      <c r="AM317" s="124"/>
      <c r="AN317" s="124"/>
      <c r="AO317" s="150"/>
      <c r="AP317" s="150"/>
      <c r="AQ317" s="124"/>
      <c r="AR317" s="124"/>
      <c r="AS317" s="124"/>
      <c r="AT317" s="124"/>
      <c r="AU317" s="151"/>
      <c r="AV317" s="133"/>
      <c r="AW317" s="124"/>
      <c r="AX317" s="124"/>
      <c r="AY317" s="124"/>
      <c r="AZ317" s="124"/>
    </row>
    <row r="318" spans="3:52" s="124" customFormat="1" ht="15.75" x14ac:dyDescent="0.25">
      <c r="C318" s="127">
        <v>44324</v>
      </c>
      <c r="D318" s="128" t="s">
        <v>29</v>
      </c>
      <c r="E318" s="128" t="s">
        <v>33</v>
      </c>
      <c r="F318" s="124">
        <v>1</v>
      </c>
      <c r="G318" s="167" t="s">
        <v>356</v>
      </c>
      <c r="J318" s="149"/>
      <c r="K318" s="128" t="e">
        <f>VLOOKUP(G318,'BASE PASAJEROS'!A:B,2,FALSE)</f>
        <v>#N/A</v>
      </c>
      <c r="L318" s="128" t="s">
        <v>316</v>
      </c>
      <c r="M318" s="128" t="e">
        <f>VLOOKUP(G318,'BASE PASAJEROS'!A:H,8,FALSE)</f>
        <v>#N/A</v>
      </c>
      <c r="N318" s="79"/>
      <c r="O318" s="79"/>
      <c r="P318" s="128" t="e">
        <f>VLOOKUP(G318,'BASE PASAJEROS'!A:F,6,FALSE)</f>
        <v>#N/A</v>
      </c>
      <c r="Q318" s="128" t="e">
        <f>VLOOKUP(G318,'BASE PASAJEROS'!A:C,3,FALSE)</f>
        <v>#N/A</v>
      </c>
      <c r="R318" s="128" t="e">
        <f>VLOOKUP(G318,'BASE PASAJEROS'!A:G,7,FALSE)</f>
        <v>#N/A</v>
      </c>
      <c r="S318" s="128" t="s">
        <v>305</v>
      </c>
      <c r="T318" s="128" t="s">
        <v>427</v>
      </c>
      <c r="U318" s="130" t="e">
        <f>VLOOKUP(G318,'BASE PASAJEROS'!A:AG,33,FALSE)</f>
        <v>#N/A</v>
      </c>
      <c r="V318" s="130" t="e">
        <f>VLOOKUP(G318,'BASE PASAJEROS'!A:AH,34,FALSE)</f>
        <v>#N/A</v>
      </c>
      <c r="X318" s="155" t="s">
        <v>368</v>
      </c>
      <c r="Y318" s="124" t="s">
        <v>374</v>
      </c>
      <c r="Z318" s="124" t="s">
        <v>328</v>
      </c>
      <c r="AA318" s="128" t="s">
        <v>317</v>
      </c>
      <c r="AB318" s="128" t="e">
        <f>VLOOKUP(AA318,'BASE BANCOS'!$A$2:$D$202,3,FALSE)</f>
        <v>#N/A</v>
      </c>
      <c r="AC318" s="79" t="s">
        <v>405</v>
      </c>
      <c r="AD318" s="129" t="e">
        <f>VLOOKUP(AC318,'BASE CONDUCTORES'!E:G,3,FALSE)</f>
        <v>#N/A</v>
      </c>
      <c r="AE318" s="155"/>
      <c r="AF318" s="150"/>
      <c r="AG318" s="150"/>
      <c r="AH318" s="150"/>
      <c r="AI318" s="150"/>
      <c r="AO318" s="150"/>
      <c r="AP318" s="150"/>
      <c r="AU318" s="151"/>
      <c r="AV318" s="133"/>
    </row>
    <row r="319" spans="3:52" s="124" customFormat="1" ht="15.75" x14ac:dyDescent="0.25">
      <c r="C319" s="127">
        <v>44324</v>
      </c>
      <c r="D319" s="128" t="s">
        <v>29</v>
      </c>
      <c r="E319" s="128" t="s">
        <v>33</v>
      </c>
      <c r="F319" s="124">
        <v>1</v>
      </c>
      <c r="G319" s="167" t="s">
        <v>379</v>
      </c>
      <c r="J319" s="149"/>
      <c r="K319" s="128" t="e">
        <f>VLOOKUP(G319,'BASE PASAJEROS'!A:B,2,FALSE)</f>
        <v>#N/A</v>
      </c>
      <c r="L319" s="128" t="s">
        <v>316</v>
      </c>
      <c r="M319" s="128" t="e">
        <f>VLOOKUP(G319,'BASE PASAJEROS'!A:H,8,FALSE)</f>
        <v>#N/A</v>
      </c>
      <c r="N319" s="79"/>
      <c r="O319" s="79"/>
      <c r="P319" s="128" t="e">
        <f>VLOOKUP(G319,'BASE PASAJEROS'!A:F,6,FALSE)</f>
        <v>#N/A</v>
      </c>
      <c r="Q319" s="128" t="e">
        <f>VLOOKUP(G319,'BASE PASAJEROS'!A:C,3,FALSE)</f>
        <v>#N/A</v>
      </c>
      <c r="R319" s="128" t="e">
        <f>VLOOKUP(G319,'BASE PASAJEROS'!A:G,7,FALSE)</f>
        <v>#N/A</v>
      </c>
      <c r="S319" s="128" t="s">
        <v>305</v>
      </c>
      <c r="T319" s="128" t="s">
        <v>428</v>
      </c>
      <c r="U319" s="130" t="e">
        <f>VLOOKUP(G319,'BASE PASAJEROS'!A:AG,33,FALSE)</f>
        <v>#N/A</v>
      </c>
      <c r="V319" s="130" t="e">
        <f>VLOOKUP(G319,'BASE PASAJEROS'!A:AH,34,FALSE)</f>
        <v>#N/A</v>
      </c>
      <c r="X319" s="155" t="s">
        <v>368</v>
      </c>
      <c r="Y319" s="124" t="s">
        <v>374</v>
      </c>
      <c r="Z319" s="124" t="s">
        <v>328</v>
      </c>
      <c r="AA319" s="128" t="s">
        <v>317</v>
      </c>
      <c r="AB319" s="128" t="e">
        <f>VLOOKUP(AA319,'BASE BANCOS'!$A$2:$D$202,3,FALSE)</f>
        <v>#N/A</v>
      </c>
      <c r="AC319" s="143" t="s">
        <v>369</v>
      </c>
      <c r="AD319" s="129" t="e">
        <f>VLOOKUP(AC319,'BASE CONDUCTORES'!E:G,3,FALSE)</f>
        <v>#N/A</v>
      </c>
      <c r="AE319" s="155"/>
      <c r="AF319" s="150"/>
      <c r="AG319" s="150"/>
      <c r="AH319" s="150"/>
      <c r="AI319" s="150"/>
      <c r="AO319" s="150"/>
      <c r="AP319" s="150"/>
      <c r="AU319" s="151"/>
      <c r="AV319" s="133"/>
    </row>
    <row r="320" spans="3:52" s="124" customFormat="1" ht="15.75" x14ac:dyDescent="0.25">
      <c r="C320" s="127">
        <v>44324</v>
      </c>
      <c r="D320" s="128" t="s">
        <v>29</v>
      </c>
      <c r="E320" s="128" t="s">
        <v>33</v>
      </c>
      <c r="F320" s="124">
        <v>1</v>
      </c>
      <c r="G320" s="167" t="s">
        <v>380</v>
      </c>
      <c r="J320" s="149"/>
      <c r="K320" s="128" t="e">
        <f>VLOOKUP(G320,'BASE PASAJEROS'!A:B,2,FALSE)</f>
        <v>#N/A</v>
      </c>
      <c r="L320" s="128" t="s">
        <v>316</v>
      </c>
      <c r="M320" s="128" t="e">
        <f>VLOOKUP(G320,'BASE PASAJEROS'!A:H,8,FALSE)</f>
        <v>#N/A</v>
      </c>
      <c r="N320" s="79"/>
      <c r="O320" s="79"/>
      <c r="P320" s="128" t="e">
        <f>VLOOKUP(G320,'BASE PASAJEROS'!A:F,6,FALSE)</f>
        <v>#N/A</v>
      </c>
      <c r="Q320" s="128" t="e">
        <f>VLOOKUP(G320,'BASE PASAJEROS'!A:C,3,FALSE)</f>
        <v>#N/A</v>
      </c>
      <c r="R320" s="128" t="e">
        <f>VLOOKUP(G320,'BASE PASAJEROS'!A:G,7,FALSE)</f>
        <v>#N/A</v>
      </c>
      <c r="S320" s="128" t="s">
        <v>305</v>
      </c>
      <c r="T320" s="128" t="s">
        <v>429</v>
      </c>
      <c r="U320" s="130" t="e">
        <f>VLOOKUP(G320,'BASE PASAJEROS'!A:AG,33,FALSE)</f>
        <v>#N/A</v>
      </c>
      <c r="V320" s="130" t="e">
        <f>VLOOKUP(G320,'BASE PASAJEROS'!A:AH,34,FALSE)</f>
        <v>#N/A</v>
      </c>
      <c r="X320" s="155" t="s">
        <v>368</v>
      </c>
      <c r="Y320" s="124" t="s">
        <v>374</v>
      </c>
      <c r="Z320" s="124" t="s">
        <v>328</v>
      </c>
      <c r="AA320" s="128" t="s">
        <v>317</v>
      </c>
      <c r="AB320" s="128" t="e">
        <f>VLOOKUP(AA320,'BASE BANCOS'!$A$2:$D$202,3,FALSE)</f>
        <v>#N/A</v>
      </c>
      <c r="AC320" s="79" t="s">
        <v>405</v>
      </c>
      <c r="AD320" s="129" t="e">
        <f>VLOOKUP(AC320,'BASE CONDUCTORES'!E:G,3,FALSE)</f>
        <v>#N/A</v>
      </c>
      <c r="AE320" s="155"/>
      <c r="AF320" s="150"/>
      <c r="AG320" s="150"/>
      <c r="AH320" s="150"/>
      <c r="AI320" s="150"/>
      <c r="AO320" s="150"/>
      <c r="AP320" s="150"/>
      <c r="AU320" s="151"/>
      <c r="AV320" s="133"/>
    </row>
    <row r="321" spans="3:52" s="124" customFormat="1" ht="15.75" x14ac:dyDescent="0.25">
      <c r="C321" s="127">
        <v>44324</v>
      </c>
      <c r="D321" s="128" t="s">
        <v>29</v>
      </c>
      <c r="E321" s="128" t="s">
        <v>33</v>
      </c>
      <c r="F321" s="124">
        <v>1</v>
      </c>
      <c r="G321" s="167" t="s">
        <v>381</v>
      </c>
      <c r="J321" s="149"/>
      <c r="K321" s="128" t="e">
        <f>VLOOKUP(G321,'BASE PASAJEROS'!A:B,2,FALSE)</f>
        <v>#N/A</v>
      </c>
      <c r="L321" s="128" t="s">
        <v>316</v>
      </c>
      <c r="M321" s="128" t="e">
        <f>VLOOKUP(G321,'BASE PASAJEROS'!A:H,8,FALSE)</f>
        <v>#N/A</v>
      </c>
      <c r="N321" s="79"/>
      <c r="O321" s="79"/>
      <c r="P321" s="128" t="e">
        <f>VLOOKUP(G321,'BASE PASAJEROS'!A:F,6,FALSE)</f>
        <v>#N/A</v>
      </c>
      <c r="Q321" s="128" t="e">
        <f>VLOOKUP(G321,'BASE PASAJEROS'!A:C,3,FALSE)</f>
        <v>#N/A</v>
      </c>
      <c r="R321" s="128" t="e">
        <f>VLOOKUP(G321,'BASE PASAJEROS'!A:G,7,FALSE)</f>
        <v>#N/A</v>
      </c>
      <c r="S321" s="128" t="s">
        <v>305</v>
      </c>
      <c r="T321" s="128" t="s">
        <v>430</v>
      </c>
      <c r="U321" s="130" t="e">
        <f>VLOOKUP(G321,'BASE PASAJEROS'!A:AG,33,FALSE)</f>
        <v>#N/A</v>
      </c>
      <c r="V321" s="130" t="e">
        <f>VLOOKUP(G321,'BASE PASAJEROS'!A:AH,34,FALSE)</f>
        <v>#N/A</v>
      </c>
      <c r="X321" s="155" t="s">
        <v>368</v>
      </c>
      <c r="Y321" s="124" t="s">
        <v>374</v>
      </c>
      <c r="Z321" s="124" t="s">
        <v>328</v>
      </c>
      <c r="AA321" s="128" t="s">
        <v>317</v>
      </c>
      <c r="AB321" s="128" t="e">
        <f>VLOOKUP(AA321,'BASE BANCOS'!$A$2:$D$202,3,FALSE)</f>
        <v>#N/A</v>
      </c>
      <c r="AC321" s="128" t="s">
        <v>318</v>
      </c>
      <c r="AD321" s="129" t="e">
        <f>VLOOKUP(AC321,'BASE CONDUCTORES'!E:G,3,FALSE)</f>
        <v>#N/A</v>
      </c>
      <c r="AE321" s="155"/>
      <c r="AF321" s="150"/>
      <c r="AG321" s="150"/>
      <c r="AH321" s="150"/>
      <c r="AI321" s="150"/>
      <c r="AO321" s="150"/>
      <c r="AP321" s="150"/>
      <c r="AU321" s="151"/>
      <c r="AV321" s="133"/>
    </row>
    <row r="322" spans="3:52" s="124" customFormat="1" ht="15.75" x14ac:dyDescent="0.25">
      <c r="C322" s="127">
        <v>44324</v>
      </c>
      <c r="D322" s="128" t="s">
        <v>29</v>
      </c>
      <c r="E322" s="128" t="s">
        <v>33</v>
      </c>
      <c r="F322" s="124">
        <v>1</v>
      </c>
      <c r="G322" s="167" t="s">
        <v>382</v>
      </c>
      <c r="J322" s="149"/>
      <c r="K322" s="128" t="e">
        <f>VLOOKUP(G322,'BASE PASAJEROS'!A:B,2,FALSE)</f>
        <v>#N/A</v>
      </c>
      <c r="L322" s="128" t="s">
        <v>316</v>
      </c>
      <c r="M322" s="128" t="e">
        <f>VLOOKUP(G322,'BASE PASAJEROS'!A:H,8,FALSE)</f>
        <v>#N/A</v>
      </c>
      <c r="N322" s="79"/>
      <c r="O322" s="79"/>
      <c r="P322" s="128" t="e">
        <f>VLOOKUP(G322,'BASE PASAJEROS'!A:F,6,FALSE)</f>
        <v>#N/A</v>
      </c>
      <c r="Q322" s="128" t="e">
        <f>VLOOKUP(G322,'BASE PASAJEROS'!A:C,3,FALSE)</f>
        <v>#N/A</v>
      </c>
      <c r="R322" s="128" t="e">
        <f>VLOOKUP(G322,'BASE PASAJEROS'!A:G,7,FALSE)</f>
        <v>#N/A</v>
      </c>
      <c r="S322" s="128" t="s">
        <v>305</v>
      </c>
      <c r="T322" s="128" t="s">
        <v>431</v>
      </c>
      <c r="U322" s="130" t="e">
        <f>VLOOKUP(G322,'BASE PASAJEROS'!A:AG,33,FALSE)</f>
        <v>#N/A</v>
      </c>
      <c r="V322" s="130" t="e">
        <f>VLOOKUP(G322,'BASE PASAJEROS'!A:AH,34,FALSE)</f>
        <v>#N/A</v>
      </c>
      <c r="X322" s="155" t="s">
        <v>368</v>
      </c>
      <c r="Y322" s="124" t="s">
        <v>374</v>
      </c>
      <c r="Z322" s="124" t="s">
        <v>328</v>
      </c>
      <c r="AA322" s="128" t="s">
        <v>317</v>
      </c>
      <c r="AB322" s="128" t="e">
        <f>VLOOKUP(AA322,'BASE BANCOS'!$A$2:$D$202,3,FALSE)</f>
        <v>#N/A</v>
      </c>
      <c r="AC322" s="128" t="s">
        <v>318</v>
      </c>
      <c r="AD322" s="129" t="e">
        <f>VLOOKUP(AC322,'BASE CONDUCTORES'!E:G,3,FALSE)</f>
        <v>#N/A</v>
      </c>
      <c r="AE322" s="155"/>
      <c r="AF322" s="150"/>
      <c r="AG322" s="150"/>
      <c r="AH322" s="150"/>
      <c r="AI322" s="150"/>
      <c r="AO322" s="150"/>
      <c r="AP322" s="150"/>
      <c r="AU322" s="151"/>
      <c r="AV322" s="133"/>
    </row>
    <row r="323" spans="3:52" s="124" customFormat="1" ht="15.75" x14ac:dyDescent="0.25">
      <c r="C323" s="127">
        <v>44324</v>
      </c>
      <c r="D323" s="128" t="s">
        <v>29</v>
      </c>
      <c r="E323" s="128" t="s">
        <v>33</v>
      </c>
      <c r="F323" s="124">
        <v>1</v>
      </c>
      <c r="G323" s="167" t="s">
        <v>383</v>
      </c>
      <c r="J323" s="149"/>
      <c r="K323" s="128" t="e">
        <f>VLOOKUP(G323,'BASE PASAJEROS'!A:B,2,FALSE)</f>
        <v>#N/A</v>
      </c>
      <c r="L323" s="128" t="s">
        <v>316</v>
      </c>
      <c r="M323" s="128" t="e">
        <f>VLOOKUP(G323,'BASE PASAJEROS'!A:H,8,FALSE)</f>
        <v>#N/A</v>
      </c>
      <c r="N323" s="79"/>
      <c r="O323" s="79"/>
      <c r="P323" s="128" t="e">
        <f>VLOOKUP(G323,'BASE PASAJEROS'!A:F,6,FALSE)</f>
        <v>#N/A</v>
      </c>
      <c r="Q323" s="128" t="e">
        <f>VLOOKUP(G323,'BASE PASAJEROS'!A:C,3,FALSE)</f>
        <v>#N/A</v>
      </c>
      <c r="R323" s="128" t="e">
        <f>VLOOKUP(G323,'BASE PASAJEROS'!A:G,7,FALSE)</f>
        <v>#N/A</v>
      </c>
      <c r="S323" s="128" t="s">
        <v>305</v>
      </c>
      <c r="T323" s="128" t="s">
        <v>432</v>
      </c>
      <c r="U323" s="130" t="e">
        <f>VLOOKUP(G323,'BASE PASAJEROS'!A:AG,33,FALSE)</f>
        <v>#N/A</v>
      </c>
      <c r="V323" s="130" t="e">
        <f>VLOOKUP(G323,'BASE PASAJEROS'!A:AH,34,FALSE)</f>
        <v>#N/A</v>
      </c>
      <c r="X323" s="155" t="s">
        <v>368</v>
      </c>
      <c r="Y323" s="124" t="s">
        <v>374</v>
      </c>
      <c r="Z323" s="124" t="s">
        <v>328</v>
      </c>
      <c r="AA323" s="128" t="s">
        <v>317</v>
      </c>
      <c r="AB323" s="128" t="e">
        <f>VLOOKUP(AA323,'BASE BANCOS'!$A$2:$D$202,3,FALSE)</f>
        <v>#N/A</v>
      </c>
      <c r="AC323" s="79" t="s">
        <v>405</v>
      </c>
      <c r="AD323" s="129" t="e">
        <f>VLOOKUP(AC323,'BASE CONDUCTORES'!E:G,3,FALSE)</f>
        <v>#N/A</v>
      </c>
      <c r="AE323" s="155"/>
      <c r="AF323" s="150"/>
      <c r="AG323" s="150"/>
      <c r="AH323" s="150"/>
      <c r="AI323" s="150"/>
      <c r="AO323" s="150"/>
      <c r="AP323" s="150"/>
      <c r="AU323" s="151"/>
      <c r="AV323" s="133"/>
    </row>
    <row r="324" spans="3:52" s="124" customFormat="1" ht="15.75" x14ac:dyDescent="0.25">
      <c r="C324" s="127">
        <v>44324</v>
      </c>
      <c r="D324" s="128" t="s">
        <v>29</v>
      </c>
      <c r="E324" s="128" t="s">
        <v>33</v>
      </c>
      <c r="F324" s="124">
        <v>1</v>
      </c>
      <c r="G324" s="167" t="s">
        <v>384</v>
      </c>
      <c r="J324" s="149"/>
      <c r="K324" s="128" t="e">
        <f>VLOOKUP(G324,'BASE PASAJEROS'!A:B,2,FALSE)</f>
        <v>#N/A</v>
      </c>
      <c r="L324" s="128" t="s">
        <v>316</v>
      </c>
      <c r="M324" s="128" t="e">
        <f>VLOOKUP(G324,'BASE PASAJEROS'!A:H,8,FALSE)</f>
        <v>#N/A</v>
      </c>
      <c r="N324" s="79"/>
      <c r="O324" s="79"/>
      <c r="P324" s="128" t="e">
        <f>VLOOKUP(G324,'BASE PASAJEROS'!A:F,6,FALSE)</f>
        <v>#N/A</v>
      </c>
      <c r="Q324" s="128" t="e">
        <f>VLOOKUP(G324,'BASE PASAJEROS'!A:C,3,FALSE)</f>
        <v>#N/A</v>
      </c>
      <c r="R324" s="128" t="e">
        <f>VLOOKUP(G324,'BASE PASAJEROS'!A:G,7,FALSE)</f>
        <v>#N/A</v>
      </c>
      <c r="S324" s="128" t="s">
        <v>305</v>
      </c>
      <c r="T324" s="128" t="s">
        <v>433</v>
      </c>
      <c r="U324" s="130" t="e">
        <f>VLOOKUP(G324,'BASE PASAJEROS'!A:AG,33,FALSE)</f>
        <v>#N/A</v>
      </c>
      <c r="V324" s="130" t="e">
        <f>VLOOKUP(G324,'BASE PASAJEROS'!A:AH,34,FALSE)</f>
        <v>#N/A</v>
      </c>
      <c r="X324" s="155" t="s">
        <v>368</v>
      </c>
      <c r="Y324" s="124" t="s">
        <v>374</v>
      </c>
      <c r="Z324" s="124" t="s">
        <v>328</v>
      </c>
      <c r="AA324" s="128" t="s">
        <v>317</v>
      </c>
      <c r="AB324" s="128" t="e">
        <f>VLOOKUP(AA324,'BASE BANCOS'!$A$2:$D$202,3,FALSE)</f>
        <v>#N/A</v>
      </c>
      <c r="AC324" s="79" t="s">
        <v>405</v>
      </c>
      <c r="AD324" s="129" t="e">
        <f>VLOOKUP(AC324,'BASE CONDUCTORES'!E:G,3,FALSE)</f>
        <v>#N/A</v>
      </c>
      <c r="AE324" s="155"/>
      <c r="AF324" s="150"/>
      <c r="AG324" s="150"/>
      <c r="AH324" s="150"/>
      <c r="AI324" s="150"/>
      <c r="AO324" s="150"/>
      <c r="AP324" s="150"/>
      <c r="AU324" s="151"/>
      <c r="AV324" s="133"/>
    </row>
    <row r="325" spans="3:52" s="124" customFormat="1" ht="15.75" x14ac:dyDescent="0.25">
      <c r="C325" s="127">
        <v>44324</v>
      </c>
      <c r="D325" s="128" t="s">
        <v>29</v>
      </c>
      <c r="E325" s="128" t="s">
        <v>33</v>
      </c>
      <c r="F325" s="124">
        <v>1</v>
      </c>
      <c r="G325" s="167" t="s">
        <v>385</v>
      </c>
      <c r="J325" s="149"/>
      <c r="K325" s="128" t="e">
        <f>VLOOKUP(G325,'BASE PASAJEROS'!A:B,2,FALSE)</f>
        <v>#N/A</v>
      </c>
      <c r="L325" s="128" t="s">
        <v>316</v>
      </c>
      <c r="M325" s="128" t="e">
        <f>VLOOKUP(G325,'BASE PASAJEROS'!A:H,8,FALSE)</f>
        <v>#N/A</v>
      </c>
      <c r="N325" s="79"/>
      <c r="O325" s="79"/>
      <c r="P325" s="128" t="e">
        <f>VLOOKUP(G325,'BASE PASAJEROS'!A:F,6,FALSE)</f>
        <v>#N/A</v>
      </c>
      <c r="Q325" s="128" t="e">
        <f>VLOOKUP(G325,'BASE PASAJEROS'!A:C,3,FALSE)</f>
        <v>#N/A</v>
      </c>
      <c r="R325" s="128" t="e">
        <f>VLOOKUP(G325,'BASE PASAJEROS'!A:G,7,FALSE)</f>
        <v>#N/A</v>
      </c>
      <c r="S325" s="128" t="s">
        <v>305</v>
      </c>
      <c r="T325" s="128" t="s">
        <v>434</v>
      </c>
      <c r="U325" s="130" t="e">
        <f>VLOOKUP(G325,'BASE PASAJEROS'!A:AG,33,FALSE)</f>
        <v>#N/A</v>
      </c>
      <c r="V325" s="130" t="e">
        <f>VLOOKUP(G325,'BASE PASAJEROS'!A:AH,34,FALSE)</f>
        <v>#N/A</v>
      </c>
      <c r="X325" s="155" t="s">
        <v>368</v>
      </c>
      <c r="Y325" s="124" t="s">
        <v>374</v>
      </c>
      <c r="Z325" s="124" t="s">
        <v>328</v>
      </c>
      <c r="AA325" s="128" t="s">
        <v>317</v>
      </c>
      <c r="AB325" s="128" t="e">
        <f>VLOOKUP(AA325,'BASE BANCOS'!$A$2:$D$202,3,FALSE)</f>
        <v>#N/A</v>
      </c>
      <c r="AC325" s="143" t="s">
        <v>369</v>
      </c>
      <c r="AD325" s="129" t="e">
        <f>VLOOKUP(AC325,'BASE CONDUCTORES'!E:G,3,FALSE)</f>
        <v>#N/A</v>
      </c>
      <c r="AE325" s="155"/>
      <c r="AF325" s="150"/>
      <c r="AG325" s="150"/>
      <c r="AH325" s="150"/>
      <c r="AI325" s="150"/>
      <c r="AO325" s="150"/>
      <c r="AP325" s="150"/>
      <c r="AU325" s="151"/>
      <c r="AV325" s="133"/>
    </row>
    <row r="326" spans="3:52" s="124" customFormat="1" ht="15.75" x14ac:dyDescent="0.25">
      <c r="C326" s="127">
        <v>44324</v>
      </c>
      <c r="D326" s="128" t="s">
        <v>29</v>
      </c>
      <c r="E326" s="128" t="s">
        <v>33</v>
      </c>
      <c r="F326" s="124">
        <v>1</v>
      </c>
      <c r="G326" s="167" t="s">
        <v>386</v>
      </c>
      <c r="J326" s="149"/>
      <c r="K326" s="128" t="e">
        <f>VLOOKUP(G326,'BASE PASAJEROS'!A:B,2,FALSE)</f>
        <v>#N/A</v>
      </c>
      <c r="L326" s="128" t="s">
        <v>316</v>
      </c>
      <c r="M326" s="128" t="e">
        <f>VLOOKUP(G326,'BASE PASAJEROS'!A:H,8,FALSE)</f>
        <v>#N/A</v>
      </c>
      <c r="N326" s="79"/>
      <c r="O326" s="79"/>
      <c r="P326" s="128" t="e">
        <f>VLOOKUP(G326,'BASE PASAJEROS'!A:F,6,FALSE)</f>
        <v>#N/A</v>
      </c>
      <c r="Q326" s="128" t="e">
        <f>VLOOKUP(G326,'BASE PASAJEROS'!A:C,3,FALSE)</f>
        <v>#N/A</v>
      </c>
      <c r="R326" s="128" t="e">
        <f>VLOOKUP(G326,'BASE PASAJEROS'!A:G,7,FALSE)</f>
        <v>#N/A</v>
      </c>
      <c r="S326" s="128" t="s">
        <v>305</v>
      </c>
      <c r="T326" s="128" t="s">
        <v>435</v>
      </c>
      <c r="U326" s="130" t="e">
        <f>VLOOKUP(G326,'BASE PASAJEROS'!A:AG,33,FALSE)</f>
        <v>#N/A</v>
      </c>
      <c r="V326" s="130" t="e">
        <f>VLOOKUP(G326,'BASE PASAJEROS'!A:AH,34,FALSE)</f>
        <v>#N/A</v>
      </c>
      <c r="X326" s="155" t="s">
        <v>368</v>
      </c>
      <c r="Y326" s="124" t="s">
        <v>374</v>
      </c>
      <c r="Z326" s="124" t="s">
        <v>328</v>
      </c>
      <c r="AA326" s="128" t="s">
        <v>317</v>
      </c>
      <c r="AB326" s="128" t="e">
        <f>VLOOKUP(AA326,'BASE BANCOS'!$A$2:$D$202,3,FALSE)</f>
        <v>#N/A</v>
      </c>
      <c r="AC326" s="79" t="s">
        <v>405</v>
      </c>
      <c r="AD326" s="129" t="e">
        <f>VLOOKUP(AC326,'BASE CONDUCTORES'!E:G,3,FALSE)</f>
        <v>#N/A</v>
      </c>
      <c r="AE326" s="155"/>
      <c r="AF326" s="150"/>
      <c r="AG326" s="150"/>
      <c r="AH326" s="150"/>
      <c r="AI326" s="150"/>
      <c r="AO326" s="150"/>
      <c r="AP326" s="150"/>
      <c r="AU326" s="151"/>
      <c r="AV326" s="133"/>
    </row>
    <row r="327" spans="3:52" s="124" customFormat="1" ht="15.75" x14ac:dyDescent="0.25">
      <c r="C327" s="127">
        <v>44324</v>
      </c>
      <c r="D327" s="128" t="s">
        <v>29</v>
      </c>
      <c r="E327" s="128" t="s">
        <v>33</v>
      </c>
      <c r="F327" s="124">
        <v>1</v>
      </c>
      <c r="G327" s="167" t="s">
        <v>387</v>
      </c>
      <c r="J327" s="149"/>
      <c r="K327" s="128" t="e">
        <f>VLOOKUP(G327,'BASE PASAJEROS'!A:B,2,FALSE)</f>
        <v>#N/A</v>
      </c>
      <c r="L327" s="128" t="s">
        <v>316</v>
      </c>
      <c r="M327" s="128" t="e">
        <f>VLOOKUP(G327,'BASE PASAJEROS'!A:H,8,FALSE)</f>
        <v>#N/A</v>
      </c>
      <c r="N327" s="79"/>
      <c r="O327" s="79"/>
      <c r="P327" s="128" t="e">
        <f>VLOOKUP(G327,'BASE PASAJEROS'!A:F,6,FALSE)</f>
        <v>#N/A</v>
      </c>
      <c r="Q327" s="128" t="e">
        <f>VLOOKUP(G327,'BASE PASAJEROS'!A:C,3,FALSE)</f>
        <v>#N/A</v>
      </c>
      <c r="R327" s="128" t="e">
        <f>VLOOKUP(G327,'BASE PASAJEROS'!A:G,7,FALSE)</f>
        <v>#N/A</v>
      </c>
      <c r="S327" s="128" t="s">
        <v>305</v>
      </c>
      <c r="T327" s="128" t="s">
        <v>436</v>
      </c>
      <c r="U327" s="130" t="e">
        <f>VLOOKUP(G327,'BASE PASAJEROS'!A:AG,33,FALSE)</f>
        <v>#N/A</v>
      </c>
      <c r="V327" s="130" t="e">
        <f>VLOOKUP(G327,'BASE PASAJEROS'!A:AH,34,FALSE)</f>
        <v>#N/A</v>
      </c>
      <c r="X327" s="155" t="s">
        <v>368</v>
      </c>
      <c r="Y327" s="124" t="s">
        <v>374</v>
      </c>
      <c r="Z327" s="124" t="s">
        <v>328</v>
      </c>
      <c r="AA327" s="128" t="s">
        <v>317</v>
      </c>
      <c r="AB327" s="128" t="e">
        <f>VLOOKUP(AA327,'BASE BANCOS'!$A$2:$D$202,3,FALSE)</f>
        <v>#N/A</v>
      </c>
      <c r="AC327" s="143" t="s">
        <v>369</v>
      </c>
      <c r="AD327" s="129" t="e">
        <f>VLOOKUP(AC327,'BASE CONDUCTORES'!E:G,3,FALSE)</f>
        <v>#N/A</v>
      </c>
      <c r="AE327" s="155"/>
      <c r="AF327" s="150"/>
      <c r="AG327" s="150"/>
      <c r="AH327" s="150"/>
      <c r="AI327" s="150"/>
      <c r="AO327" s="150"/>
      <c r="AP327" s="150"/>
      <c r="AU327" s="151"/>
      <c r="AV327" s="133"/>
    </row>
    <row r="328" spans="3:52" s="124" customFormat="1" ht="15.75" x14ac:dyDescent="0.25">
      <c r="C328" s="127">
        <v>44324</v>
      </c>
      <c r="D328" s="128" t="s">
        <v>29</v>
      </c>
      <c r="E328" s="128" t="s">
        <v>33</v>
      </c>
      <c r="F328" s="124">
        <v>1</v>
      </c>
      <c r="G328" s="167" t="s">
        <v>388</v>
      </c>
      <c r="J328" s="149"/>
      <c r="K328" s="128" t="e">
        <f>VLOOKUP(G328,'BASE PASAJEROS'!A:B,2,FALSE)</f>
        <v>#N/A</v>
      </c>
      <c r="L328" s="128" t="s">
        <v>316</v>
      </c>
      <c r="M328" s="128" t="e">
        <f>VLOOKUP(G328,'BASE PASAJEROS'!A:H,8,FALSE)</f>
        <v>#N/A</v>
      </c>
      <c r="N328" s="79"/>
      <c r="O328" s="79"/>
      <c r="P328" s="128" t="e">
        <f>VLOOKUP(G328,'BASE PASAJEROS'!A:F,6,FALSE)</f>
        <v>#N/A</v>
      </c>
      <c r="Q328" s="128" t="e">
        <f>VLOOKUP(G328,'BASE PASAJEROS'!A:C,3,FALSE)</f>
        <v>#N/A</v>
      </c>
      <c r="R328" s="128" t="e">
        <f>VLOOKUP(G328,'BASE PASAJEROS'!A:G,7,FALSE)</f>
        <v>#N/A</v>
      </c>
      <c r="S328" s="128" t="s">
        <v>305</v>
      </c>
      <c r="T328" s="128" t="s">
        <v>437</v>
      </c>
      <c r="U328" s="130" t="e">
        <f>VLOOKUP(G328,'BASE PASAJEROS'!A:AG,33,FALSE)</f>
        <v>#N/A</v>
      </c>
      <c r="V328" s="130" t="e">
        <f>VLOOKUP(G328,'BASE PASAJEROS'!A:AH,34,FALSE)</f>
        <v>#N/A</v>
      </c>
      <c r="X328" s="155" t="s">
        <v>368</v>
      </c>
      <c r="Y328" s="124" t="s">
        <v>374</v>
      </c>
      <c r="Z328" s="124" t="s">
        <v>328</v>
      </c>
      <c r="AA328" s="128" t="s">
        <v>317</v>
      </c>
      <c r="AB328" s="128" t="e">
        <f>VLOOKUP(AA328,'BASE BANCOS'!$A$2:$D$202,3,FALSE)</f>
        <v>#N/A</v>
      </c>
      <c r="AC328" s="79" t="s">
        <v>405</v>
      </c>
      <c r="AD328" s="129" t="e">
        <f>VLOOKUP(AC328,'BASE CONDUCTORES'!E:G,3,FALSE)</f>
        <v>#N/A</v>
      </c>
      <c r="AE328" s="155"/>
      <c r="AF328" s="150"/>
      <c r="AG328" s="150"/>
      <c r="AH328" s="150"/>
      <c r="AI328" s="150"/>
      <c r="AO328" s="150"/>
      <c r="AP328" s="150"/>
      <c r="AU328" s="151"/>
      <c r="AV328" s="133"/>
    </row>
    <row r="329" spans="3:52" s="124" customFormat="1" ht="15.75" x14ac:dyDescent="0.25">
      <c r="C329" s="127">
        <v>44324</v>
      </c>
      <c r="D329" s="128" t="s">
        <v>29</v>
      </c>
      <c r="E329" s="128" t="s">
        <v>33</v>
      </c>
      <c r="F329" s="124">
        <v>1</v>
      </c>
      <c r="G329" s="167" t="s">
        <v>389</v>
      </c>
      <c r="J329" s="149"/>
      <c r="K329" s="128" t="e">
        <f>VLOOKUP(G329,'BASE PASAJEROS'!A:B,2,FALSE)</f>
        <v>#N/A</v>
      </c>
      <c r="L329" s="128" t="s">
        <v>316</v>
      </c>
      <c r="M329" s="128" t="e">
        <f>VLOOKUP(G329,'BASE PASAJEROS'!A:H,8,FALSE)</f>
        <v>#N/A</v>
      </c>
      <c r="N329" s="79"/>
      <c r="O329" s="79"/>
      <c r="P329" s="128" t="e">
        <f>VLOOKUP(G329,'BASE PASAJEROS'!A:F,6,FALSE)</f>
        <v>#N/A</v>
      </c>
      <c r="Q329" s="128" t="e">
        <f>VLOOKUP(G329,'BASE PASAJEROS'!A:C,3,FALSE)</f>
        <v>#N/A</v>
      </c>
      <c r="R329" s="128" t="e">
        <f>VLOOKUP(G329,'BASE PASAJEROS'!A:G,7,FALSE)</f>
        <v>#N/A</v>
      </c>
      <c r="S329" s="128" t="s">
        <v>305</v>
      </c>
      <c r="T329" s="128" t="s">
        <v>438</v>
      </c>
      <c r="U329" s="130" t="e">
        <f>VLOOKUP(G329,'BASE PASAJEROS'!A:AG,33,FALSE)</f>
        <v>#N/A</v>
      </c>
      <c r="V329" s="130" t="e">
        <f>VLOOKUP(G329,'BASE PASAJEROS'!A:AH,34,FALSE)</f>
        <v>#N/A</v>
      </c>
      <c r="X329" s="155" t="s">
        <v>368</v>
      </c>
      <c r="Y329" s="124" t="s">
        <v>374</v>
      </c>
      <c r="Z329" s="124" t="s">
        <v>328</v>
      </c>
      <c r="AA329" s="128" t="s">
        <v>317</v>
      </c>
      <c r="AB329" s="128" t="e">
        <f>VLOOKUP(AA329,'BASE BANCOS'!$A$2:$D$202,3,FALSE)</f>
        <v>#N/A</v>
      </c>
      <c r="AC329" s="143" t="s">
        <v>369</v>
      </c>
      <c r="AD329" s="129" t="e">
        <f>VLOOKUP(AC329,'BASE CONDUCTORES'!E:G,3,FALSE)</f>
        <v>#N/A</v>
      </c>
      <c r="AE329" s="155"/>
      <c r="AF329" s="150"/>
      <c r="AG329" s="150"/>
      <c r="AH329" s="150"/>
      <c r="AI329" s="150"/>
      <c r="AO329" s="150"/>
      <c r="AP329" s="150"/>
      <c r="AU329" s="151"/>
      <c r="AV329" s="133"/>
    </row>
    <row r="330" spans="3:52" s="124" customFormat="1" ht="15.75" x14ac:dyDescent="0.25">
      <c r="C330" s="127">
        <v>44324</v>
      </c>
      <c r="D330" s="128" t="s">
        <v>29</v>
      </c>
      <c r="E330" s="128" t="s">
        <v>33</v>
      </c>
      <c r="F330" s="124">
        <v>1</v>
      </c>
      <c r="G330" s="167" t="s">
        <v>390</v>
      </c>
      <c r="J330" s="149"/>
      <c r="K330" s="128" t="e">
        <f>VLOOKUP(G330,'BASE PASAJEROS'!A:B,2,FALSE)</f>
        <v>#N/A</v>
      </c>
      <c r="L330" s="128" t="s">
        <v>316</v>
      </c>
      <c r="M330" s="128" t="e">
        <f>VLOOKUP(G330,'BASE PASAJEROS'!A:H,8,FALSE)</f>
        <v>#N/A</v>
      </c>
      <c r="N330" s="79"/>
      <c r="O330" s="79"/>
      <c r="P330" s="128" t="e">
        <f>VLOOKUP(G330,'BASE PASAJEROS'!A:F,6,FALSE)</f>
        <v>#N/A</v>
      </c>
      <c r="Q330" s="128" t="e">
        <f>VLOOKUP(G330,'BASE PASAJEROS'!A:C,3,FALSE)</f>
        <v>#N/A</v>
      </c>
      <c r="R330" s="128" t="e">
        <f>VLOOKUP(G330,'BASE PASAJEROS'!A:G,7,FALSE)</f>
        <v>#N/A</v>
      </c>
      <c r="S330" s="128" t="s">
        <v>305</v>
      </c>
      <c r="T330" s="128" t="s">
        <v>439</v>
      </c>
      <c r="U330" s="130" t="e">
        <f>VLOOKUP(G330,'BASE PASAJEROS'!A:AG,33,FALSE)</f>
        <v>#N/A</v>
      </c>
      <c r="V330" s="130" t="e">
        <f>VLOOKUP(G330,'BASE PASAJEROS'!A:AH,34,FALSE)</f>
        <v>#N/A</v>
      </c>
      <c r="X330" s="155" t="s">
        <v>368</v>
      </c>
      <c r="Y330" s="124" t="s">
        <v>374</v>
      </c>
      <c r="Z330" s="124" t="s">
        <v>328</v>
      </c>
      <c r="AA330" s="128" t="s">
        <v>317</v>
      </c>
      <c r="AB330" s="128" t="e">
        <f>VLOOKUP(AA330,'BASE BANCOS'!$A$2:$D$202,3,FALSE)</f>
        <v>#N/A</v>
      </c>
      <c r="AC330" s="143" t="s">
        <v>369</v>
      </c>
      <c r="AD330" s="129" t="e">
        <f>VLOOKUP(AC330,'BASE CONDUCTORES'!E:G,3,FALSE)</f>
        <v>#N/A</v>
      </c>
      <c r="AE330" s="155"/>
      <c r="AF330" s="150"/>
      <c r="AG330" s="150"/>
      <c r="AH330" s="150"/>
      <c r="AI330" s="150"/>
      <c r="AO330" s="150"/>
      <c r="AP330" s="150"/>
      <c r="AU330" s="151"/>
      <c r="AV330" s="133"/>
    </row>
    <row r="331" spans="3:52" s="124" customFormat="1" ht="15.75" x14ac:dyDescent="0.25">
      <c r="C331" s="127">
        <v>44324</v>
      </c>
      <c r="D331" s="128" t="s">
        <v>29</v>
      </c>
      <c r="E331" s="128" t="s">
        <v>33</v>
      </c>
      <c r="F331" s="124">
        <v>1</v>
      </c>
      <c r="G331" s="167" t="s">
        <v>391</v>
      </c>
      <c r="J331" s="149"/>
      <c r="K331" s="128" t="e">
        <f>VLOOKUP(G331,'BASE PASAJEROS'!A:B,2,FALSE)</f>
        <v>#N/A</v>
      </c>
      <c r="L331" s="128" t="s">
        <v>316</v>
      </c>
      <c r="M331" s="128" t="e">
        <f>VLOOKUP(G331,'BASE PASAJEROS'!A:H,8,FALSE)</f>
        <v>#N/A</v>
      </c>
      <c r="N331" s="79"/>
      <c r="O331" s="79"/>
      <c r="P331" s="128" t="e">
        <f>VLOOKUP(G331,'BASE PASAJEROS'!A:F,6,FALSE)</f>
        <v>#N/A</v>
      </c>
      <c r="Q331" s="128" t="e">
        <f>VLOOKUP(G331,'BASE PASAJEROS'!A:C,3,FALSE)</f>
        <v>#N/A</v>
      </c>
      <c r="R331" s="128" t="e">
        <f>VLOOKUP(G331,'BASE PASAJEROS'!A:G,7,FALSE)</f>
        <v>#N/A</v>
      </c>
      <c r="S331" s="128" t="s">
        <v>305</v>
      </c>
      <c r="T331" s="128" t="s">
        <v>440</v>
      </c>
      <c r="U331" s="130" t="e">
        <f>VLOOKUP(G331,'BASE PASAJEROS'!A:AG,33,FALSE)</f>
        <v>#N/A</v>
      </c>
      <c r="V331" s="130" t="e">
        <f>VLOOKUP(G331,'BASE PASAJEROS'!A:AH,34,FALSE)</f>
        <v>#N/A</v>
      </c>
      <c r="X331" s="155" t="s">
        <v>368</v>
      </c>
      <c r="Y331" s="124" t="s">
        <v>374</v>
      </c>
      <c r="Z331" s="124" t="s">
        <v>328</v>
      </c>
      <c r="AA331" s="128" t="s">
        <v>317</v>
      </c>
      <c r="AB331" s="128" t="e">
        <f>VLOOKUP(AA331,'BASE BANCOS'!$A$2:$D$202,3,FALSE)</f>
        <v>#N/A</v>
      </c>
      <c r="AC331" s="128" t="s">
        <v>318</v>
      </c>
      <c r="AD331" s="129" t="e">
        <f>VLOOKUP(AC331,'BASE CONDUCTORES'!E:G,3,FALSE)</f>
        <v>#N/A</v>
      </c>
      <c r="AE331" s="155"/>
      <c r="AF331" s="150"/>
      <c r="AG331" s="150"/>
      <c r="AH331" s="150"/>
      <c r="AI331" s="150"/>
      <c r="AO331" s="150"/>
      <c r="AP331" s="150"/>
      <c r="AU331" s="151"/>
      <c r="AV331" s="133"/>
    </row>
    <row r="332" spans="3:52" s="124" customFormat="1" ht="15.75" x14ac:dyDescent="0.25">
      <c r="C332" s="127">
        <v>44324</v>
      </c>
      <c r="D332" s="128" t="s">
        <v>29</v>
      </c>
      <c r="E332" s="128" t="s">
        <v>33</v>
      </c>
      <c r="F332" s="124">
        <v>1</v>
      </c>
      <c r="G332" s="167" t="s">
        <v>392</v>
      </c>
      <c r="J332" s="149"/>
      <c r="K332" s="128" t="e">
        <f>VLOOKUP(G332,'BASE PASAJEROS'!A:B,2,FALSE)</f>
        <v>#N/A</v>
      </c>
      <c r="L332" s="128" t="s">
        <v>316</v>
      </c>
      <c r="M332" s="128" t="e">
        <f>VLOOKUP(G332,'BASE PASAJEROS'!A:H,8,FALSE)</f>
        <v>#N/A</v>
      </c>
      <c r="N332" s="79"/>
      <c r="O332" s="79"/>
      <c r="P332" s="128" t="e">
        <f>VLOOKUP(G332,'BASE PASAJEROS'!A:F,6,FALSE)</f>
        <v>#N/A</v>
      </c>
      <c r="Q332" s="128" t="e">
        <f>VLOOKUP(G332,'BASE PASAJEROS'!A:C,3,FALSE)</f>
        <v>#N/A</v>
      </c>
      <c r="R332" s="128" t="e">
        <f>VLOOKUP(G332,'BASE PASAJEROS'!A:G,7,FALSE)</f>
        <v>#N/A</v>
      </c>
      <c r="S332" s="128" t="s">
        <v>305</v>
      </c>
      <c r="T332" s="128" t="s">
        <v>441</v>
      </c>
      <c r="U332" s="130" t="e">
        <f>VLOOKUP(G332,'BASE PASAJEROS'!A:AG,33,FALSE)</f>
        <v>#N/A</v>
      </c>
      <c r="V332" s="130" t="e">
        <f>VLOOKUP(G332,'BASE PASAJEROS'!A:AH,34,FALSE)</f>
        <v>#N/A</v>
      </c>
      <c r="X332" s="155" t="s">
        <v>368</v>
      </c>
      <c r="Y332" s="124" t="s">
        <v>374</v>
      </c>
      <c r="Z332" s="124" t="s">
        <v>328</v>
      </c>
      <c r="AA332" s="128" t="s">
        <v>317</v>
      </c>
      <c r="AB332" s="128" t="e">
        <f>VLOOKUP(AA332,'BASE BANCOS'!$A$2:$D$202,3,FALSE)</f>
        <v>#N/A</v>
      </c>
      <c r="AC332" s="128" t="s">
        <v>318</v>
      </c>
      <c r="AD332" s="129" t="e">
        <f>VLOOKUP(AC332,'BASE CONDUCTORES'!E:G,3,FALSE)</f>
        <v>#N/A</v>
      </c>
      <c r="AE332" s="155"/>
      <c r="AF332" s="150"/>
      <c r="AG332" s="150"/>
      <c r="AH332" s="150"/>
      <c r="AI332" s="150"/>
      <c r="AO332" s="150"/>
      <c r="AP332" s="150"/>
      <c r="AU332" s="151"/>
      <c r="AV332" s="133"/>
    </row>
    <row r="333" spans="3:52" s="124" customFormat="1" ht="15.75" x14ac:dyDescent="0.25">
      <c r="C333" s="127">
        <v>44324</v>
      </c>
      <c r="D333" s="128" t="s">
        <v>29</v>
      </c>
      <c r="E333" s="128" t="s">
        <v>33</v>
      </c>
      <c r="F333" s="124">
        <v>1</v>
      </c>
      <c r="G333" s="167" t="s">
        <v>393</v>
      </c>
      <c r="J333" s="149"/>
      <c r="K333" s="128" t="e">
        <f>VLOOKUP(G333,'BASE PASAJEROS'!A:B,2,FALSE)</f>
        <v>#N/A</v>
      </c>
      <c r="L333" s="128" t="s">
        <v>316</v>
      </c>
      <c r="M333" s="128" t="e">
        <f>VLOOKUP(G333,'BASE PASAJEROS'!A:H,8,FALSE)</f>
        <v>#N/A</v>
      </c>
      <c r="N333" s="79"/>
      <c r="O333" s="79"/>
      <c r="P333" s="128" t="e">
        <f>VLOOKUP(G333,'BASE PASAJEROS'!A:F,6,FALSE)</f>
        <v>#N/A</v>
      </c>
      <c r="Q333" s="128" t="e">
        <f>VLOOKUP(G333,'BASE PASAJEROS'!A:C,3,FALSE)</f>
        <v>#N/A</v>
      </c>
      <c r="R333" s="128" t="e">
        <f>VLOOKUP(G333,'BASE PASAJEROS'!A:G,7,FALSE)</f>
        <v>#N/A</v>
      </c>
      <c r="S333" s="128" t="s">
        <v>305</v>
      </c>
      <c r="T333" s="128" t="s">
        <v>442</v>
      </c>
      <c r="U333" s="130" t="e">
        <f>VLOOKUP(G333,'BASE PASAJEROS'!A:AG,33,FALSE)</f>
        <v>#N/A</v>
      </c>
      <c r="V333" s="130" t="e">
        <f>VLOOKUP(G333,'BASE PASAJEROS'!A:AH,34,FALSE)</f>
        <v>#N/A</v>
      </c>
      <c r="X333" s="155" t="s">
        <v>368</v>
      </c>
      <c r="Y333" s="124" t="s">
        <v>374</v>
      </c>
      <c r="Z333" s="124" t="s">
        <v>328</v>
      </c>
      <c r="AA333" s="128" t="s">
        <v>317</v>
      </c>
      <c r="AB333" s="128" t="e">
        <f>VLOOKUP(AA333,'BASE BANCOS'!$A$2:$D$202,3,FALSE)</f>
        <v>#N/A</v>
      </c>
      <c r="AC333" s="79" t="s">
        <v>405</v>
      </c>
      <c r="AD333" s="129" t="e">
        <f>VLOOKUP(AC333,'BASE CONDUCTORES'!E:G,3,FALSE)</f>
        <v>#N/A</v>
      </c>
      <c r="AE333" s="155"/>
      <c r="AF333" s="150"/>
      <c r="AG333" s="150"/>
      <c r="AH333" s="150"/>
      <c r="AI333" s="150"/>
      <c r="AO333" s="150"/>
      <c r="AP333" s="150"/>
      <c r="AU333" s="151"/>
      <c r="AV333" s="133"/>
    </row>
    <row r="334" spans="3:52" s="124" customFormat="1" ht="15.75" x14ac:dyDescent="0.25">
      <c r="C334" s="127">
        <v>44324</v>
      </c>
      <c r="D334" s="128" t="s">
        <v>29</v>
      </c>
      <c r="E334" s="128" t="s">
        <v>33</v>
      </c>
      <c r="F334" s="124">
        <v>1</v>
      </c>
      <c r="G334" s="167" t="s">
        <v>394</v>
      </c>
      <c r="J334" s="149"/>
      <c r="K334" s="128" t="e">
        <f>VLOOKUP(G334,'BASE PASAJEROS'!A:B,2,FALSE)</f>
        <v>#N/A</v>
      </c>
      <c r="L334" s="128" t="s">
        <v>316</v>
      </c>
      <c r="M334" s="128" t="e">
        <f>VLOOKUP(G334,'BASE PASAJEROS'!A:H,8,FALSE)</f>
        <v>#N/A</v>
      </c>
      <c r="N334" s="79"/>
      <c r="O334" s="79"/>
      <c r="P334" s="128" t="e">
        <f>VLOOKUP(G334,'BASE PASAJEROS'!A:F,6,FALSE)</f>
        <v>#N/A</v>
      </c>
      <c r="Q334" s="128" t="e">
        <f>VLOOKUP(G334,'BASE PASAJEROS'!A:C,3,FALSE)</f>
        <v>#N/A</v>
      </c>
      <c r="R334" s="128" t="e">
        <f>VLOOKUP(G334,'BASE PASAJEROS'!A:G,7,FALSE)</f>
        <v>#N/A</v>
      </c>
      <c r="S334" s="128" t="s">
        <v>305</v>
      </c>
      <c r="T334" s="128" t="s">
        <v>443</v>
      </c>
      <c r="U334" s="130" t="e">
        <f>VLOOKUP(G334,'BASE PASAJEROS'!A:AG,33,FALSE)</f>
        <v>#N/A</v>
      </c>
      <c r="V334" s="130" t="e">
        <f>VLOOKUP(G334,'BASE PASAJEROS'!A:AH,34,FALSE)</f>
        <v>#N/A</v>
      </c>
      <c r="X334" s="155" t="s">
        <v>368</v>
      </c>
      <c r="Y334" s="124" t="s">
        <v>374</v>
      </c>
      <c r="Z334" s="124" t="s">
        <v>328</v>
      </c>
      <c r="AA334" s="128" t="s">
        <v>317</v>
      </c>
      <c r="AB334" s="128" t="e">
        <f>VLOOKUP(AA334,'BASE BANCOS'!$A$2:$D$202,3,FALSE)</f>
        <v>#N/A</v>
      </c>
      <c r="AC334" s="79" t="s">
        <v>405</v>
      </c>
      <c r="AD334" s="129" t="e">
        <f>VLOOKUP(AC334,'BASE CONDUCTORES'!E:G,3,FALSE)</f>
        <v>#N/A</v>
      </c>
      <c r="AE334" s="155"/>
      <c r="AF334" s="150"/>
      <c r="AG334" s="150"/>
      <c r="AH334" s="150"/>
      <c r="AI334" s="150"/>
      <c r="AO334" s="150"/>
      <c r="AP334" s="150"/>
      <c r="AU334" s="151"/>
      <c r="AV334" s="133"/>
    </row>
    <row r="335" spans="3:52" s="124" customFormat="1" ht="15.75" x14ac:dyDescent="0.25">
      <c r="C335" s="127">
        <v>44324</v>
      </c>
      <c r="D335" s="128" t="s">
        <v>29</v>
      </c>
      <c r="E335" s="128" t="s">
        <v>33</v>
      </c>
      <c r="F335" s="124">
        <v>1</v>
      </c>
      <c r="G335" s="167" t="s">
        <v>395</v>
      </c>
      <c r="J335" s="149"/>
      <c r="K335" s="128" t="e">
        <f>VLOOKUP(G335,'BASE PASAJEROS'!A:B,2,FALSE)</f>
        <v>#N/A</v>
      </c>
      <c r="L335" s="128" t="s">
        <v>316</v>
      </c>
      <c r="M335" s="128" t="e">
        <f>VLOOKUP(G335,'BASE PASAJEROS'!A:H,8,FALSE)</f>
        <v>#N/A</v>
      </c>
      <c r="N335" s="79"/>
      <c r="O335" s="79"/>
      <c r="P335" s="128" t="e">
        <f>VLOOKUP(G335,'BASE PASAJEROS'!A:F,6,FALSE)</f>
        <v>#N/A</v>
      </c>
      <c r="Q335" s="128" t="e">
        <f>VLOOKUP(G335,'BASE PASAJEROS'!A:C,3,FALSE)</f>
        <v>#N/A</v>
      </c>
      <c r="R335" s="128" t="e">
        <f>VLOOKUP(G335,'BASE PASAJEROS'!A:G,7,FALSE)</f>
        <v>#N/A</v>
      </c>
      <c r="S335" s="128" t="s">
        <v>305</v>
      </c>
      <c r="T335" s="128" t="s">
        <v>444</v>
      </c>
      <c r="U335" s="130" t="e">
        <f>VLOOKUP(G335,'BASE PASAJEROS'!A:AG,33,FALSE)</f>
        <v>#N/A</v>
      </c>
      <c r="V335" s="130" t="e">
        <f>VLOOKUP(G335,'BASE PASAJEROS'!A:AH,34,FALSE)</f>
        <v>#N/A</v>
      </c>
      <c r="X335" s="155" t="s">
        <v>368</v>
      </c>
      <c r="Y335" s="124" t="s">
        <v>374</v>
      </c>
      <c r="Z335" s="124" t="s">
        <v>328</v>
      </c>
      <c r="AA335" s="128" t="s">
        <v>317</v>
      </c>
      <c r="AB335" s="128" t="e">
        <f>VLOOKUP(AA335,'BASE BANCOS'!$A$2:$D$202,3,FALSE)</f>
        <v>#N/A</v>
      </c>
      <c r="AC335" s="128" t="s">
        <v>318</v>
      </c>
      <c r="AD335" s="129" t="e">
        <f>VLOOKUP(AC335,'BASE CONDUCTORES'!E:G,3,FALSE)</f>
        <v>#N/A</v>
      </c>
      <c r="AE335" s="155"/>
      <c r="AF335" s="150"/>
      <c r="AG335" s="150"/>
      <c r="AH335" s="150"/>
      <c r="AI335" s="150"/>
      <c r="AO335" s="150"/>
      <c r="AP335" s="150"/>
      <c r="AU335" s="151"/>
      <c r="AV335" s="133"/>
    </row>
    <row r="336" spans="3:52" s="142" customFormat="1" ht="15.75" x14ac:dyDescent="0.25">
      <c r="C336" s="176">
        <v>44324</v>
      </c>
      <c r="D336" s="177" t="s">
        <v>29</v>
      </c>
      <c r="E336" s="177" t="s">
        <v>33</v>
      </c>
      <c r="F336" s="142">
        <v>1</v>
      </c>
      <c r="G336" s="168" t="s">
        <v>396</v>
      </c>
      <c r="J336" s="149"/>
      <c r="K336" s="177" t="e">
        <f>VLOOKUP(G336,'BASE PASAJEROS'!A:B,2,FALSE)</f>
        <v>#N/A</v>
      </c>
      <c r="L336" s="177" t="s">
        <v>316</v>
      </c>
      <c r="M336" s="177" t="e">
        <f>VLOOKUP(G336,'BASE PASAJEROS'!A:H,8,FALSE)</f>
        <v>#N/A</v>
      </c>
      <c r="N336" s="79"/>
      <c r="O336" s="79"/>
      <c r="P336" s="177" t="e">
        <f>VLOOKUP(G336,'BASE PASAJEROS'!A:F,6,FALSE)</f>
        <v>#N/A</v>
      </c>
      <c r="Q336" s="177" t="e">
        <f>VLOOKUP(G336,'BASE PASAJEROS'!A:C,3,FALSE)</f>
        <v>#N/A</v>
      </c>
      <c r="R336" s="177" t="e">
        <f>VLOOKUP(G336,'BASE PASAJEROS'!A:G,7,FALSE)</f>
        <v>#N/A</v>
      </c>
      <c r="S336" s="177" t="s">
        <v>305</v>
      </c>
      <c r="T336" s="177" t="s">
        <v>445</v>
      </c>
      <c r="U336" s="130" t="e">
        <f>VLOOKUP(G336,'BASE PASAJEROS'!A:AG,33,FALSE)</f>
        <v>#N/A</v>
      </c>
      <c r="V336" s="130" t="e">
        <f>VLOOKUP(G336,'BASE PASAJEROS'!A:AH,34,FALSE)</f>
        <v>#N/A</v>
      </c>
      <c r="X336" s="155" t="s">
        <v>368</v>
      </c>
      <c r="Y336" s="142" t="s">
        <v>21</v>
      </c>
      <c r="Z336" s="142" t="s">
        <v>328</v>
      </c>
      <c r="AA336" s="128" t="s">
        <v>319</v>
      </c>
      <c r="AB336" s="128" t="e">
        <f>VLOOKUP(AA336,'BASE BANCOS'!$A$2:$D$202,3,FALSE)</f>
        <v>#N/A</v>
      </c>
      <c r="AD336" s="129" t="e">
        <f>VLOOKUP(AC336,'BASE CONDUCTORES'!E:G,3,FALSE)</f>
        <v>#N/A</v>
      </c>
      <c r="AE336" s="155"/>
      <c r="AF336" s="178"/>
      <c r="AG336" s="150"/>
      <c r="AH336" s="178"/>
      <c r="AI336" s="150"/>
      <c r="AJ336" s="124"/>
      <c r="AK336" s="177" t="s">
        <v>419</v>
      </c>
      <c r="AL336" s="124"/>
      <c r="AM336" s="124"/>
      <c r="AN336" s="124"/>
      <c r="AO336" s="150"/>
      <c r="AP336" s="150"/>
      <c r="AQ336" s="124"/>
      <c r="AR336" s="124"/>
      <c r="AS336" s="124"/>
      <c r="AT336" s="124"/>
      <c r="AU336" s="151"/>
      <c r="AV336" s="133"/>
      <c r="AW336" s="124"/>
      <c r="AX336" s="124"/>
      <c r="AY336" s="124"/>
      <c r="AZ336" s="124"/>
    </row>
    <row r="337" spans="3:52" s="124" customFormat="1" ht="15.75" x14ac:dyDescent="0.25">
      <c r="C337" s="127">
        <v>44324</v>
      </c>
      <c r="D337" s="128" t="s">
        <v>29</v>
      </c>
      <c r="E337" s="128" t="s">
        <v>33</v>
      </c>
      <c r="F337" s="124">
        <v>1</v>
      </c>
      <c r="G337" s="167" t="s">
        <v>397</v>
      </c>
      <c r="J337" s="149"/>
      <c r="K337" s="128" t="e">
        <f>VLOOKUP(G337,'BASE PASAJEROS'!A:B,2,FALSE)</f>
        <v>#N/A</v>
      </c>
      <c r="L337" s="128" t="s">
        <v>316</v>
      </c>
      <c r="M337" s="128" t="e">
        <f>VLOOKUP(G337,'BASE PASAJEROS'!A:H,8,FALSE)</f>
        <v>#N/A</v>
      </c>
      <c r="N337" s="79"/>
      <c r="O337" s="79"/>
      <c r="P337" s="128" t="e">
        <f>VLOOKUP(G337,'BASE PASAJEROS'!A:F,6,FALSE)</f>
        <v>#N/A</v>
      </c>
      <c r="Q337" s="128" t="e">
        <f>VLOOKUP(G337,'BASE PASAJEROS'!A:C,3,FALSE)</f>
        <v>#N/A</v>
      </c>
      <c r="R337" s="128" t="e">
        <f>VLOOKUP(G337,'BASE PASAJEROS'!A:G,7,FALSE)</f>
        <v>#N/A</v>
      </c>
      <c r="S337" s="128" t="s">
        <v>305</v>
      </c>
      <c r="T337" s="128" t="s">
        <v>446</v>
      </c>
      <c r="U337" s="130" t="e">
        <f>VLOOKUP(G337,'BASE PASAJEROS'!A:AG,33,FALSE)</f>
        <v>#N/A</v>
      </c>
      <c r="V337" s="130" t="e">
        <f>VLOOKUP(G337,'BASE PASAJEROS'!A:AH,34,FALSE)</f>
        <v>#N/A</v>
      </c>
      <c r="X337" s="155" t="s">
        <v>368</v>
      </c>
      <c r="Y337" s="124" t="s">
        <v>374</v>
      </c>
      <c r="Z337" s="124" t="s">
        <v>328</v>
      </c>
      <c r="AA337" s="128" t="s">
        <v>317</v>
      </c>
      <c r="AB337" s="128" t="e">
        <f>VLOOKUP(AA337,'BASE BANCOS'!$A$2:$D$202,3,FALSE)</f>
        <v>#N/A</v>
      </c>
      <c r="AC337" s="143" t="s">
        <v>369</v>
      </c>
      <c r="AD337" s="129" t="e">
        <f>VLOOKUP(AC337,'BASE CONDUCTORES'!E:G,3,FALSE)</f>
        <v>#N/A</v>
      </c>
      <c r="AE337" s="155"/>
      <c r="AF337" s="150"/>
      <c r="AG337" s="150"/>
      <c r="AH337" s="150"/>
      <c r="AI337" s="150"/>
      <c r="AO337" s="150"/>
      <c r="AP337" s="150"/>
      <c r="AU337" s="151"/>
      <c r="AV337" s="133"/>
    </row>
    <row r="338" spans="3:52" s="124" customFormat="1" ht="15.75" x14ac:dyDescent="0.25">
      <c r="C338" s="127">
        <v>44324</v>
      </c>
      <c r="D338" s="128" t="s">
        <v>29</v>
      </c>
      <c r="E338" s="128" t="s">
        <v>33</v>
      </c>
      <c r="F338" s="124">
        <v>1</v>
      </c>
      <c r="G338" s="167" t="s">
        <v>398</v>
      </c>
      <c r="J338" s="149"/>
      <c r="K338" s="128" t="e">
        <f>VLOOKUP(G338,'BASE PASAJEROS'!A:B,2,FALSE)</f>
        <v>#N/A</v>
      </c>
      <c r="L338" s="128" t="s">
        <v>316</v>
      </c>
      <c r="M338" s="128" t="e">
        <f>VLOOKUP(G338,'BASE PASAJEROS'!A:H,8,FALSE)</f>
        <v>#N/A</v>
      </c>
      <c r="N338" s="79"/>
      <c r="O338" s="79"/>
      <c r="P338" s="128" t="e">
        <f>VLOOKUP(G338,'BASE PASAJEROS'!A:F,6,FALSE)</f>
        <v>#N/A</v>
      </c>
      <c r="Q338" s="128" t="e">
        <f>VLOOKUP(G338,'BASE PASAJEROS'!A:C,3,FALSE)</f>
        <v>#N/A</v>
      </c>
      <c r="R338" s="128" t="e">
        <f>VLOOKUP(G338,'BASE PASAJEROS'!A:G,7,FALSE)</f>
        <v>#N/A</v>
      </c>
      <c r="S338" s="128" t="s">
        <v>305</v>
      </c>
      <c r="T338" s="128" t="s">
        <v>447</v>
      </c>
      <c r="U338" s="130" t="e">
        <f>VLOOKUP(G338,'BASE PASAJEROS'!A:AG,33,FALSE)</f>
        <v>#N/A</v>
      </c>
      <c r="V338" s="130" t="e">
        <f>VLOOKUP(G338,'BASE PASAJEROS'!A:AH,34,FALSE)</f>
        <v>#N/A</v>
      </c>
      <c r="X338" s="155" t="s">
        <v>368</v>
      </c>
      <c r="Y338" s="124" t="s">
        <v>374</v>
      </c>
      <c r="Z338" s="124" t="s">
        <v>328</v>
      </c>
      <c r="AA338" s="128" t="s">
        <v>317</v>
      </c>
      <c r="AB338" s="128" t="e">
        <f>VLOOKUP(AA338,'BASE BANCOS'!$A$2:$D$202,3,FALSE)</f>
        <v>#N/A</v>
      </c>
      <c r="AC338" s="128" t="s">
        <v>318</v>
      </c>
      <c r="AD338" s="129" t="e">
        <f>VLOOKUP(AC338,'BASE CONDUCTORES'!E:G,3,FALSE)</f>
        <v>#N/A</v>
      </c>
      <c r="AE338" s="155"/>
      <c r="AF338" s="150"/>
      <c r="AG338" s="150"/>
      <c r="AH338" s="150"/>
      <c r="AI338" s="150"/>
      <c r="AO338" s="150"/>
      <c r="AP338" s="150"/>
      <c r="AU338" s="151"/>
      <c r="AV338" s="133"/>
    </row>
    <row r="339" spans="3:52" s="124" customFormat="1" ht="15.75" x14ac:dyDescent="0.25">
      <c r="C339" s="127">
        <v>44324</v>
      </c>
      <c r="D339" s="128" t="s">
        <v>29</v>
      </c>
      <c r="E339" s="128" t="s">
        <v>33</v>
      </c>
      <c r="F339" s="124">
        <v>1</v>
      </c>
      <c r="G339" s="167" t="s">
        <v>399</v>
      </c>
      <c r="J339" s="149"/>
      <c r="K339" s="128" t="e">
        <f>VLOOKUP(G339,'BASE PASAJEROS'!A:B,2,FALSE)</f>
        <v>#N/A</v>
      </c>
      <c r="L339" s="128" t="s">
        <v>316</v>
      </c>
      <c r="M339" s="128" t="e">
        <f>VLOOKUP(G339,'BASE PASAJEROS'!A:H,8,FALSE)</f>
        <v>#N/A</v>
      </c>
      <c r="N339" s="79"/>
      <c r="O339" s="79"/>
      <c r="P339" s="128" t="e">
        <f>VLOOKUP(G339,'BASE PASAJEROS'!A:F,6,FALSE)</f>
        <v>#N/A</v>
      </c>
      <c r="Q339" s="128" t="e">
        <f>VLOOKUP(G339,'BASE PASAJEROS'!A:C,3,FALSE)</f>
        <v>#N/A</v>
      </c>
      <c r="R339" s="128" t="e">
        <f>VLOOKUP(G339,'BASE PASAJEROS'!A:G,7,FALSE)</f>
        <v>#N/A</v>
      </c>
      <c r="S339" s="128" t="s">
        <v>305</v>
      </c>
      <c r="T339" s="128" t="s">
        <v>448</v>
      </c>
      <c r="U339" s="130" t="e">
        <f>VLOOKUP(G339,'BASE PASAJEROS'!A:AG,33,FALSE)</f>
        <v>#N/A</v>
      </c>
      <c r="V339" s="130" t="e">
        <f>VLOOKUP(G339,'BASE PASAJEROS'!A:AH,34,FALSE)</f>
        <v>#N/A</v>
      </c>
      <c r="X339" s="155" t="s">
        <v>368</v>
      </c>
      <c r="Y339" s="124" t="s">
        <v>374</v>
      </c>
      <c r="Z339" s="124" t="s">
        <v>328</v>
      </c>
      <c r="AA339" s="128" t="s">
        <v>317</v>
      </c>
      <c r="AB339" s="128" t="e">
        <f>VLOOKUP(AA339,'BASE BANCOS'!$A$2:$D$202,3,FALSE)</f>
        <v>#N/A</v>
      </c>
      <c r="AC339" s="128" t="s">
        <v>318</v>
      </c>
      <c r="AD339" s="129" t="e">
        <f>VLOOKUP(AC339,'BASE CONDUCTORES'!E:G,3,FALSE)</f>
        <v>#N/A</v>
      </c>
      <c r="AE339" s="155"/>
      <c r="AF339" s="150"/>
      <c r="AG339" s="150"/>
      <c r="AH339" s="150"/>
      <c r="AI339" s="150"/>
      <c r="AO339" s="150"/>
      <c r="AP339" s="150"/>
      <c r="AU339" s="151"/>
      <c r="AV339" s="133"/>
    </row>
    <row r="340" spans="3:52" s="124" customFormat="1" ht="15.75" x14ac:dyDescent="0.25">
      <c r="C340" s="127">
        <v>44324</v>
      </c>
      <c r="D340" s="128" t="s">
        <v>29</v>
      </c>
      <c r="E340" s="128" t="s">
        <v>33</v>
      </c>
      <c r="F340" s="124">
        <v>1</v>
      </c>
      <c r="G340" s="167" t="s">
        <v>400</v>
      </c>
      <c r="J340" s="149"/>
      <c r="K340" s="128" t="e">
        <f>VLOOKUP(G340,'BASE PASAJEROS'!A:B,2,FALSE)</f>
        <v>#N/A</v>
      </c>
      <c r="L340" s="128" t="s">
        <v>316</v>
      </c>
      <c r="M340" s="128" t="e">
        <f>VLOOKUP(G340,'BASE PASAJEROS'!A:H,8,FALSE)</f>
        <v>#N/A</v>
      </c>
      <c r="N340" s="79"/>
      <c r="O340" s="79"/>
      <c r="P340" s="128" t="e">
        <f>VLOOKUP(G340,'BASE PASAJEROS'!A:F,6,FALSE)</f>
        <v>#N/A</v>
      </c>
      <c r="Q340" s="128" t="e">
        <f>VLOOKUP(G340,'BASE PASAJEROS'!A:C,3,FALSE)</f>
        <v>#N/A</v>
      </c>
      <c r="R340" s="128" t="e">
        <f>VLOOKUP(G340,'BASE PASAJEROS'!A:G,7,FALSE)</f>
        <v>#N/A</v>
      </c>
      <c r="S340" s="128" t="s">
        <v>305</v>
      </c>
      <c r="T340" s="128" t="s">
        <v>449</v>
      </c>
      <c r="U340" s="130" t="e">
        <f>VLOOKUP(G340,'BASE PASAJEROS'!A:AG,33,FALSE)</f>
        <v>#N/A</v>
      </c>
      <c r="V340" s="130" t="e">
        <f>VLOOKUP(G340,'BASE PASAJEROS'!A:AH,34,FALSE)</f>
        <v>#N/A</v>
      </c>
      <c r="X340" s="155" t="s">
        <v>368</v>
      </c>
      <c r="Y340" s="124" t="s">
        <v>374</v>
      </c>
      <c r="Z340" s="124" t="s">
        <v>328</v>
      </c>
      <c r="AA340" s="128" t="s">
        <v>317</v>
      </c>
      <c r="AB340" s="128" t="e">
        <f>VLOOKUP(AA340,'BASE BANCOS'!$A$2:$D$202,3,FALSE)</f>
        <v>#N/A</v>
      </c>
      <c r="AC340" s="143" t="s">
        <v>369</v>
      </c>
      <c r="AD340" s="129" t="e">
        <f>VLOOKUP(AC340,'BASE CONDUCTORES'!E:G,3,FALSE)</f>
        <v>#N/A</v>
      </c>
      <c r="AE340" s="155"/>
      <c r="AF340" s="150"/>
      <c r="AG340" s="150"/>
      <c r="AH340" s="150"/>
      <c r="AI340" s="150"/>
      <c r="AO340" s="150"/>
      <c r="AP340" s="150"/>
      <c r="AU340" s="151"/>
      <c r="AV340" s="133"/>
    </row>
    <row r="341" spans="3:52" s="142" customFormat="1" ht="21" x14ac:dyDescent="0.25">
      <c r="C341" s="176">
        <v>44324</v>
      </c>
      <c r="D341" s="177" t="s">
        <v>29</v>
      </c>
      <c r="E341" s="177" t="s">
        <v>33</v>
      </c>
      <c r="F341" s="142">
        <v>1</v>
      </c>
      <c r="G341" s="168" t="s">
        <v>401</v>
      </c>
      <c r="J341" s="149"/>
      <c r="K341" s="177" t="e">
        <f>VLOOKUP(G341,'BASE PASAJEROS'!A:B,2,FALSE)</f>
        <v>#N/A</v>
      </c>
      <c r="L341" s="177" t="s">
        <v>316</v>
      </c>
      <c r="M341" s="177" t="e">
        <f>VLOOKUP(G341,'BASE PASAJEROS'!A:H,8,FALSE)</f>
        <v>#N/A</v>
      </c>
      <c r="N341" s="79"/>
      <c r="O341" s="79"/>
      <c r="P341" s="177" t="e">
        <f>VLOOKUP(G341,'BASE PASAJEROS'!A:F,6,FALSE)</f>
        <v>#N/A</v>
      </c>
      <c r="Q341" s="177" t="e">
        <f>VLOOKUP(G341,'BASE PASAJEROS'!A:C,3,FALSE)</f>
        <v>#N/A</v>
      </c>
      <c r="R341" s="177" t="e">
        <f>VLOOKUP(G341,'BASE PASAJEROS'!A:G,7,FALSE)</f>
        <v>#N/A</v>
      </c>
      <c r="S341" s="177" t="s">
        <v>305</v>
      </c>
      <c r="T341" s="177" t="s">
        <v>450</v>
      </c>
      <c r="U341" s="130" t="e">
        <f>VLOOKUP(G341,'BASE PASAJEROS'!A:AG,33,FALSE)</f>
        <v>#N/A</v>
      </c>
      <c r="V341" s="130" t="e">
        <f>VLOOKUP(G341,'BASE PASAJEROS'!A:AH,34,FALSE)</f>
        <v>#N/A</v>
      </c>
      <c r="X341" s="155" t="s">
        <v>368</v>
      </c>
      <c r="Y341" s="142" t="s">
        <v>21</v>
      </c>
      <c r="Z341" s="142" t="s">
        <v>328</v>
      </c>
      <c r="AA341" s="128" t="s">
        <v>319</v>
      </c>
      <c r="AB341" s="128" t="e">
        <f>VLOOKUP(AA341,'BASE BANCOS'!$A$2:$D$202,3,FALSE)</f>
        <v>#N/A</v>
      </c>
      <c r="AD341" s="129" t="e">
        <f>VLOOKUP(AC341,'BASE CONDUCTORES'!E:G,3,FALSE)</f>
        <v>#N/A</v>
      </c>
      <c r="AE341" s="155"/>
      <c r="AF341" s="178"/>
      <c r="AG341" s="150"/>
      <c r="AH341" s="178"/>
      <c r="AI341" s="150"/>
      <c r="AJ341" s="124"/>
      <c r="AK341" s="179" t="s">
        <v>402</v>
      </c>
      <c r="AL341" s="124"/>
      <c r="AM341" s="124"/>
      <c r="AN341" s="124"/>
      <c r="AO341" s="150"/>
      <c r="AP341" s="150"/>
      <c r="AQ341" s="124"/>
      <c r="AR341" s="124"/>
      <c r="AS341" s="124"/>
      <c r="AT341" s="124"/>
      <c r="AU341" s="151"/>
      <c r="AV341" s="133"/>
      <c r="AW341" s="124"/>
      <c r="AX341" s="124"/>
      <c r="AY341" s="124"/>
      <c r="AZ341" s="124"/>
    </row>
    <row r="342" spans="3:52" s="124" customFormat="1" x14ac:dyDescent="0.25">
      <c r="C342" s="127">
        <v>44322</v>
      </c>
      <c r="D342" s="128" t="s">
        <v>29</v>
      </c>
      <c r="E342" s="128" t="s">
        <v>33</v>
      </c>
      <c r="F342" s="124">
        <v>1</v>
      </c>
      <c r="G342" s="144" t="s">
        <v>411</v>
      </c>
      <c r="J342" s="71"/>
      <c r="K342" s="128" t="e">
        <f>VLOOKUP(G342,'BASE PASAJEROS'!A:B,2,FALSE)</f>
        <v>#N/A</v>
      </c>
      <c r="L342" s="128" t="s">
        <v>316</v>
      </c>
      <c r="M342" s="128" t="e">
        <f>VLOOKUP(G342,'BASE PASAJEROS'!A:H,8,FALSE)</f>
        <v>#N/A</v>
      </c>
      <c r="N342" s="128"/>
      <c r="O342" s="128"/>
      <c r="P342" s="128" t="e">
        <f>VLOOKUP(G342,'BASE PASAJEROS'!A:F,6,FALSE)</f>
        <v>#N/A</v>
      </c>
      <c r="Q342" s="128" t="e">
        <f>VLOOKUP(G342,'BASE PASAJEROS'!A:C,3,FALSE)</f>
        <v>#N/A</v>
      </c>
      <c r="R342" s="128" t="e">
        <f>VLOOKUP(G342,'BASE PASAJEROS'!A:G,7,FALSE)</f>
        <v>#N/A</v>
      </c>
      <c r="S342" s="128"/>
      <c r="T342" s="128"/>
      <c r="U342" s="130" t="e">
        <f>VLOOKUP(G342,'BASE PASAJEROS'!A:AG,33,FALSE)</f>
        <v>#N/A</v>
      </c>
      <c r="V342" s="130" t="e">
        <f>VLOOKUP(G342,'BASE PASAJEROS'!A:AH,34,FALSE)</f>
        <v>#N/A</v>
      </c>
      <c r="X342" s="155" t="s">
        <v>368</v>
      </c>
      <c r="Y342" s="124" t="s">
        <v>374</v>
      </c>
      <c r="Z342" s="124" t="s">
        <v>328</v>
      </c>
      <c r="AA342" s="124" t="s">
        <v>414</v>
      </c>
      <c r="AB342" s="128" t="e">
        <f>VLOOKUP(AA342,'BASE BANCOS'!$A$2:$D$202,3,FALSE)</f>
        <v>#N/A</v>
      </c>
      <c r="AC342" s="124" t="s">
        <v>414</v>
      </c>
      <c r="AD342" s="129" t="e">
        <f>VLOOKUP(AC342,'BASE CONDUCTORES'!E:G,3,FALSE)</f>
        <v>#N/A</v>
      </c>
      <c r="AE342" s="155"/>
      <c r="AF342" s="150"/>
      <c r="AG342" s="75"/>
      <c r="AH342" s="150"/>
      <c r="AI342" s="75"/>
      <c r="AJ342" s="79"/>
      <c r="AK342" s="124" t="s">
        <v>410</v>
      </c>
      <c r="AL342" s="79"/>
      <c r="AM342" s="79"/>
      <c r="AN342" s="79"/>
      <c r="AO342" s="75"/>
      <c r="AP342" s="75"/>
      <c r="AQ342" s="79"/>
      <c r="AR342" s="79"/>
      <c r="AS342" s="79"/>
      <c r="AT342" s="79"/>
      <c r="AU342" s="104"/>
      <c r="AV342" s="105"/>
      <c r="AW342" s="79"/>
      <c r="AX342" s="79"/>
      <c r="AY342" s="79"/>
      <c r="AZ342" s="79"/>
    </row>
  </sheetData>
  <autoFilter ref="A1:BB342" xr:uid="{44A3449B-C874-4FED-8039-1AD50A693361}"/>
  <phoneticPr fontId="18" type="noConversion"/>
  <dataValidations count="1">
    <dataValidation showInputMessage="1" showErrorMessage="1" sqref="AB1" xr:uid="{E1983728-05C6-4B41-A2A9-2F6DB936188D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B13C1FC-D389-4C5D-A56C-F830110BA88E}">
          <x14:formula1>
            <xm:f>PARAMETROS!$I$1:$I$5</xm:f>
          </x14:formula1>
          <xm:sqref>Z139 Z119:Z136 Z98:Z116 Z79:Z96 Z2:Z76 Z190:Z191</xm:sqref>
        </x14:dataValidation>
        <x14:dataValidation type="list" allowBlank="1" showInputMessage="1" showErrorMessage="1" xr:uid="{67F53249-324E-49B6-B4CC-15880E366CDD}">
          <x14:formula1>
            <xm:f>PARAMETROS!$F$2:$F$9</xm:f>
          </x14:formula1>
          <xm:sqref>Y79:Y169 Y2:Y76 Y190:Y191</xm:sqref>
        </x14:dataValidation>
        <x14:dataValidation type="list" showInputMessage="1" showErrorMessage="1" xr:uid="{E986D4B6-8F59-4164-915D-87860EEF65E4}">
          <x14:formula1>
            <xm:f>'C:\Users\user\MOVLIFE SAS\Melissa Gomez Florez - 5. Operaciones\6. Cuadro control semanal\2020\Septiembre 2020\Semana 4\[CUADRO CONTROL SEMANA 4 OPERACIONES V1_CIERRE.xlsx]BASE PASAJEROS '!#REF!</xm:f>
          </x14:formula1>
          <xm:sqref>G1</xm:sqref>
        </x14:dataValidation>
        <x14:dataValidation type="list" allowBlank="1" showInputMessage="1" showErrorMessage="1" xr:uid="{CB290DF2-0596-4150-AAF8-27F919B909D8}">
          <x14:formula1>
            <xm:f>PARAMETROS!$L$2:$L$20</xm:f>
          </x14:formula1>
          <xm:sqref>D2:D342</xm:sqref>
        </x14:dataValidation>
        <x14:dataValidation type="list" allowBlank="1" showInputMessage="1" showErrorMessage="1" xr:uid="{596DD53D-FE41-45FE-964C-4CFEB4CCDA70}">
          <x14:formula1>
            <xm:f>'BASE PASAJEROS'!$A$1:$A$3</xm:f>
          </x14:formula1>
          <xm:sqref>G2:G139</xm:sqref>
        </x14:dataValidation>
        <x14:dataValidation type="list" allowBlank="1" showInputMessage="1" showErrorMessage="1" xr:uid="{F6ACC880-FF69-440F-948A-8B9D937E30EB}">
          <x14:formula1>
            <xm:f>'BASE CONDUCTORES'!$E:$E</xm:f>
          </x14:formula1>
          <xm:sqref>AC1:AC1048576</xm:sqref>
        </x14:dataValidation>
        <x14:dataValidation type="list" allowBlank="1" showInputMessage="1" showErrorMessage="1" xr:uid="{280519BB-A84D-41D8-9B15-DF774F659BC2}">
          <x14:formula1>
            <xm:f>'BASE BANCOS'!$A$3:$A$43</xm:f>
          </x14:formula1>
          <xm:sqref>AA2 AA4:AA15 AA19 AA21:AA33 AA38 AA337:AA340 AA60:AA65 AA40:AA52 AA57:AA58 AA67:AA72 AA80:AA92 AA97:AA112 AA77:AA78 AA135 AA137:AA140 AA142:AA151 AA252:AA254 AA193 AA195:AA198 AA200 AA238:AA244 AA246 AA304 AA157:AA191 AA313:AA315 AA154:AA155 AA256 AA284:AA293 AA117:AA132 AA308 AA202:AA223 AA225:AA235 AA248 AA250 AA260:AA277 AA279:AA282 AA296:AA302 AA306 AA310:AA311 AA318:AA335</xm:sqref>
        </x14:dataValidation>
        <x14:dataValidation type="list" allowBlank="1" showInputMessage="1" showErrorMessage="1" xr:uid="{A5836134-2D4E-4B45-8840-9B1176A579A4}">
          <x14:formula1>
            <xm:f>'BASE BANCOS'!$A$2:$A$150</xm:f>
          </x14:formula1>
          <xm:sqref>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C5B2-5403-4DD0-8E21-44865A95FF0E}">
  <sheetPr>
    <tabColor rgb="FF00B050"/>
  </sheetPr>
  <dimension ref="A1:DL3"/>
  <sheetViews>
    <sheetView zoomScale="85" zoomScaleNormal="85" workbookViewId="0">
      <pane xSplit="7" ySplit="1" topLeftCell="H2" activePane="bottomRight" state="frozen"/>
      <selection pane="topRight"/>
      <selection pane="bottomLeft"/>
      <selection pane="bottomRight" activeCell="G9" sqref="G9"/>
    </sheetView>
  </sheetViews>
  <sheetFormatPr baseColWidth="10" defaultColWidth="11.42578125" defaultRowHeight="15" x14ac:dyDescent="0.25"/>
  <cols>
    <col min="1" max="1" width="15.85546875" style="78" customWidth="1"/>
    <col min="2" max="2" width="11.85546875" style="78" customWidth="1"/>
    <col min="3" max="3" width="12" style="78" customWidth="1"/>
    <col min="4" max="4" width="29.7109375" style="78" customWidth="1"/>
    <col min="5" max="5" width="9.85546875" style="78" customWidth="1"/>
    <col min="6" max="6" width="4" style="78" customWidth="1"/>
    <col min="7" max="7" width="32.5703125" style="78" customWidth="1"/>
    <col min="8" max="8" width="1.42578125" style="78" customWidth="1"/>
    <col min="9" max="9" width="1.28515625" style="78" customWidth="1"/>
    <col min="10" max="10" width="29.42578125" style="226" customWidth="1"/>
    <col min="11" max="11" width="10.7109375" style="78" bestFit="1" customWidth="1"/>
    <col min="12" max="12" width="10" style="78" customWidth="1"/>
    <col min="13" max="13" width="14.28515625" style="78" customWidth="1"/>
    <col min="14" max="14" width="0.140625" style="78" customWidth="1"/>
    <col min="15" max="15" width="1.42578125" style="78" customWidth="1"/>
    <col min="16" max="16" width="2.42578125" style="78" customWidth="1"/>
    <col min="17" max="17" width="28" style="78" customWidth="1"/>
    <col min="18" max="18" width="16.28515625" style="78" customWidth="1"/>
    <col min="19" max="19" width="14.140625" style="78" customWidth="1"/>
    <col min="20" max="20" width="17.85546875" style="228" customWidth="1"/>
    <col min="21" max="21" width="6.42578125" style="173" customWidth="1"/>
    <col min="22" max="22" width="7.42578125" style="173" customWidth="1"/>
    <col min="23" max="23" width="4.85546875" style="78" customWidth="1"/>
    <col min="24" max="24" width="10.5703125" style="173" customWidth="1"/>
    <col min="25" max="25" width="10" style="78" customWidth="1"/>
    <col min="26" max="26" width="8.5703125" style="78" customWidth="1"/>
    <col min="27" max="27" width="28" style="78" customWidth="1"/>
    <col min="28" max="28" width="12.28515625" style="78" customWidth="1"/>
    <col min="29" max="29" width="26.28515625" style="78" customWidth="1"/>
    <col min="30" max="30" width="14.7109375" style="226" customWidth="1"/>
    <col min="31" max="31" width="7.42578125" style="173" customWidth="1"/>
    <col min="32" max="32" width="13.140625" style="158" customWidth="1"/>
    <col min="33" max="34" width="13.28515625" style="158" customWidth="1"/>
    <col min="35" max="35" width="14.28515625" style="158" customWidth="1"/>
    <col min="36" max="36" width="8.5703125" style="78" customWidth="1"/>
    <col min="37" max="37" width="27.28515625" style="78" customWidth="1"/>
    <col min="38" max="38" width="9" style="78" customWidth="1"/>
    <col min="39" max="40" width="13.140625" style="78" customWidth="1"/>
    <col min="41" max="42" width="17.42578125" style="158" customWidth="1"/>
    <col min="43" max="44" width="17.42578125" style="78" customWidth="1"/>
    <col min="45" max="45" width="18.42578125" style="78" customWidth="1"/>
    <col min="46" max="46" width="19.5703125" style="78" customWidth="1"/>
    <col min="47" max="47" width="14.42578125" style="183" customWidth="1"/>
    <col min="48" max="48" width="13.140625" style="184" customWidth="1"/>
    <col min="49" max="49" width="13.7109375" style="78" customWidth="1"/>
    <col min="50" max="50" width="13.5703125" style="78" customWidth="1"/>
    <col min="51" max="51" width="11.42578125" style="78" customWidth="1"/>
    <col min="52" max="52" width="17.7109375" style="78" customWidth="1"/>
    <col min="53" max="55" width="17.7109375" style="267" customWidth="1"/>
    <col min="56" max="59" width="11.42578125" style="78" customWidth="1"/>
    <col min="60" max="61" width="11.42578125" style="284" customWidth="1"/>
    <col min="62" max="63" width="11.42578125" style="78" customWidth="1"/>
    <col min="64" max="64" width="19.7109375" style="78" customWidth="1"/>
    <col min="65" max="67" width="11.42578125" style="78" customWidth="1"/>
    <col min="68" max="68" width="33.5703125" style="173" customWidth="1"/>
    <col min="69" max="69" width="17.28515625" style="227" customWidth="1"/>
    <col min="70" max="70" width="19.7109375" style="227" customWidth="1"/>
    <col min="71" max="71" width="15.140625" style="78" customWidth="1"/>
    <col min="72" max="72" width="23.7109375" style="227" customWidth="1"/>
    <col min="73" max="73" width="17.85546875" style="227" customWidth="1"/>
    <col min="74" max="92" width="6" style="227" customWidth="1"/>
    <col min="93" max="93" width="51.42578125" style="78" customWidth="1"/>
    <col min="94" max="94" width="11.42578125" style="78" customWidth="1"/>
    <col min="95" max="95" width="11.42578125" style="229" customWidth="1"/>
    <col min="96" max="96" width="11.42578125" style="78" customWidth="1"/>
    <col min="97" max="97" width="11.42578125" style="229" customWidth="1"/>
    <col min="98" max="98" width="11.42578125" style="78" customWidth="1"/>
    <col min="99" max="99" width="11.42578125" style="229" customWidth="1"/>
    <col min="100" max="100" width="11.42578125" style="78" customWidth="1"/>
    <col min="101" max="101" width="11.42578125" style="229" customWidth="1"/>
    <col min="102" max="102" width="11.42578125" style="78" customWidth="1"/>
    <col min="103" max="103" width="11.42578125" style="229" customWidth="1"/>
    <col min="104" max="104" width="11.42578125" style="78" customWidth="1"/>
    <col min="105" max="105" width="11.42578125" style="229" customWidth="1"/>
    <col min="106" max="106" width="11.42578125" style="78" customWidth="1"/>
    <col min="107" max="107" width="11.42578125" style="229" customWidth="1"/>
    <col min="108" max="108" width="11.42578125" style="78" customWidth="1"/>
    <col min="109" max="109" width="11.42578125" style="229" customWidth="1"/>
    <col min="110" max="110" width="11.42578125" style="78" customWidth="1"/>
    <col min="111" max="111" width="11.42578125" style="229" customWidth="1"/>
    <col min="112" max="112" width="11.42578125" style="78" customWidth="1"/>
    <col min="113" max="113" width="13.5703125" style="78" customWidth="1"/>
    <col min="114" max="114" width="11.42578125" style="78" customWidth="1"/>
    <col min="115" max="115" width="14.28515625" style="78" customWidth="1"/>
    <col min="116" max="16384" width="11.42578125" style="78"/>
  </cols>
  <sheetData>
    <row r="1" spans="1:116" s="309" customFormat="1" ht="68.25" customHeight="1" x14ac:dyDescent="0.25">
      <c r="A1" s="272" t="s">
        <v>47</v>
      </c>
      <c r="B1" s="273" t="s">
        <v>48</v>
      </c>
      <c r="C1" s="273" t="s">
        <v>49</v>
      </c>
      <c r="D1" s="273" t="s">
        <v>41</v>
      </c>
      <c r="E1" s="286" t="s">
        <v>46</v>
      </c>
      <c r="F1" s="286" t="s">
        <v>45</v>
      </c>
      <c r="G1" s="286" t="s">
        <v>205</v>
      </c>
      <c r="H1" s="286" t="s">
        <v>50</v>
      </c>
      <c r="I1" s="286" t="s">
        <v>51</v>
      </c>
      <c r="J1" s="286" t="s">
        <v>52</v>
      </c>
      <c r="K1" s="273" t="s">
        <v>53</v>
      </c>
      <c r="L1" s="274" t="s">
        <v>54</v>
      </c>
      <c r="M1" s="286" t="s">
        <v>55</v>
      </c>
      <c r="N1" s="286" t="s">
        <v>56</v>
      </c>
      <c r="O1" s="286" t="s">
        <v>57</v>
      </c>
      <c r="P1" s="286" t="s">
        <v>58</v>
      </c>
      <c r="Q1" s="286" t="s">
        <v>59</v>
      </c>
      <c r="R1" s="286" t="s">
        <v>60</v>
      </c>
      <c r="S1" s="286" t="s">
        <v>61</v>
      </c>
      <c r="T1" s="286" t="s">
        <v>62</v>
      </c>
      <c r="U1" s="275" t="s">
        <v>63</v>
      </c>
      <c r="V1" s="275" t="s">
        <v>64</v>
      </c>
      <c r="W1" s="275" t="s">
        <v>65</v>
      </c>
      <c r="X1" s="276" t="s">
        <v>66</v>
      </c>
      <c r="Y1" s="276" t="s">
        <v>44</v>
      </c>
      <c r="Z1" s="286" t="s">
        <v>67</v>
      </c>
      <c r="AA1" s="285" t="s">
        <v>68</v>
      </c>
      <c r="AB1" s="285" t="s">
        <v>204</v>
      </c>
      <c r="AC1" s="277" t="s">
        <v>69</v>
      </c>
      <c r="AD1" s="277" t="s">
        <v>70</v>
      </c>
      <c r="AE1" s="278" t="s">
        <v>71</v>
      </c>
      <c r="AF1" s="279" t="s">
        <v>72</v>
      </c>
      <c r="AG1" s="280" t="s">
        <v>73</v>
      </c>
      <c r="AH1" s="280" t="s">
        <v>74</v>
      </c>
      <c r="AI1" s="280" t="s">
        <v>75</v>
      </c>
      <c r="AJ1" s="279" t="s">
        <v>76</v>
      </c>
      <c r="AK1" s="279" t="s">
        <v>77</v>
      </c>
      <c r="AL1" s="279" t="s">
        <v>78</v>
      </c>
      <c r="AM1" s="279" t="s">
        <v>79</v>
      </c>
      <c r="AN1" s="279" t="s">
        <v>80</v>
      </c>
      <c r="AO1" s="281" t="s">
        <v>81</v>
      </c>
      <c r="AP1" s="282" t="s">
        <v>82</v>
      </c>
      <c r="AQ1" s="279" t="s">
        <v>83</v>
      </c>
      <c r="AR1" s="279" t="s">
        <v>84</v>
      </c>
      <c r="AS1" s="268" t="s">
        <v>85</v>
      </c>
      <c r="AT1" s="285" t="s">
        <v>86</v>
      </c>
      <c r="AU1" s="269" t="s">
        <v>87</v>
      </c>
      <c r="AV1" s="270" t="s">
        <v>88</v>
      </c>
      <c r="AW1" s="268" t="s">
        <v>89</v>
      </c>
      <c r="AX1" s="271" t="s">
        <v>90</v>
      </c>
      <c r="AY1" s="271" t="s">
        <v>91</v>
      </c>
      <c r="AZ1" s="269" t="s">
        <v>92</v>
      </c>
      <c r="BA1" s="286" t="s">
        <v>519</v>
      </c>
      <c r="BB1" s="286" t="s">
        <v>520</v>
      </c>
      <c r="BC1" s="287" t="s">
        <v>521</v>
      </c>
      <c r="BD1" s="287" t="s">
        <v>522</v>
      </c>
      <c r="BE1" s="288" t="s">
        <v>523</v>
      </c>
      <c r="BF1" s="288" t="s">
        <v>524</v>
      </c>
      <c r="BG1" s="288" t="s">
        <v>525</v>
      </c>
      <c r="BH1" s="288" t="s">
        <v>526</v>
      </c>
      <c r="BI1" s="288" t="s">
        <v>527</v>
      </c>
      <c r="BJ1" s="289" t="s">
        <v>528</v>
      </c>
      <c r="BK1" s="285" t="s">
        <v>529</v>
      </c>
      <c r="BL1" s="285" t="s">
        <v>530</v>
      </c>
      <c r="BM1" s="290" t="s">
        <v>516</v>
      </c>
      <c r="BN1" s="290" t="s">
        <v>531</v>
      </c>
      <c r="BO1" s="305" t="s">
        <v>532</v>
      </c>
      <c r="BP1" s="306" t="s">
        <v>512</v>
      </c>
      <c r="BQ1" s="307" t="s">
        <v>214</v>
      </c>
      <c r="BR1" s="307" t="s">
        <v>513</v>
      </c>
      <c r="BS1" s="308" t="s">
        <v>514</v>
      </c>
      <c r="BT1" s="296" t="s">
        <v>459</v>
      </c>
      <c r="BU1" s="296" t="s">
        <v>511</v>
      </c>
      <c r="BV1" s="298" t="s">
        <v>150</v>
      </c>
      <c r="BW1" s="298" t="s">
        <v>153</v>
      </c>
      <c r="BX1" s="298" t="s">
        <v>151</v>
      </c>
      <c r="BY1" s="298" t="s">
        <v>214</v>
      </c>
      <c r="BZ1" s="298" t="s">
        <v>482</v>
      </c>
      <c r="CA1" s="298" t="s">
        <v>483</v>
      </c>
      <c r="CB1" s="298" t="s">
        <v>484</v>
      </c>
      <c r="CC1" s="298" t="s">
        <v>485</v>
      </c>
      <c r="CD1" s="298" t="s">
        <v>486</v>
      </c>
      <c r="CE1" s="299" t="s">
        <v>487</v>
      </c>
      <c r="CF1" s="298" t="s">
        <v>488</v>
      </c>
      <c r="CG1" s="298" t="s">
        <v>489</v>
      </c>
      <c r="CH1" s="298" t="s">
        <v>490</v>
      </c>
      <c r="CI1" s="298" t="s">
        <v>491</v>
      </c>
      <c r="CJ1" s="298" t="s">
        <v>492</v>
      </c>
      <c r="CK1" s="298" t="s">
        <v>493</v>
      </c>
      <c r="CL1" s="298" t="s">
        <v>494</v>
      </c>
      <c r="CM1" s="298" t="s">
        <v>495</v>
      </c>
      <c r="CN1" s="298" t="s">
        <v>496</v>
      </c>
      <c r="CO1" s="297" t="s">
        <v>497</v>
      </c>
      <c r="CP1" s="314" t="s">
        <v>472</v>
      </c>
      <c r="CQ1" s="314"/>
      <c r="CR1" s="314" t="s">
        <v>473</v>
      </c>
      <c r="CS1" s="314"/>
      <c r="CT1" s="314" t="s">
        <v>474</v>
      </c>
      <c r="CU1" s="314"/>
      <c r="CV1" s="314" t="s">
        <v>475</v>
      </c>
      <c r="CW1" s="314"/>
      <c r="CX1" s="314" t="s">
        <v>476</v>
      </c>
      <c r="CY1" s="314"/>
      <c r="CZ1" s="314" t="s">
        <v>477</v>
      </c>
      <c r="DA1" s="314"/>
      <c r="DB1" s="314" t="s">
        <v>478</v>
      </c>
      <c r="DC1" s="314"/>
      <c r="DD1" s="314" t="s">
        <v>479</v>
      </c>
      <c r="DE1" s="314"/>
      <c r="DF1" s="314" t="s">
        <v>480</v>
      </c>
      <c r="DG1" s="314"/>
      <c r="DH1" s="310" t="s">
        <v>534</v>
      </c>
      <c r="DI1" s="310" t="s">
        <v>535</v>
      </c>
      <c r="DJ1" s="310" t="s">
        <v>536</v>
      </c>
      <c r="DK1" s="310" t="s">
        <v>537</v>
      </c>
    </row>
    <row r="2" spans="1:116" x14ac:dyDescent="0.25">
      <c r="A2" s="237" t="s">
        <v>540</v>
      </c>
      <c r="B2" s="301">
        <v>44378</v>
      </c>
      <c r="C2" s="301">
        <v>44378</v>
      </c>
      <c r="D2" s="284" t="s">
        <v>29</v>
      </c>
      <c r="E2" s="284" t="s">
        <v>33</v>
      </c>
      <c r="F2" s="284">
        <v>1</v>
      </c>
      <c r="G2" s="313" t="s">
        <v>272</v>
      </c>
      <c r="H2" s="284"/>
      <c r="I2" s="284"/>
      <c r="J2" s="302" t="e">
        <f>VLOOKUP(G2,'BASE PASAJEROS'!A:E,5,FALSE)</f>
        <v>#N/A</v>
      </c>
      <c r="K2" s="237" t="e">
        <f>VLOOKUP(G2,'BASE PASAJEROS'!A:B,2,FALSE)</f>
        <v>#N/A</v>
      </c>
      <c r="L2" s="284" t="s">
        <v>119</v>
      </c>
      <c r="M2" s="237" t="e">
        <f>VLOOKUP(G2,'BASE PASAJEROS'!A:H,8,FALSE)</f>
        <v>#N/A</v>
      </c>
      <c r="N2" s="284"/>
      <c r="O2" s="284"/>
      <c r="P2" s="237" t="e">
        <f>VLOOKUP(G2,'BASE PASAJEROS'!A:F,6,FALSE)</f>
        <v>#N/A</v>
      </c>
      <c r="Q2" s="237" t="e">
        <f>VLOOKUP(G2,'BASE PASAJEROS'!A:C,3,FALSE)</f>
        <v>#N/A</v>
      </c>
      <c r="R2" s="237" t="e">
        <f>VLOOKUP(G2,'BASE PASAJEROS'!A:G,7,FALSE)</f>
        <v>#N/A</v>
      </c>
      <c r="S2" s="284" t="s">
        <v>274</v>
      </c>
      <c r="T2" s="228" t="s">
        <v>123</v>
      </c>
      <c r="U2" s="130" t="e">
        <f>VLOOKUP(G2,'BASE PASAJEROS'!A:AG,33,FALSE)</f>
        <v>#N/A</v>
      </c>
      <c r="V2" s="130" t="e">
        <f>VLOOKUP(G2,'BASE PASAJEROS'!A:AH,34,FALSE)</f>
        <v>#N/A</v>
      </c>
      <c r="W2" s="284"/>
      <c r="X2" s="265">
        <v>0.875</v>
      </c>
      <c r="Y2" s="237" t="s">
        <v>27</v>
      </c>
      <c r="Z2" s="284" t="s">
        <v>26</v>
      </c>
      <c r="AA2" s="284" t="s">
        <v>538</v>
      </c>
      <c r="AB2" s="128" t="e">
        <f>VLOOKUP(AA2,'BASE BANCOS'!$A$2:$D$202,3,FALSE)</f>
        <v>#N/A</v>
      </c>
      <c r="AC2" s="284" t="s">
        <v>539</v>
      </c>
      <c r="AD2" s="129" t="e">
        <f>VLOOKUP(AC2,'BASE CONDUCTORES'!E:G,3,FALSE)</f>
        <v>#N/A</v>
      </c>
      <c r="AH2" s="92">
        <f t="shared" ref="AH2:AH3" si="0">+AF2-AG2</f>
        <v>0</v>
      </c>
      <c r="AI2" s="158">
        <v>18000</v>
      </c>
      <c r="AJ2" s="284"/>
      <c r="AK2" s="284"/>
      <c r="AL2" s="284"/>
      <c r="AM2" s="284"/>
      <c r="AN2" s="92">
        <f t="shared" ref="AN2:AN3" si="1">+AM2*1.5</f>
        <v>0</v>
      </c>
      <c r="AO2" s="92">
        <f t="shared" ref="AO2:AO3" si="2">+AH2+AM2</f>
        <v>0</v>
      </c>
      <c r="AP2" s="92">
        <f t="shared" ref="AP2:AP3" si="3">+AI2+AN2</f>
        <v>18000</v>
      </c>
      <c r="AQ2" s="284"/>
      <c r="AR2" s="284"/>
      <c r="AS2" s="284"/>
      <c r="AT2" s="284"/>
      <c r="AW2" s="284"/>
      <c r="AX2" s="266">
        <f t="shared" ref="AX2:AX3" si="4">AO2-AW2</f>
        <v>0</v>
      </c>
      <c r="AY2" s="284"/>
      <c r="AZ2" s="284"/>
      <c r="BA2" s="284"/>
      <c r="BB2" s="284"/>
      <c r="BC2" s="284"/>
      <c r="BD2" s="284"/>
      <c r="BE2" s="284"/>
      <c r="BF2" s="284"/>
      <c r="BG2" s="284"/>
      <c r="BJ2" s="284"/>
      <c r="BK2" s="284"/>
      <c r="BL2" s="284"/>
      <c r="BM2" s="284"/>
      <c r="BN2" s="284"/>
      <c r="BO2" s="284"/>
      <c r="BP2" s="182" t="str">
        <f t="shared" ref="BP2:BP3" si="5">+AC2</f>
        <v>CESAR AUGUSTO CASTRO  SAN JUAN</v>
      </c>
      <c r="BQ2" s="139" t="e">
        <f>VLOOKUP(BP2,'BASE CONDUCTORES'!E:J,2,FALSE)</f>
        <v>#N/A</v>
      </c>
      <c r="BR2" s="139" t="e">
        <f>VLOOKUP(BP2,'BASE CONDUCTORES'!E:J,6,FALSE)</f>
        <v>#N/A</v>
      </c>
      <c r="BS2" s="139" t="e">
        <f>VLOOKUP(BP2,'BASE CONDUCTORES'!E:G,3,FALSE)</f>
        <v>#N/A</v>
      </c>
      <c r="BT2" s="139" t="e">
        <f t="shared" ref="BT2:BT3" si="6">CONCATENATE(BQ2,"-",BR2)</f>
        <v>#N/A</v>
      </c>
      <c r="BU2" s="139" t="s">
        <v>509</v>
      </c>
      <c r="BV2" s="139" t="e">
        <f>VLOOKUP(BT2,MATRIZ!$G$2:$BM$84,34,FALSE)</f>
        <v>#N/A</v>
      </c>
      <c r="BW2" s="139" t="e">
        <f>VLOOKUP(BT2,MATRIZ!$G$2:$BM$84,35,FALSE)</f>
        <v>#N/A</v>
      </c>
      <c r="BX2" s="139" t="e">
        <f>VLOOKUP(BT2,MATRIZ!$G$2:$BM$84,36,FALSE)</f>
        <v>#N/A</v>
      </c>
      <c r="BY2" s="139" t="e">
        <f>VLOOKUP(BT2,MATRIZ!$G$2:$BM$84,37,FALSE)</f>
        <v>#N/A</v>
      </c>
      <c r="BZ2" s="139" t="e">
        <f>VLOOKUP(BT2,MATRIZ!$G$2:$BM$84,38,FALSE)</f>
        <v>#N/A</v>
      </c>
      <c r="CA2" s="139" t="e">
        <f>VLOOKUP(BT2,MATRIZ!$G$2:$BM$84,39,FALSE)</f>
        <v>#N/A</v>
      </c>
      <c r="CB2" s="139" t="e">
        <f>VLOOKUP(BT2,MATRIZ!$G$2:$BM$84,40,FALSE)</f>
        <v>#N/A</v>
      </c>
      <c r="CC2" s="139" t="e">
        <f>VLOOKUP(BT2,MATRIZ!$G$2:$BM$84,41,FALSE)</f>
        <v>#N/A</v>
      </c>
      <c r="CD2" s="139" t="e">
        <f>VLOOKUP(BT2,MATRIZ!$G$2:$BM$84,42,FALSE)</f>
        <v>#N/A</v>
      </c>
      <c r="CE2" s="139" t="e">
        <f>VLOOKUP(BT2,MATRIZ!$G$2:$BM$84,43,FALSE)</f>
        <v>#N/A</v>
      </c>
      <c r="CF2" s="139" t="e">
        <f>VLOOKUP(BT2,MATRIZ!$G$2:$BM$84,44,FALSE)</f>
        <v>#N/A</v>
      </c>
      <c r="CG2" s="139" t="e">
        <f>VLOOKUP(BT2,MATRIZ!$G$2:$BM$84,45,FALSE)</f>
        <v>#N/A</v>
      </c>
      <c r="CH2" s="139" t="e">
        <f>VLOOKUP(BT2,MATRIZ!$G$2:$BM$84,46,FALSE)</f>
        <v>#N/A</v>
      </c>
      <c r="CI2" s="139" t="e">
        <f>VLOOKUP(BT2,MATRIZ!$G$2:$BM$84,47,FALSE)</f>
        <v>#N/A</v>
      </c>
      <c r="CJ2" s="139" t="e">
        <f>VLOOKUP(BT2,MATRIZ!$G$2:$BM$84,48,FALSE)</f>
        <v>#N/A</v>
      </c>
      <c r="CK2" s="139" t="e">
        <f>VLOOKUP(BT2,MATRIZ!$G$2:$BM$84,49,FALSE)</f>
        <v>#N/A</v>
      </c>
      <c r="CL2" s="139" t="e">
        <f>VLOOKUP(BT2,MATRIZ!$G$2:$BM$84,50,FALSE)</f>
        <v>#N/A</v>
      </c>
      <c r="CM2" s="139" t="e">
        <f>VLOOKUP(BT2,MATRIZ!$G$2:$BM$84,51,FALSE)</f>
        <v>#N/A</v>
      </c>
      <c r="CN2" s="139" t="e">
        <f>VLOOKUP(BT2,MATRIZ!$G$2:$BM$84,52,FALSE)</f>
        <v>#N/A</v>
      </c>
      <c r="CO2" s="76" t="e">
        <f>VLOOKUP(BT2,MATRIZ!$G$2:$BM$84,53,FALSE)</f>
        <v>#N/A</v>
      </c>
      <c r="CP2" s="303" t="e">
        <f>VLOOKUP(BT2,MATRIZ!$G$2:$BM$84,14,FALSE)</f>
        <v>#N/A</v>
      </c>
      <c r="CQ2" s="304" t="e">
        <f>VLOOKUP(BT2,MATRIZ!$G$2:$BM$84,15,FALSE)</f>
        <v>#N/A</v>
      </c>
      <c r="CR2" s="303" t="e">
        <f>VLOOKUP(BT2,MATRIZ!$G$2:$BM$84,16,FALSE)</f>
        <v>#N/A</v>
      </c>
      <c r="CS2" s="304" t="e">
        <f>VLOOKUP(BT2,MATRIZ!$G$2:$BM$84,17,FALSE)</f>
        <v>#N/A</v>
      </c>
      <c r="CT2" s="303" t="e">
        <f>VLOOKUP(BT2,MATRIZ!$G$2:$BM$84,18,FALSE)</f>
        <v>#N/A</v>
      </c>
      <c r="CU2" s="304" t="e">
        <f>VLOOKUP(BT2,MATRIZ!$G$2:$BM$84,19,FALSE)</f>
        <v>#N/A</v>
      </c>
      <c r="CV2" s="303" t="e">
        <f>VLOOKUP(BT2,MATRIZ!$G$2:$BM$84,20,FALSE)</f>
        <v>#N/A</v>
      </c>
      <c r="CW2" s="304" t="e">
        <f>VLOOKUP(BT2,MATRIZ!$G$2:$BM$84,21,FALSE)</f>
        <v>#N/A</v>
      </c>
      <c r="CX2" s="303" t="e">
        <f>VLOOKUP(BT2,MATRIZ!$G$2:$BM$84,22,FALSE)</f>
        <v>#N/A</v>
      </c>
      <c r="CY2" s="304" t="e">
        <f>VLOOKUP(BT2,MATRIZ!$G$2:$BM$84,23,FALSE)</f>
        <v>#N/A</v>
      </c>
      <c r="CZ2" s="303" t="e">
        <f>VLOOKUP(BT2,MATRIZ!$G$2:$BM$84,24,FALSE)</f>
        <v>#N/A</v>
      </c>
      <c r="DA2" s="304" t="e">
        <f>VLOOKUP(BT2,MATRIZ!$G$2:$BM$84,25,FALSE)</f>
        <v>#N/A</v>
      </c>
      <c r="DB2" s="303" t="e">
        <f>VLOOKUP(BT2,MATRIZ!$G$2:$BM$84,26,FALSE)</f>
        <v>#N/A</v>
      </c>
      <c r="DC2" s="304" t="e">
        <f>VLOOKUP(BT2,MATRIZ!$G$2:$BM$84,27,FALSE)</f>
        <v>#N/A</v>
      </c>
      <c r="DD2" s="303" t="e">
        <f>VLOOKUP(BT2,MATRIZ!$G$2:$BM$84,28,FALSE)</f>
        <v>#N/A</v>
      </c>
      <c r="DE2" s="304" t="e">
        <f>VLOOKUP(BT2,MATRIZ!$G$2:$BM$84,29,FALSE)</f>
        <v>#N/A</v>
      </c>
      <c r="DF2" s="303" t="e">
        <f>VLOOKUP(BT2,MATRIZ!$G$2:$BM$84,30,FALSE)</f>
        <v>#N/A</v>
      </c>
      <c r="DG2" s="304" t="e">
        <f>VLOOKUP(BT2,MATRIZ!$G$2:$BM$84,31,FALSE)</f>
        <v>#N/A</v>
      </c>
      <c r="DL2" s="283" t="s">
        <v>543</v>
      </c>
    </row>
    <row r="3" spans="1:116" x14ac:dyDescent="0.25">
      <c r="A3" s="237" t="s">
        <v>541</v>
      </c>
      <c r="B3" s="301">
        <v>44378</v>
      </c>
      <c r="C3" s="301">
        <v>44378</v>
      </c>
      <c r="D3" s="284" t="s">
        <v>29</v>
      </c>
      <c r="E3" s="284" t="s">
        <v>33</v>
      </c>
      <c r="F3" s="284">
        <v>1</v>
      </c>
      <c r="G3" s="313" t="s">
        <v>271</v>
      </c>
      <c r="H3" s="284"/>
      <c r="I3" s="284"/>
      <c r="J3" s="302" t="e">
        <f>VLOOKUP(G3,'BASE PASAJEROS'!A:E,5,FALSE)</f>
        <v>#N/A</v>
      </c>
      <c r="K3" s="237" t="e">
        <f>VLOOKUP(G3,'BASE PASAJEROS'!A:B,2,FALSE)</f>
        <v>#N/A</v>
      </c>
      <c r="L3" s="284" t="s">
        <v>119</v>
      </c>
      <c r="M3" s="237" t="e">
        <f>VLOOKUP(G3,'BASE PASAJEROS'!A:H,8,FALSE)</f>
        <v>#N/A</v>
      </c>
      <c r="N3" s="284"/>
      <c r="O3" s="284"/>
      <c r="P3" s="237" t="e">
        <f>VLOOKUP(G3,'BASE PASAJEROS'!A:F,6,FALSE)</f>
        <v>#N/A</v>
      </c>
      <c r="Q3" s="237" t="e">
        <f>VLOOKUP(G3,'BASE PASAJEROS'!A:C,3,FALSE)</f>
        <v>#N/A</v>
      </c>
      <c r="R3" s="237" t="e">
        <f>VLOOKUP(G3,'BASE PASAJEROS'!A:G,7,FALSE)</f>
        <v>#N/A</v>
      </c>
      <c r="S3" s="284" t="s">
        <v>273</v>
      </c>
      <c r="T3" s="228" t="s">
        <v>123</v>
      </c>
      <c r="U3" s="130" t="e">
        <f>VLOOKUP(G3,'BASE PASAJEROS'!A:AG,33,FALSE)</f>
        <v>#N/A</v>
      </c>
      <c r="V3" s="130" t="e">
        <f>VLOOKUP(G3,'BASE PASAJEROS'!A:AH,34,FALSE)</f>
        <v>#N/A</v>
      </c>
      <c r="W3" s="284"/>
      <c r="X3" s="265">
        <v>0.875</v>
      </c>
      <c r="Y3" s="237" t="s">
        <v>27</v>
      </c>
      <c r="Z3" s="284" t="s">
        <v>26</v>
      </c>
      <c r="AA3" s="284" t="s">
        <v>533</v>
      </c>
      <c r="AB3" s="128" t="e">
        <f>VLOOKUP(AA3,'BASE BANCOS'!$A$2:$D$202,3,FALSE)</f>
        <v>#N/A</v>
      </c>
      <c r="AC3" s="284" t="s">
        <v>517</v>
      </c>
      <c r="AD3" s="129" t="e">
        <f>VLOOKUP(AC3,'BASE CONDUCTORES'!E:G,3,FALSE)</f>
        <v>#N/A</v>
      </c>
      <c r="AH3" s="92">
        <f t="shared" si="0"/>
        <v>0</v>
      </c>
      <c r="AI3" s="158">
        <v>36000</v>
      </c>
      <c r="AJ3" s="284"/>
      <c r="AK3" s="284" t="s">
        <v>518</v>
      </c>
      <c r="AL3" s="284"/>
      <c r="AM3" s="284"/>
      <c r="AN3" s="92">
        <f t="shared" si="1"/>
        <v>0</v>
      </c>
      <c r="AO3" s="92">
        <f t="shared" si="2"/>
        <v>0</v>
      </c>
      <c r="AP3" s="92">
        <f t="shared" si="3"/>
        <v>36000</v>
      </c>
      <c r="AQ3" s="284"/>
      <c r="AR3" s="284"/>
      <c r="AS3" s="284"/>
      <c r="AT3" s="284"/>
      <c r="AW3" s="284"/>
      <c r="AX3" s="266">
        <f t="shared" si="4"/>
        <v>0</v>
      </c>
      <c r="AY3" s="284"/>
      <c r="AZ3" s="284"/>
      <c r="BA3" s="284"/>
      <c r="BB3" s="284"/>
      <c r="BC3" s="284"/>
      <c r="BD3" s="284"/>
      <c r="BE3" s="284"/>
      <c r="BF3" s="284"/>
      <c r="BG3" s="284"/>
      <c r="BJ3" s="284"/>
      <c r="BK3" s="284"/>
      <c r="BL3" s="284"/>
      <c r="BM3" s="284"/>
      <c r="BN3" s="284"/>
      <c r="BO3" s="284"/>
      <c r="BP3" s="182" t="str">
        <f t="shared" si="5"/>
        <v>ISRAEL ORTIZ ROA</v>
      </c>
      <c r="BQ3" s="139" t="e">
        <f>VLOOKUP(BP3,'BASE CONDUCTORES'!E:J,2,FALSE)</f>
        <v>#N/A</v>
      </c>
      <c r="BR3" s="139" t="e">
        <f>VLOOKUP(BP3,'BASE CONDUCTORES'!E:J,6,FALSE)</f>
        <v>#N/A</v>
      </c>
      <c r="BS3" s="139" t="e">
        <f>VLOOKUP(BP3,'BASE CONDUCTORES'!E:G,3,FALSE)</f>
        <v>#N/A</v>
      </c>
      <c r="BT3" s="139" t="e">
        <f t="shared" si="6"/>
        <v>#N/A</v>
      </c>
      <c r="BU3" s="139" t="s">
        <v>509</v>
      </c>
      <c r="BV3" s="139" t="e">
        <f>VLOOKUP(BT3,MATRIZ!$G$2:$BM$84,34,FALSE)</f>
        <v>#N/A</v>
      </c>
      <c r="BW3" s="139" t="e">
        <f>VLOOKUP(BT3,MATRIZ!$G$2:$BM$84,35,FALSE)</f>
        <v>#N/A</v>
      </c>
      <c r="BX3" s="139" t="e">
        <f>VLOOKUP(BT3,MATRIZ!$G$2:$BM$84,36,FALSE)</f>
        <v>#N/A</v>
      </c>
      <c r="BY3" s="139" t="e">
        <f>VLOOKUP(BT3,MATRIZ!$G$2:$BM$84,37,FALSE)</f>
        <v>#N/A</v>
      </c>
      <c r="BZ3" s="139" t="e">
        <f>VLOOKUP(BT3,MATRIZ!$G$2:$BM$84,38,FALSE)</f>
        <v>#N/A</v>
      </c>
      <c r="CA3" s="139" t="e">
        <f>VLOOKUP(BT3,MATRIZ!$G$2:$BM$84,39,FALSE)</f>
        <v>#N/A</v>
      </c>
      <c r="CB3" s="139" t="e">
        <f>VLOOKUP(BT3,MATRIZ!$G$2:$BM$84,40,FALSE)</f>
        <v>#N/A</v>
      </c>
      <c r="CC3" s="139" t="e">
        <f>VLOOKUP(BT3,MATRIZ!$G$2:$BM$84,41,FALSE)</f>
        <v>#N/A</v>
      </c>
      <c r="CD3" s="139" t="e">
        <f>VLOOKUP(BT3,MATRIZ!$G$2:$BM$84,42,FALSE)</f>
        <v>#N/A</v>
      </c>
      <c r="CE3" s="139" t="e">
        <f>VLOOKUP(BT3,MATRIZ!$G$2:$BM$84,43,FALSE)</f>
        <v>#N/A</v>
      </c>
      <c r="CF3" s="139" t="e">
        <f>VLOOKUP(BT3,MATRIZ!$G$2:$BM$84,44,FALSE)</f>
        <v>#N/A</v>
      </c>
      <c r="CG3" s="139" t="e">
        <f>VLOOKUP(BT3,MATRIZ!$G$2:$BM$84,45,FALSE)</f>
        <v>#N/A</v>
      </c>
      <c r="CH3" s="139" t="e">
        <f>VLOOKUP(BT3,MATRIZ!$G$2:$BM$84,46,FALSE)</f>
        <v>#N/A</v>
      </c>
      <c r="CI3" s="139" t="e">
        <f>VLOOKUP(BT3,MATRIZ!$G$2:$BM$84,47,FALSE)</f>
        <v>#N/A</v>
      </c>
      <c r="CJ3" s="139" t="e">
        <f>VLOOKUP(BT3,MATRIZ!$G$2:$BM$84,48,FALSE)</f>
        <v>#N/A</v>
      </c>
      <c r="CK3" s="139" t="e">
        <f>VLOOKUP(BT3,MATRIZ!$G$2:$BM$84,49,FALSE)</f>
        <v>#N/A</v>
      </c>
      <c r="CL3" s="139" t="e">
        <f>VLOOKUP(BT3,MATRIZ!$G$2:$BM$84,50,FALSE)</f>
        <v>#N/A</v>
      </c>
      <c r="CM3" s="139" t="e">
        <f>VLOOKUP(BT3,MATRIZ!$G$2:$BM$84,51,FALSE)</f>
        <v>#N/A</v>
      </c>
      <c r="CN3" s="139" t="e">
        <f>VLOOKUP(BT3,MATRIZ!$G$2:$BM$84,52,FALSE)</f>
        <v>#N/A</v>
      </c>
      <c r="CO3" s="76" t="e">
        <f>VLOOKUP(BT3,MATRIZ!$G$2:$BM$84,53,FALSE)</f>
        <v>#N/A</v>
      </c>
      <c r="CP3" s="303" t="e">
        <f>VLOOKUP(BT3,MATRIZ!$G$2:$BM$84,14,FALSE)</f>
        <v>#N/A</v>
      </c>
      <c r="CQ3" s="304" t="e">
        <f>VLOOKUP(BT3,MATRIZ!$G$2:$BM$84,15,FALSE)</f>
        <v>#N/A</v>
      </c>
      <c r="CR3" s="303" t="e">
        <f>VLOOKUP(BT3,MATRIZ!$G$2:$BM$84,16,FALSE)</f>
        <v>#N/A</v>
      </c>
      <c r="CS3" s="304" t="e">
        <f>VLOOKUP(BT3,MATRIZ!$G$2:$BM$84,17,FALSE)</f>
        <v>#N/A</v>
      </c>
      <c r="CT3" s="303" t="e">
        <f>VLOOKUP(BT3,MATRIZ!$G$2:$BM$84,18,FALSE)</f>
        <v>#N/A</v>
      </c>
      <c r="CU3" s="304" t="e">
        <f>VLOOKUP(BT3,MATRIZ!$G$2:$BM$84,19,FALSE)</f>
        <v>#N/A</v>
      </c>
      <c r="CV3" s="303" t="e">
        <f>VLOOKUP(BT3,MATRIZ!$G$2:$BM$84,20,FALSE)</f>
        <v>#N/A</v>
      </c>
      <c r="CW3" s="304" t="e">
        <f>VLOOKUP(BT3,MATRIZ!$G$2:$BM$84,21,FALSE)</f>
        <v>#N/A</v>
      </c>
      <c r="CX3" s="303" t="e">
        <f>VLOOKUP(BT3,MATRIZ!$G$2:$BM$84,22,FALSE)</f>
        <v>#N/A</v>
      </c>
      <c r="CY3" s="304" t="e">
        <f>VLOOKUP(BT3,MATRIZ!$G$2:$BM$84,23,FALSE)</f>
        <v>#N/A</v>
      </c>
      <c r="CZ3" s="303" t="e">
        <f>VLOOKUP(BT3,MATRIZ!$G$2:$BM$84,24,FALSE)</f>
        <v>#N/A</v>
      </c>
      <c r="DA3" s="304" t="e">
        <f>VLOOKUP(BT3,MATRIZ!$G$2:$BM$84,25,FALSE)</f>
        <v>#N/A</v>
      </c>
      <c r="DB3" s="303" t="e">
        <f>VLOOKUP(BT3,MATRIZ!$G$2:$BM$84,26,FALSE)</f>
        <v>#N/A</v>
      </c>
      <c r="DC3" s="304" t="e">
        <f>VLOOKUP(BT3,MATRIZ!$G$2:$BM$84,27,FALSE)</f>
        <v>#N/A</v>
      </c>
      <c r="DD3" s="303" t="e">
        <f>VLOOKUP(BT3,MATRIZ!$G$2:$BM$84,28,FALSE)</f>
        <v>#N/A</v>
      </c>
      <c r="DE3" s="304" t="e">
        <f>VLOOKUP(BT3,MATRIZ!$G$2:$BM$84,29,FALSE)</f>
        <v>#N/A</v>
      </c>
      <c r="DF3" s="303" t="e">
        <f>VLOOKUP(BT3,MATRIZ!$G$2:$BM$84,30,FALSE)</f>
        <v>#N/A</v>
      </c>
      <c r="DG3" s="304" t="e">
        <f>VLOOKUP(BT3,MATRIZ!$G$2:$BM$84,31,FALSE)</f>
        <v>#N/A</v>
      </c>
      <c r="DL3" s="283" t="s">
        <v>542</v>
      </c>
    </row>
  </sheetData>
  <autoFilter ref="A1:DJ3" xr:uid="{53D3C5B2-5403-4DD0-8E21-44865A95FF0E}">
    <filterColumn colId="93" showButton="0"/>
    <filterColumn colId="95" showButton="0"/>
    <filterColumn colId="97" showButton="0"/>
    <filterColumn colId="99" showButton="0"/>
    <filterColumn colId="101" showButton="0"/>
    <filterColumn colId="103" showButton="0"/>
    <filterColumn colId="105" showButton="0"/>
    <filterColumn colId="107" showButton="0"/>
    <filterColumn colId="109" showButton="0"/>
  </autoFilter>
  <mergeCells count="9">
    <mergeCell ref="DB1:DC1"/>
    <mergeCell ref="DD1:DE1"/>
    <mergeCell ref="DF1:DG1"/>
    <mergeCell ref="CP1:CQ1"/>
    <mergeCell ref="CR1:CS1"/>
    <mergeCell ref="CT1:CU1"/>
    <mergeCell ref="CV1:CW1"/>
    <mergeCell ref="CX1:CY1"/>
    <mergeCell ref="CZ1:DA1"/>
  </mergeCells>
  <phoneticPr fontId="18" type="noConversion"/>
  <dataValidations count="2">
    <dataValidation showInputMessage="1" showErrorMessage="1" sqref="AB1" xr:uid="{12BBFDDB-195B-4FD8-8067-A5ABECFF95AC}"/>
    <dataValidation type="list" allowBlank="1" showInputMessage="1" showErrorMessage="1" sqref="BP1" xr:uid="{E10511ED-35AB-4A4A-90C0-5482AE439C9F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C4A30158-B9D4-479F-B612-B5A3F55D7F26}">
          <x14:formula1>
            <xm:f>'C:\Users\user\MOVLIFE SAS\Melissa Gomez Florez - 5. Operaciones\6. Cuadro control semanal\2020\Septiembre 2020\Semana 4\[CUADRO CONTROL SEMANA 4 OPERACIONES V1_CIERRE.xlsx]BASE PASAJEROS '!#REF!</xm:f>
          </x14:formula1>
          <xm:sqref>G1</xm:sqref>
        </x14:dataValidation>
        <x14:dataValidation type="list" allowBlank="1" showInputMessage="1" showErrorMessage="1" xr:uid="{C3145AAA-9922-4DF2-9A53-3051BB979D7C}">
          <x14:formula1>
            <xm:f>PARAMETROS!$I$1:$I$5</xm:f>
          </x14:formula1>
          <xm:sqref>Z2:Z3</xm:sqref>
        </x14:dataValidation>
        <x14:dataValidation type="list" allowBlank="1" showInputMessage="1" showErrorMessage="1" xr:uid="{1960B1EA-0D59-4EC7-A07F-11854BACE43D}">
          <x14:formula1>
            <xm:f>PARAMETROS!$L$2:$L$21</xm:f>
          </x14:formula1>
          <xm:sqref>D2:D3</xm:sqref>
        </x14:dataValidation>
        <x14:dataValidation type="list" allowBlank="1" showInputMessage="1" showErrorMessage="1" xr:uid="{9E1843C2-4E84-43B4-9BBA-3C0BB580CABE}">
          <x14:formula1>
            <xm:f>PARAMETROS!$B$2:$B$7</xm:f>
          </x14:formula1>
          <xm:sqref>E2:E3</xm:sqref>
        </x14:dataValidation>
        <x14:dataValidation type="list" allowBlank="1" showInputMessage="1" showErrorMessage="1" xr:uid="{EF6180C8-03FF-4EBA-93B2-6C2E20417FC3}">
          <x14:formula1>
            <xm:f>PARAMETROS!$D$2:$D$6</xm:f>
          </x14:formula1>
          <xm:sqref>F2:F3</xm:sqref>
        </x14:dataValidation>
        <x14:dataValidation type="list" allowBlank="1" showInputMessage="1" showErrorMessage="1" xr:uid="{EE502FF4-1F92-4FAB-ABAE-9A33136F65BB}">
          <x14:formula1>
            <xm:f>PARAMETROS!$F$1:$F$9</xm:f>
          </x14:formula1>
          <xm:sqref>Y1:Y1048576</xm:sqref>
        </x14:dataValidation>
        <x14:dataValidation type="list" allowBlank="1" showInputMessage="1" showErrorMessage="1" xr:uid="{759CB4F0-84ED-42DC-B70D-C73C18173D7C}">
          <x14:formula1>
            <xm:f>'BASE CONDUCTORES'!$E$2:$E$38</xm:f>
          </x14:formula1>
          <xm:sqref>AC1:AC1048576</xm:sqref>
        </x14:dataValidation>
        <x14:dataValidation type="list" allowBlank="1" showInputMessage="1" showErrorMessage="1" xr:uid="{7BF9D106-0A40-432E-9F18-DE716F9A6A1F}">
          <x14:formula1>
            <xm:f>'BASE CONDUCTORES'!$E:$E</xm:f>
          </x14:formula1>
          <xm:sqref>BP2:BP3</xm:sqref>
        </x14:dataValidation>
        <x14:dataValidation type="list" allowBlank="1" showInputMessage="1" showErrorMessage="1" xr:uid="{C931A466-9558-43F1-ADCB-699139BC2EAA}">
          <x14:formula1>
            <xm:f>'BASE BANCOS'!$A$2:$A$150</xm:f>
          </x14:formula1>
          <xm:sqref>AA1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A966-863F-4490-A6CD-8EA924F83E41}">
  <sheetPr>
    <tabColor rgb="FFFF0000"/>
  </sheetPr>
  <dimension ref="A1:BA3"/>
  <sheetViews>
    <sheetView zoomScale="85" zoomScaleNormal="85" workbookViewId="0">
      <pane ySplit="1" topLeftCell="A2" activePane="bottomLeft" state="frozen"/>
      <selection pane="bottomLeft" activeCell="C22" sqref="C21:C22"/>
    </sheetView>
  </sheetViews>
  <sheetFormatPr baseColWidth="10" defaultRowHeight="15" x14ac:dyDescent="0.25"/>
  <cols>
    <col min="1" max="1" width="35.42578125" customWidth="1"/>
    <col min="3" max="3" width="23.5703125" customWidth="1"/>
    <col min="5" max="5" width="13.7109375" customWidth="1"/>
    <col min="7" max="7" width="17.85546875" customWidth="1"/>
    <col min="8" max="8" width="11.42578125" style="121"/>
    <col min="10" max="31" width="11.42578125" customWidth="1"/>
    <col min="32" max="32" width="2.7109375" customWidth="1"/>
    <col min="33" max="34" width="11.42578125" style="140"/>
  </cols>
  <sheetData>
    <row r="1" spans="1:53" ht="153" x14ac:dyDescent="0.25">
      <c r="A1" s="10" t="s">
        <v>93</v>
      </c>
      <c r="B1" s="11" t="s">
        <v>53</v>
      </c>
      <c r="C1" s="10" t="s">
        <v>94</v>
      </c>
      <c r="D1" s="10" t="s">
        <v>96</v>
      </c>
      <c r="E1" s="10" t="s">
        <v>97</v>
      </c>
      <c r="F1" s="10" t="s">
        <v>58</v>
      </c>
      <c r="G1" s="159" t="s">
        <v>95</v>
      </c>
      <c r="H1" s="163" t="s">
        <v>55</v>
      </c>
      <c r="I1" s="161" t="s">
        <v>98</v>
      </c>
      <c r="J1" s="10" t="s">
        <v>99</v>
      </c>
      <c r="K1" s="10" t="s">
        <v>67</v>
      </c>
      <c r="L1" s="12" t="s">
        <v>100</v>
      </c>
      <c r="M1" s="12" t="s">
        <v>101</v>
      </c>
      <c r="N1" s="12"/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1"/>
      <c r="U1" s="10" t="s">
        <v>93</v>
      </c>
      <c r="V1" s="10" t="s">
        <v>94</v>
      </c>
      <c r="W1" s="10" t="s">
        <v>95</v>
      </c>
      <c r="X1" s="10" t="s">
        <v>96</v>
      </c>
      <c r="Y1" s="10" t="s">
        <v>97</v>
      </c>
      <c r="Z1" s="10" t="s">
        <v>58</v>
      </c>
      <c r="AA1" s="10" t="s">
        <v>95</v>
      </c>
      <c r="AB1" s="10" t="s">
        <v>55</v>
      </c>
      <c r="AC1" s="10" t="s">
        <v>98</v>
      </c>
      <c r="AD1" s="10" t="s">
        <v>67</v>
      </c>
      <c r="AE1" s="12" t="s">
        <v>100</v>
      </c>
      <c r="AF1" s="12" t="s">
        <v>101</v>
      </c>
      <c r="AG1" s="10" t="s">
        <v>107</v>
      </c>
      <c r="AH1" s="10" t="s">
        <v>108</v>
      </c>
      <c r="AI1" s="10" t="s">
        <v>109</v>
      </c>
      <c r="AJ1" s="12" t="s">
        <v>102</v>
      </c>
      <c r="AK1" s="12" t="s">
        <v>110</v>
      </c>
      <c r="AL1" s="13"/>
      <c r="AM1" s="14">
        <v>0.03</v>
      </c>
      <c r="AN1" s="11" t="s">
        <v>111</v>
      </c>
      <c r="AO1" s="11"/>
      <c r="AP1" s="11"/>
      <c r="AQ1" s="11" t="s">
        <v>112</v>
      </c>
      <c r="AR1" s="11"/>
      <c r="AS1" s="11"/>
      <c r="AT1" s="11"/>
      <c r="AU1" s="11"/>
      <c r="AV1" s="15" t="s">
        <v>113</v>
      </c>
      <c r="AW1" s="11"/>
      <c r="AX1" s="11"/>
      <c r="AY1" s="11" t="s">
        <v>114</v>
      </c>
      <c r="AZ1" s="11"/>
      <c r="BA1" s="11"/>
    </row>
    <row r="2" spans="1:53" x14ac:dyDescent="0.25">
      <c r="A2" s="77" t="s">
        <v>116</v>
      </c>
      <c r="B2" s="77" t="s">
        <v>117</v>
      </c>
      <c r="C2" s="77" t="s">
        <v>118</v>
      </c>
      <c r="D2" s="19"/>
      <c r="E2" s="16">
        <v>3227006153</v>
      </c>
      <c r="F2" s="16" t="s">
        <v>0</v>
      </c>
      <c r="G2" s="160" t="e">
        <v>#N/A</v>
      </c>
      <c r="H2" s="83" t="e">
        <v>#N/A</v>
      </c>
      <c r="I2" s="162" t="e">
        <v>#N/A</v>
      </c>
      <c r="J2" s="77"/>
      <c r="K2" s="77"/>
      <c r="L2" s="17"/>
      <c r="M2" s="17"/>
      <c r="N2" s="17"/>
      <c r="O2" s="17"/>
      <c r="P2" s="77"/>
      <c r="Q2" s="17"/>
      <c r="R2" s="1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18">
        <v>0</v>
      </c>
      <c r="AH2" s="138">
        <v>0</v>
      </c>
      <c r="AI2" s="19"/>
      <c r="AJ2" s="20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</row>
    <row r="3" spans="1:53" x14ac:dyDescent="0.25">
      <c r="A3" s="77" t="s">
        <v>116</v>
      </c>
      <c r="B3" s="77" t="s">
        <v>117</v>
      </c>
      <c r="C3" s="77" t="s">
        <v>118</v>
      </c>
      <c r="D3" s="19"/>
      <c r="E3" s="16">
        <v>3227006153</v>
      </c>
      <c r="F3" s="16" t="s">
        <v>0</v>
      </c>
      <c r="G3" s="160" t="e">
        <v>#N/A</v>
      </c>
      <c r="H3" s="83" t="e">
        <v>#N/A</v>
      </c>
      <c r="I3" s="162" t="e">
        <v>#N/A</v>
      </c>
      <c r="J3" s="77"/>
      <c r="K3" s="77"/>
      <c r="L3" s="17"/>
      <c r="M3" s="17"/>
      <c r="N3" s="17"/>
      <c r="O3" s="17"/>
      <c r="P3" s="77"/>
      <c r="Q3" s="17"/>
      <c r="R3" s="1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18">
        <v>0</v>
      </c>
      <c r="AH3" s="138">
        <v>0</v>
      </c>
      <c r="AI3" s="19"/>
      <c r="AJ3" s="20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</row>
  </sheetData>
  <autoFilter ref="A1:BA3" xr:uid="{CEDA826A-474D-450F-90AB-E07A3873D799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A4E3-AE82-42A0-8E27-740A69A3152E}">
  <sheetPr>
    <tabColor theme="4" tint="-0.249977111117893"/>
  </sheetPr>
  <dimension ref="A1:X3"/>
  <sheetViews>
    <sheetView zoomScale="85" zoomScaleNormal="85" workbookViewId="0">
      <pane xSplit="7" ySplit="1" topLeftCell="H2" activePane="bottomRight" state="frozen"/>
      <selection pane="topRight"/>
      <selection pane="bottomLeft"/>
      <selection pane="bottomRight" activeCell="E30" sqref="E30"/>
    </sheetView>
  </sheetViews>
  <sheetFormatPr baseColWidth="10" defaultRowHeight="15" x14ac:dyDescent="0.25"/>
  <cols>
    <col min="1" max="1" width="16.7109375" style="283" customWidth="1"/>
    <col min="2" max="4" width="11.42578125" style="283"/>
    <col min="5" max="5" width="39.42578125" style="283" customWidth="1"/>
    <col min="6" max="6" width="12" style="236" bestFit="1" customWidth="1"/>
    <col min="7" max="7" width="14.85546875" style="236" customWidth="1"/>
    <col min="8" max="16384" width="11.42578125" style="283"/>
  </cols>
  <sheetData>
    <row r="1" spans="1:24" ht="60" x14ac:dyDescent="0.25">
      <c r="A1" s="230" t="s">
        <v>124</v>
      </c>
      <c r="B1" s="230" t="s">
        <v>125</v>
      </c>
      <c r="C1" s="230" t="s">
        <v>126</v>
      </c>
      <c r="D1" s="21" t="s">
        <v>127</v>
      </c>
      <c r="E1" s="21" t="s">
        <v>128</v>
      </c>
      <c r="F1" s="119" t="s">
        <v>129</v>
      </c>
      <c r="G1" s="119" t="s">
        <v>130</v>
      </c>
      <c r="H1" s="21" t="s">
        <v>131</v>
      </c>
      <c r="I1" s="21" t="s">
        <v>132</v>
      </c>
      <c r="J1" s="21" t="s">
        <v>133</v>
      </c>
      <c r="K1" s="21" t="s">
        <v>134</v>
      </c>
      <c r="L1" s="21" t="s">
        <v>135</v>
      </c>
      <c r="M1" s="22" t="s">
        <v>136</v>
      </c>
      <c r="N1" s="22" t="s">
        <v>137</v>
      </c>
      <c r="O1" s="22" t="s">
        <v>138</v>
      </c>
      <c r="P1" s="22" t="s">
        <v>139</v>
      </c>
      <c r="Q1" s="22" t="s">
        <v>138</v>
      </c>
      <c r="R1" s="22" t="s">
        <v>140</v>
      </c>
      <c r="S1" s="22" t="s">
        <v>138</v>
      </c>
      <c r="T1" s="22" t="s">
        <v>141</v>
      </c>
      <c r="U1" s="22" t="s">
        <v>138</v>
      </c>
      <c r="V1" s="22" t="s">
        <v>142</v>
      </c>
      <c r="W1" s="22" t="s">
        <v>138</v>
      </c>
      <c r="X1" s="22" t="s">
        <v>143</v>
      </c>
    </row>
    <row r="2" spans="1:24" ht="15.75" customHeight="1" x14ac:dyDescent="0.25">
      <c r="A2" s="230" t="s">
        <v>144</v>
      </c>
      <c r="B2" s="230" t="s">
        <v>145</v>
      </c>
      <c r="C2" s="230" t="s">
        <v>146</v>
      </c>
      <c r="D2" s="231"/>
      <c r="E2" s="283" t="str">
        <f t="shared" ref="E2:E3" si="0">CONCATENATE(A2," ",B2," ",C2)</f>
        <v>AINER BARRERA NAVARRO</v>
      </c>
      <c r="G2" s="239">
        <v>3165780390</v>
      </c>
      <c r="H2" s="231"/>
      <c r="I2" s="233" t="s">
        <v>147</v>
      </c>
      <c r="J2" s="232" t="s">
        <v>148</v>
      </c>
      <c r="K2" s="23"/>
      <c r="L2" s="234"/>
    </row>
    <row r="3" spans="1:24" ht="16.5" customHeight="1" x14ac:dyDescent="0.25">
      <c r="A3" s="283" t="s">
        <v>149</v>
      </c>
      <c r="B3" s="283" t="s">
        <v>515</v>
      </c>
      <c r="E3" s="283" t="str">
        <f t="shared" si="0"/>
        <v xml:space="preserve">ALEJANDRO LIMAS </v>
      </c>
      <c r="F3" s="236">
        <v>1015422004</v>
      </c>
      <c r="G3" s="236">
        <v>3118290688</v>
      </c>
    </row>
  </sheetData>
  <autoFilter ref="A1:X3" xr:uid="{F6A8A4E3-AE82-42A0-8E27-740A69A3152E}">
    <sortState xmlns:xlrd2="http://schemas.microsoft.com/office/spreadsheetml/2017/richdata2" ref="A2:X7">
      <sortCondition ref="A1:A3"/>
    </sortState>
  </autoFilter>
  <sortState xmlns:xlrd2="http://schemas.microsoft.com/office/spreadsheetml/2017/richdata2" ref="A2:X3">
    <sortCondition ref="E2:E3"/>
  </sortState>
  <conditionalFormatting sqref="F1:F1048576">
    <cfRule type="duplicateValues" dxfId="686" priority="532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3730-5071-4574-B087-A389F5A4F3C9}">
  <sheetPr>
    <tabColor theme="7" tint="0.59999389629810485"/>
  </sheetPr>
  <dimension ref="A1:BM117"/>
  <sheetViews>
    <sheetView zoomScale="80" zoomScaleNormal="80" workbookViewId="0">
      <selection activeCell="A5" sqref="A5:XFD320"/>
    </sheetView>
  </sheetViews>
  <sheetFormatPr baseColWidth="10" defaultColWidth="11.42578125" defaultRowHeight="15.75" x14ac:dyDescent="0.25"/>
  <cols>
    <col min="1" max="1" width="4.5703125" style="240" customWidth="1"/>
    <col min="2" max="2" width="5.5703125" style="252" customWidth="1"/>
    <col min="3" max="3" width="18.7109375" style="240" customWidth="1"/>
    <col min="4" max="4" width="27" style="240" bestFit="1" customWidth="1"/>
    <col min="5" max="5" width="14.28515625" style="253" bestFit="1" customWidth="1"/>
    <col min="6" max="6" width="23.7109375" style="254" customWidth="1"/>
    <col min="7" max="7" width="24.28515625" style="255" customWidth="1"/>
    <col min="8" max="8" width="23.7109375" style="256" customWidth="1"/>
    <col min="9" max="9" width="20.85546875" style="256" customWidth="1"/>
    <col min="10" max="10" width="20.5703125" style="240" customWidth="1"/>
    <col min="11" max="11" width="12.85546875" style="257" customWidth="1"/>
    <col min="12" max="12" width="9.5703125" style="256" customWidth="1"/>
    <col min="13" max="13" width="24.140625" style="240" customWidth="1"/>
    <col min="14" max="14" width="19.85546875" style="240" customWidth="1"/>
    <col min="15" max="15" width="9.7109375" style="240" customWidth="1"/>
    <col min="16" max="16" width="20.7109375" style="240" customWidth="1"/>
    <col min="17" max="17" width="13.85546875" style="240" customWidth="1"/>
    <col min="18" max="18" width="16.28515625" style="240" customWidth="1"/>
    <col min="19" max="19" width="14.140625" style="240" customWidth="1"/>
    <col min="20" max="20" width="13.5703125" style="258" bestFit="1" customWidth="1"/>
    <col min="21" max="21" width="11.7109375" style="257" bestFit="1" customWidth="1"/>
    <col min="22" max="22" width="13.42578125" style="259" bestFit="1" customWidth="1"/>
    <col min="23" max="23" width="11.7109375" style="257" bestFit="1" customWidth="1"/>
    <col min="24" max="24" width="13.42578125" style="259" bestFit="1" customWidth="1"/>
    <col min="25" max="25" width="11.7109375" style="257" bestFit="1" customWidth="1"/>
    <col min="26" max="26" width="13.28515625" style="259" bestFit="1" customWidth="1"/>
    <col min="27" max="27" width="11.5703125" style="257" customWidth="1"/>
    <col min="28" max="28" width="13.42578125" style="259" bestFit="1" customWidth="1"/>
    <col min="29" max="29" width="11.140625" style="257" customWidth="1"/>
    <col min="30" max="30" width="13.28515625" style="260" bestFit="1" customWidth="1"/>
    <col min="31" max="31" width="11.5703125" style="257" customWidth="1"/>
    <col min="32" max="32" width="13.28515625" style="259" bestFit="1" customWidth="1"/>
    <col min="33" max="33" width="11.7109375" style="257" bestFit="1" customWidth="1"/>
    <col min="34" max="35" width="14" style="257" customWidth="1"/>
    <col min="36" max="36" width="11.7109375" style="259" customWidth="1"/>
    <col min="37" max="37" width="11.7109375" style="257" customWidth="1"/>
    <col min="38" max="38" width="13.28515625" style="259" customWidth="1"/>
    <col min="39" max="39" width="11.42578125" style="240"/>
    <col min="40" max="43" width="4.85546875" style="261" customWidth="1"/>
    <col min="44" max="49" width="4.85546875" style="262" customWidth="1"/>
    <col min="50" max="50" width="5.7109375" style="262" customWidth="1"/>
    <col min="51" max="57" width="4.85546875" style="262" customWidth="1"/>
    <col min="58" max="58" width="4.85546875" style="261" customWidth="1"/>
    <col min="59" max="59" width="68.5703125" style="240" customWidth="1"/>
    <col min="60" max="61" width="4.85546875" style="261" customWidth="1"/>
    <col min="62" max="62" width="35.140625" style="256" customWidth="1"/>
    <col min="63" max="63" width="11.42578125" style="240"/>
    <col min="64" max="64" width="20.85546875" style="257" customWidth="1"/>
    <col min="65" max="65" width="52.42578125" style="257" customWidth="1"/>
    <col min="66" max="16384" width="11.42578125" style="240"/>
  </cols>
  <sheetData>
    <row r="1" spans="1:65" s="241" customFormat="1" ht="102" customHeight="1" x14ac:dyDescent="0.2">
      <c r="A1" s="325" t="s">
        <v>152</v>
      </c>
      <c r="B1" s="325"/>
      <c r="C1" s="327" t="s">
        <v>455</v>
      </c>
      <c r="D1" s="327" t="s">
        <v>456</v>
      </c>
      <c r="E1" s="329" t="s">
        <v>457</v>
      </c>
      <c r="F1" s="331" t="s">
        <v>458</v>
      </c>
      <c r="G1" s="331" t="s">
        <v>459</v>
      </c>
      <c r="H1" s="334" t="s">
        <v>460</v>
      </c>
      <c r="I1" s="334" t="s">
        <v>461</v>
      </c>
      <c r="J1" s="334" t="s">
        <v>462</v>
      </c>
      <c r="K1" s="337" t="s">
        <v>463</v>
      </c>
      <c r="L1" s="339" t="s">
        <v>464</v>
      </c>
      <c r="M1" s="334" t="s">
        <v>465</v>
      </c>
      <c r="N1" s="341" t="s">
        <v>466</v>
      </c>
      <c r="O1" s="341" t="s">
        <v>467</v>
      </c>
      <c r="P1" s="321" t="s">
        <v>468</v>
      </c>
      <c r="Q1" s="322" t="s">
        <v>469</v>
      </c>
      <c r="R1" s="321" t="s">
        <v>470</v>
      </c>
      <c r="S1" s="322" t="s">
        <v>471</v>
      </c>
      <c r="T1" s="323" t="s">
        <v>472</v>
      </c>
      <c r="U1" s="323"/>
      <c r="V1" s="323" t="s">
        <v>473</v>
      </c>
      <c r="W1" s="323"/>
      <c r="X1" s="323" t="s">
        <v>474</v>
      </c>
      <c r="Y1" s="323"/>
      <c r="Z1" s="323" t="s">
        <v>475</v>
      </c>
      <c r="AA1" s="323"/>
      <c r="AB1" s="323" t="s">
        <v>476</v>
      </c>
      <c r="AC1" s="323"/>
      <c r="AD1" s="323" t="s">
        <v>477</v>
      </c>
      <c r="AE1" s="323"/>
      <c r="AF1" s="323" t="s">
        <v>478</v>
      </c>
      <c r="AG1" s="323"/>
      <c r="AH1" s="324" t="s">
        <v>479</v>
      </c>
      <c r="AI1" s="324"/>
      <c r="AJ1" s="323" t="s">
        <v>480</v>
      </c>
      <c r="AK1" s="323"/>
      <c r="AL1" s="323" t="s">
        <v>481</v>
      </c>
      <c r="AM1" s="323"/>
      <c r="AN1" s="342" t="s">
        <v>150</v>
      </c>
      <c r="AO1" s="342" t="s">
        <v>153</v>
      </c>
      <c r="AP1" s="342" t="s">
        <v>151</v>
      </c>
      <c r="AQ1" s="342" t="s">
        <v>214</v>
      </c>
      <c r="AR1" s="342" t="s">
        <v>482</v>
      </c>
      <c r="AS1" s="342" t="s">
        <v>483</v>
      </c>
      <c r="AT1" s="342" t="s">
        <v>484</v>
      </c>
      <c r="AU1" s="342" t="s">
        <v>485</v>
      </c>
      <c r="AV1" s="342" t="s">
        <v>486</v>
      </c>
      <c r="AW1" s="342" t="s">
        <v>487</v>
      </c>
      <c r="AX1" s="342" t="s">
        <v>488</v>
      </c>
      <c r="AY1" s="342" t="s">
        <v>489</v>
      </c>
      <c r="AZ1" s="342" t="s">
        <v>490</v>
      </c>
      <c r="BA1" s="342" t="s">
        <v>491</v>
      </c>
      <c r="BB1" s="342" t="s">
        <v>492</v>
      </c>
      <c r="BC1" s="342" t="s">
        <v>493</v>
      </c>
      <c r="BD1" s="342" t="s">
        <v>494</v>
      </c>
      <c r="BE1" s="342" t="s">
        <v>495</v>
      </c>
      <c r="BF1" s="342" t="s">
        <v>496</v>
      </c>
      <c r="BG1" s="345" t="s">
        <v>497</v>
      </c>
      <c r="BH1" s="342" t="s">
        <v>498</v>
      </c>
      <c r="BI1" s="342" t="s">
        <v>499</v>
      </c>
      <c r="BJ1" s="346" t="s">
        <v>500</v>
      </c>
      <c r="BK1" s="347" t="s">
        <v>501</v>
      </c>
      <c r="BL1" s="343" t="s">
        <v>502</v>
      </c>
      <c r="BM1" s="344" t="s">
        <v>503</v>
      </c>
    </row>
    <row r="2" spans="1:65" s="241" customFormat="1" ht="51.75" customHeight="1" x14ac:dyDescent="0.2">
      <c r="A2" s="326"/>
      <c r="B2" s="326"/>
      <c r="C2" s="328"/>
      <c r="D2" s="328"/>
      <c r="E2" s="330"/>
      <c r="F2" s="332"/>
      <c r="G2" s="333"/>
      <c r="H2" s="335"/>
      <c r="I2" s="336"/>
      <c r="J2" s="335"/>
      <c r="K2" s="338"/>
      <c r="L2" s="340"/>
      <c r="M2" s="335"/>
      <c r="N2" s="341"/>
      <c r="O2" s="341"/>
      <c r="P2" s="321"/>
      <c r="Q2" s="322"/>
      <c r="R2" s="321"/>
      <c r="S2" s="322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264" t="s">
        <v>504</v>
      </c>
      <c r="AI2" s="264" t="s">
        <v>505</v>
      </c>
      <c r="AJ2" s="323"/>
      <c r="AK2" s="323"/>
      <c r="AL2" s="323"/>
      <c r="AM2" s="323"/>
      <c r="AN2" s="342"/>
      <c r="AO2" s="342"/>
      <c r="AP2" s="342"/>
      <c r="AQ2" s="342"/>
      <c r="AR2" s="342"/>
      <c r="AS2" s="342"/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5"/>
      <c r="BH2" s="342"/>
      <c r="BI2" s="342"/>
      <c r="BJ2" s="346"/>
      <c r="BK2" s="347"/>
      <c r="BL2" s="343"/>
      <c r="BM2" s="344"/>
    </row>
    <row r="3" spans="1:65" s="283" customFormat="1" ht="15" x14ac:dyDescent="0.25">
      <c r="A3" s="235">
        <v>1</v>
      </c>
      <c r="B3" s="185" t="str">
        <f>+[2]MOVLIFE!B19</f>
        <v>C</v>
      </c>
      <c r="C3" s="235" t="str">
        <f>+[2]MOVLIFE!C19</f>
        <v>Yuberd Arley</v>
      </c>
      <c r="D3" s="235" t="str">
        <f>+[2]MOVLIFE!D19</f>
        <v>Vargar Pulido</v>
      </c>
      <c r="E3" s="136">
        <v>1049627588</v>
      </c>
      <c r="F3" s="291" t="str">
        <f>+[2]MOVLIFE!F19</f>
        <v>yuberd10@hotmail.com</v>
      </c>
      <c r="G3" s="292" t="str">
        <f t="shared" ref="G3:G4" si="0">CONCATENATE(E3,"-",K3)</f>
        <v>1049627588-EQY410</v>
      </c>
      <c r="H3" s="238">
        <f>+[2]MOVLIFE!G19</f>
        <v>3112435811</v>
      </c>
      <c r="I3" s="238">
        <f>+[2]MOVLIFE!H19</f>
        <v>1049627588</v>
      </c>
      <c r="J3" s="235" t="str">
        <f>+[2]MOVLIFE!I19</f>
        <v>Cr 24 10 51</v>
      </c>
      <c r="K3" s="186" t="str">
        <f>+[2]MOVLIFE!J19</f>
        <v>EQY410</v>
      </c>
      <c r="L3" s="238">
        <f>+[2]MOVLIFE!K19</f>
        <v>2018</v>
      </c>
      <c r="M3" s="235" t="str">
        <f>+[2]MOVLIFE!L19</f>
        <v>CAMIONETA</v>
      </c>
      <c r="N3" s="235" t="str">
        <f>+[2]MOVLIFE!M19</f>
        <v>DFSK</v>
      </c>
      <c r="O3" s="235" t="str">
        <f>+[2]MOVLIFE!N19</f>
        <v>BOGOTA</v>
      </c>
      <c r="P3" s="235" t="str">
        <f>+[2]MOVLIFE!O19</f>
        <v>Jose Hernando Gamba</v>
      </c>
      <c r="Q3" s="235">
        <f>+[2]MOVLIFE!P19</f>
        <v>19444651</v>
      </c>
      <c r="R3" s="235">
        <f>+[2]MOVLIFE!Q19</f>
        <v>0</v>
      </c>
      <c r="S3" s="187">
        <f>+[2]MOVLIFE!R19</f>
        <v>0</v>
      </c>
      <c r="T3" s="188">
        <f>+[2]MOVLIFE!S19</f>
        <v>44939</v>
      </c>
      <c r="U3" s="189">
        <f t="shared" ref="U3:U4" ca="1" si="1">IF(T3&gt;NOW(),T3-NOW(),"Vencido")</f>
        <v>559.43303229166486</v>
      </c>
      <c r="V3" s="190">
        <f>+[2]MOVLIFE!U19</f>
        <v>44536</v>
      </c>
      <c r="W3" s="189">
        <f t="shared" ref="W3:W4" ca="1" si="2">IF(V3&gt;NOW(),V3-NOW(),"Vencido")</f>
        <v>156.43303229166486</v>
      </c>
      <c r="X3" s="190">
        <f>+[2]MOVLIFE!W19</f>
        <v>44728</v>
      </c>
      <c r="Y3" s="189">
        <f t="shared" ref="Y3:Y4" ca="1" si="3">IF(X3&gt;NOW(),X3-NOW(),"Vencido")</f>
        <v>348.43303229166486</v>
      </c>
      <c r="Z3" s="190">
        <f>+[2]MOVLIFE!Y19</f>
        <v>44728</v>
      </c>
      <c r="AA3" s="189">
        <f t="shared" ref="AA3:AA4" ca="1" si="4">IF(Z3&gt;NOW(),Z3-NOW(),"Vencido")</f>
        <v>348.43303229166486</v>
      </c>
      <c r="AB3" s="190">
        <f>+[2]MOVLIFE!AA19</f>
        <v>44550</v>
      </c>
      <c r="AC3" s="189">
        <f t="shared" ref="AC3:AC4" ca="1" si="5">IF(AB3&gt;NOW(),AB3-NOW(),"Vencido")</f>
        <v>170.43303229166486</v>
      </c>
      <c r="AD3" s="190">
        <f>+[2]MOVLIFE!AC19</f>
        <v>44536</v>
      </c>
      <c r="AE3" s="189">
        <f t="shared" ref="AE3:AE4" ca="1" si="6">IF(AD3&gt;NOW(),AD3-NOW(),"Vencido")</f>
        <v>156.43303229166486</v>
      </c>
      <c r="AF3" s="190">
        <v>44413</v>
      </c>
      <c r="AG3" s="189">
        <f t="shared" ref="AG3:AG4" ca="1" si="7">IF(AF3&gt;NOW(),AF3-NOW(),"Vencido")</f>
        <v>33.433032291664858</v>
      </c>
      <c r="AH3" s="189" t="s">
        <v>506</v>
      </c>
      <c r="AI3" s="189"/>
      <c r="AJ3" s="190">
        <f>+[2]MOVLIFE!AG19</f>
        <v>44476</v>
      </c>
      <c r="AK3" s="189">
        <f t="shared" ref="AK3:AK4" ca="1" si="8">IF(AJ3&gt;NOW(),AJ3-NOW(),"Vencido")</f>
        <v>96.433032291664858</v>
      </c>
      <c r="AL3" s="190">
        <v>44414</v>
      </c>
      <c r="AM3" s="191">
        <f t="shared" ref="AM3:AM4" ca="1" si="9">+AL3-TODAY()</f>
        <v>35</v>
      </c>
      <c r="AN3" s="192" t="str">
        <f>+[2]MOVLIFE!AM19</f>
        <v>SI</v>
      </c>
      <c r="AO3" s="192"/>
      <c r="AP3" s="192"/>
      <c r="AQ3" s="192" t="s">
        <v>507</v>
      </c>
      <c r="AR3" s="192" t="s">
        <v>507</v>
      </c>
      <c r="AS3" s="192" t="s">
        <v>507</v>
      </c>
      <c r="AT3" s="192" t="s">
        <v>507</v>
      </c>
      <c r="AU3" s="192" t="s">
        <v>507</v>
      </c>
      <c r="AV3" s="192" t="s">
        <v>507</v>
      </c>
      <c r="AW3" s="192" t="s">
        <v>507</v>
      </c>
      <c r="AX3" s="193" t="s">
        <v>413</v>
      </c>
      <c r="AY3" s="192" t="s">
        <v>507</v>
      </c>
      <c r="AZ3" s="192" t="s">
        <v>507</v>
      </c>
      <c r="BA3" s="192" t="s">
        <v>507</v>
      </c>
      <c r="BB3" s="192" t="s">
        <v>507</v>
      </c>
      <c r="BC3" s="192" t="s">
        <v>507</v>
      </c>
      <c r="BD3" s="192" t="s">
        <v>507</v>
      </c>
      <c r="BE3" s="192" t="s">
        <v>507</v>
      </c>
      <c r="BF3" s="192" t="s">
        <v>507</v>
      </c>
      <c r="BG3" s="194" t="str">
        <f>+[2]MOVLIFE!BB19</f>
        <v>TRANSPORTES ESPECIALES 360 S.A.S</v>
      </c>
      <c r="BH3" s="192" t="s">
        <v>506</v>
      </c>
      <c r="BI3" s="192"/>
      <c r="BJ3" s="195" t="s">
        <v>508</v>
      </c>
      <c r="BK3" s="194"/>
      <c r="BL3" s="196" t="s">
        <v>120</v>
      </c>
      <c r="BM3" s="196" t="s">
        <v>509</v>
      </c>
    </row>
    <row r="4" spans="1:65" s="283" customFormat="1" ht="15" x14ac:dyDescent="0.25">
      <c r="A4" s="235">
        <f>+A3+1</f>
        <v>2</v>
      </c>
      <c r="B4" s="185" t="str">
        <f>+[2]MOVLIFE!B20</f>
        <v>C</v>
      </c>
      <c r="C4" s="235" t="str">
        <f>+[2]MOVLIFE!C20</f>
        <v>Walter Alexander</v>
      </c>
      <c r="D4" s="235" t="str">
        <f>+[2]MOVLIFE!D20</f>
        <v>Henao</v>
      </c>
      <c r="E4" s="136">
        <v>1128414237</v>
      </c>
      <c r="F4" s="291" t="str">
        <f>+[2]MOVLIFE!F20</f>
        <v>alexhew2194@hotmail.com</v>
      </c>
      <c r="G4" s="292" t="str">
        <f t="shared" si="0"/>
        <v>1128414237-ESQ126</v>
      </c>
      <c r="H4" s="238">
        <f>+[2]MOVLIFE!G20</f>
        <v>3023750861</v>
      </c>
      <c r="I4" s="238">
        <f>+[2]MOVLIFE!H20</f>
        <v>1128414237</v>
      </c>
      <c r="J4" s="235" t="str">
        <f>+[2]MOVLIFE!I20</f>
        <v>CL 34aa # 98-25</v>
      </c>
      <c r="K4" s="186" t="str">
        <f>+[2]MOVLIFE!J20</f>
        <v>ESQ126</v>
      </c>
      <c r="L4" s="238">
        <f>+[2]MOVLIFE!K20</f>
        <v>2019</v>
      </c>
      <c r="M4" s="235" t="str">
        <f>+[2]MOVLIFE!L20</f>
        <v>CAMIONETA</v>
      </c>
      <c r="N4" s="235" t="str">
        <f>+[2]MOVLIFE!M20</f>
        <v>RENAULT</v>
      </c>
      <c r="O4" s="235" t="str">
        <f>+[2]MOVLIFE!N20</f>
        <v>MEDELLIN</v>
      </c>
      <c r="P4" s="235" t="str">
        <f>+[2]MOVLIFE!O20</f>
        <v>Walter Alexander Henao Mora</v>
      </c>
      <c r="Q4" s="235">
        <f>+[2]MOVLIFE!P20</f>
        <v>1128414237</v>
      </c>
      <c r="R4" s="235" t="str">
        <f>+[2]MOVLIFE!Q20</f>
        <v>alexhew2194@hotmail.com</v>
      </c>
      <c r="S4" s="187">
        <f>+[2]MOVLIFE!R20</f>
        <v>0</v>
      </c>
      <c r="T4" s="197">
        <f>+[2]MOVLIFE!S20</f>
        <v>44575</v>
      </c>
      <c r="U4" s="189">
        <f t="shared" ca="1" si="1"/>
        <v>195.43303229166486</v>
      </c>
      <c r="V4" s="190">
        <f>+[2]MOVLIFE!U20</f>
        <v>44549</v>
      </c>
      <c r="W4" s="189">
        <f t="shared" ca="1" si="2"/>
        <v>169.43303229166486</v>
      </c>
      <c r="X4" s="190">
        <f>+[2]MOVLIFE!W20</f>
        <v>44558</v>
      </c>
      <c r="Y4" s="189">
        <f t="shared" ca="1" si="3"/>
        <v>178.43303229166486</v>
      </c>
      <c r="Z4" s="190">
        <f>+[2]MOVLIFE!Y20</f>
        <v>44558</v>
      </c>
      <c r="AA4" s="189">
        <f t="shared" ca="1" si="4"/>
        <v>178.43303229166486</v>
      </c>
      <c r="AB4" s="190">
        <f>+[2]MOVLIFE!AA20</f>
        <v>44564</v>
      </c>
      <c r="AC4" s="189">
        <f t="shared" ca="1" si="5"/>
        <v>184.43303229166486</v>
      </c>
      <c r="AD4" s="190">
        <f>+[2]MOVLIFE!AC20</f>
        <v>44544</v>
      </c>
      <c r="AE4" s="189">
        <f t="shared" ca="1" si="6"/>
        <v>164.43303229166486</v>
      </c>
      <c r="AF4" s="190">
        <v>44432</v>
      </c>
      <c r="AG4" s="189">
        <f t="shared" ca="1" si="7"/>
        <v>52.433032291664858</v>
      </c>
      <c r="AH4" s="189" t="s">
        <v>506</v>
      </c>
      <c r="AI4" s="189"/>
      <c r="AJ4" s="190">
        <f>+[2]MOVLIFE!AG20</f>
        <v>44479</v>
      </c>
      <c r="AK4" s="189">
        <f t="shared" ca="1" si="8"/>
        <v>99.433032291664858</v>
      </c>
      <c r="AL4" s="190">
        <v>44432</v>
      </c>
      <c r="AM4" s="191">
        <f t="shared" ca="1" si="9"/>
        <v>53</v>
      </c>
      <c r="AN4" s="192" t="str">
        <f>+[2]MOVLIFE!AM20</f>
        <v>SI</v>
      </c>
      <c r="AO4" s="192"/>
      <c r="AP4" s="192"/>
      <c r="AQ4" s="192" t="s">
        <v>507</v>
      </c>
      <c r="AR4" s="192" t="s">
        <v>507</v>
      </c>
      <c r="AS4" s="192" t="s">
        <v>507</v>
      </c>
      <c r="AT4" s="192" t="s">
        <v>507</v>
      </c>
      <c r="AU4" s="192" t="s">
        <v>507</v>
      </c>
      <c r="AV4" s="192" t="s">
        <v>507</v>
      </c>
      <c r="AW4" s="192" t="s">
        <v>507</v>
      </c>
      <c r="AX4" s="193" t="s">
        <v>413</v>
      </c>
      <c r="AY4" s="192" t="s">
        <v>507</v>
      </c>
      <c r="AZ4" s="192" t="s">
        <v>507</v>
      </c>
      <c r="BA4" s="192" t="s">
        <v>507</v>
      </c>
      <c r="BB4" s="192" t="s">
        <v>507</v>
      </c>
      <c r="BC4" s="192" t="s">
        <v>507</v>
      </c>
      <c r="BD4" s="192" t="s">
        <v>507</v>
      </c>
      <c r="BE4" s="192" t="s">
        <v>507</v>
      </c>
      <c r="BF4" s="192" t="s">
        <v>507</v>
      </c>
      <c r="BG4" s="194" t="str">
        <f>+[2]MOVLIFE!BB20</f>
        <v>TRANSPORTE VIP EXPRESS S.A.S</v>
      </c>
      <c r="BH4" s="192" t="s">
        <v>506</v>
      </c>
      <c r="BI4" s="192"/>
      <c r="BJ4" s="195">
        <v>3045914512</v>
      </c>
      <c r="BK4" s="194"/>
      <c r="BL4" s="196" t="s">
        <v>510</v>
      </c>
      <c r="BM4" s="196" t="s">
        <v>509</v>
      </c>
    </row>
    <row r="5" spans="1:65" s="122" customFormat="1" ht="15" x14ac:dyDescent="0.25">
      <c r="A5" s="187"/>
      <c r="B5" s="185"/>
      <c r="C5" s="235"/>
      <c r="D5" s="235"/>
      <c r="E5" s="136"/>
      <c r="F5" s="291"/>
      <c r="G5" s="292"/>
      <c r="H5" s="238"/>
      <c r="I5" s="238"/>
      <c r="J5" s="235"/>
      <c r="K5" s="199"/>
      <c r="L5" s="238"/>
      <c r="M5" s="235"/>
      <c r="N5" s="235"/>
      <c r="O5" s="235"/>
      <c r="P5" s="235"/>
      <c r="Q5" s="235"/>
      <c r="R5" s="235"/>
      <c r="S5" s="187"/>
      <c r="T5" s="214"/>
      <c r="U5" s="204"/>
      <c r="V5" s="207"/>
      <c r="W5" s="204"/>
      <c r="X5" s="207"/>
      <c r="Y5" s="216"/>
      <c r="Z5" s="207"/>
      <c r="AA5" s="216"/>
      <c r="AB5" s="207"/>
      <c r="AC5" s="216"/>
      <c r="AD5" s="207"/>
      <c r="AE5" s="216"/>
      <c r="AF5" s="205"/>
      <c r="AG5" s="216"/>
      <c r="AH5" s="204"/>
      <c r="AI5" s="204"/>
      <c r="AJ5" s="207"/>
      <c r="AK5" s="216"/>
      <c r="AL5" s="205"/>
      <c r="AM5" s="208"/>
      <c r="AN5" s="210"/>
      <c r="AO5" s="209"/>
      <c r="AP5" s="209"/>
      <c r="AQ5" s="210"/>
      <c r="AR5" s="210"/>
      <c r="AS5" s="210"/>
      <c r="AT5" s="210"/>
      <c r="AU5" s="210"/>
      <c r="AV5" s="210"/>
      <c r="AW5" s="210"/>
      <c r="AX5" s="209"/>
      <c r="AY5" s="210"/>
      <c r="AZ5" s="210"/>
      <c r="BA5" s="210"/>
      <c r="BB5" s="210"/>
      <c r="BC5" s="210"/>
      <c r="BD5" s="210"/>
      <c r="BE5" s="210"/>
      <c r="BF5" s="210"/>
      <c r="BG5" s="235"/>
      <c r="BH5" s="210"/>
      <c r="BI5" s="210"/>
      <c r="BJ5" s="198"/>
      <c r="BK5" s="187"/>
      <c r="BL5" s="136"/>
      <c r="BM5" s="136"/>
    </row>
    <row r="6" spans="1:65" s="283" customFormat="1" ht="15" x14ac:dyDescent="0.25">
      <c r="A6" s="187"/>
      <c r="B6" s="202"/>
      <c r="C6" s="217"/>
      <c r="D6" s="217"/>
      <c r="E6" s="222"/>
      <c r="F6" s="213"/>
      <c r="G6" s="292"/>
      <c r="H6" s="238"/>
      <c r="I6" s="218"/>
      <c r="J6" s="235"/>
      <c r="K6" s="136"/>
      <c r="L6" s="238"/>
      <c r="M6" s="187"/>
      <c r="N6" s="187"/>
      <c r="O6" s="187"/>
      <c r="P6" s="235"/>
      <c r="Q6" s="235"/>
      <c r="R6" s="235"/>
      <c r="S6" s="235"/>
      <c r="T6" s="26"/>
      <c r="U6" s="204"/>
      <c r="V6" s="207"/>
      <c r="W6" s="204"/>
      <c r="X6" s="207"/>
      <c r="Y6" s="204"/>
      <c r="Z6" s="207"/>
      <c r="AA6" s="204"/>
      <c r="AB6" s="207"/>
      <c r="AC6" s="204"/>
      <c r="AD6" s="207"/>
      <c r="AE6" s="204"/>
      <c r="AF6" s="207"/>
      <c r="AG6" s="204"/>
      <c r="AH6" s="216"/>
      <c r="AI6" s="204"/>
      <c r="AJ6" s="207"/>
      <c r="AK6" s="216"/>
      <c r="AL6" s="207"/>
      <c r="AM6" s="208"/>
      <c r="AN6" s="210"/>
      <c r="AO6" s="210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10"/>
      <c r="BD6" s="210"/>
      <c r="BE6" s="210"/>
      <c r="BF6" s="210"/>
      <c r="BG6" s="235"/>
      <c r="BH6" s="210"/>
      <c r="BI6" s="210"/>
      <c r="BJ6" s="238"/>
      <c r="BK6" s="235"/>
      <c r="BL6" s="235"/>
      <c r="BM6" s="136"/>
    </row>
    <row r="7" spans="1:65" s="283" customFormat="1" ht="15" x14ac:dyDescent="0.25">
      <c r="A7" s="187"/>
      <c r="B7" s="201"/>
      <c r="C7" s="235"/>
      <c r="D7" s="235"/>
      <c r="E7" s="136"/>
      <c r="F7" s="291"/>
      <c r="G7" s="292"/>
      <c r="H7" s="238"/>
      <c r="I7" s="238"/>
      <c r="J7" s="235"/>
      <c r="K7" s="136"/>
      <c r="L7" s="238"/>
      <c r="M7" s="235"/>
      <c r="N7" s="235"/>
      <c r="O7" s="235"/>
      <c r="P7" s="235"/>
      <c r="Q7" s="235"/>
      <c r="R7" s="294"/>
      <c r="S7" s="235"/>
      <c r="T7" s="26"/>
      <c r="U7" s="216"/>
      <c r="V7" s="205"/>
      <c r="W7" s="216"/>
      <c r="X7" s="205"/>
      <c r="Y7" s="216"/>
      <c r="Z7" s="205"/>
      <c r="AA7" s="216"/>
      <c r="AB7" s="205"/>
      <c r="AC7" s="216"/>
      <c r="AD7" s="207"/>
      <c r="AE7" s="216"/>
      <c r="AF7" s="205"/>
      <c r="AG7" s="216"/>
      <c r="AH7" s="216"/>
      <c r="AI7" s="216"/>
      <c r="AJ7" s="207"/>
      <c r="AK7" s="216"/>
      <c r="AL7" s="207"/>
      <c r="AM7" s="208"/>
      <c r="AN7" s="210"/>
      <c r="AO7" s="210"/>
      <c r="AP7" s="210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35"/>
      <c r="BH7" s="210"/>
      <c r="BI7" s="210"/>
      <c r="BJ7" s="238"/>
      <c r="BK7" s="187"/>
      <c r="BL7" s="136"/>
      <c r="BM7" s="136"/>
    </row>
    <row r="8" spans="1:65" s="283" customFormat="1" ht="15" x14ac:dyDescent="0.25">
      <c r="A8" s="187"/>
      <c r="B8" s="202"/>
      <c r="C8" s="235"/>
      <c r="D8" s="235"/>
      <c r="E8" s="136"/>
      <c r="F8" s="291"/>
      <c r="G8" s="292"/>
      <c r="H8" s="198"/>
      <c r="I8" s="238"/>
      <c r="J8" s="187"/>
      <c r="K8" s="136"/>
      <c r="L8" s="238"/>
      <c r="M8" s="235"/>
      <c r="N8" s="235"/>
      <c r="O8" s="235"/>
      <c r="P8" s="235"/>
      <c r="Q8" s="235"/>
      <c r="R8" s="235"/>
      <c r="S8" s="235"/>
      <c r="T8" s="214"/>
      <c r="U8" s="204"/>
      <c r="V8" s="207"/>
      <c r="W8" s="204"/>
      <c r="X8" s="207"/>
      <c r="Y8" s="204"/>
      <c r="Z8" s="207"/>
      <c r="AA8" s="204"/>
      <c r="AB8" s="207"/>
      <c r="AC8" s="204"/>
      <c r="AD8" s="207"/>
      <c r="AE8" s="204"/>
      <c r="AF8" s="205"/>
      <c r="AG8" s="204"/>
      <c r="AH8" s="216"/>
      <c r="AI8" s="216"/>
      <c r="AJ8" s="207"/>
      <c r="AK8" s="216"/>
      <c r="AL8" s="207"/>
      <c r="AM8" s="208"/>
      <c r="AN8" s="210"/>
      <c r="AO8" s="210"/>
      <c r="AP8" s="210"/>
      <c r="AQ8" s="210"/>
      <c r="AR8" s="210"/>
      <c r="AS8" s="210"/>
      <c r="AT8" s="209"/>
      <c r="AU8" s="210"/>
      <c r="AV8" s="210"/>
      <c r="AW8" s="210"/>
      <c r="AX8" s="209"/>
      <c r="AY8" s="210"/>
      <c r="AZ8" s="210"/>
      <c r="BA8" s="209"/>
      <c r="BB8" s="210"/>
      <c r="BC8" s="210"/>
      <c r="BD8" s="210"/>
      <c r="BE8" s="210"/>
      <c r="BF8" s="210"/>
      <c r="BG8" s="235"/>
      <c r="BH8" s="210"/>
      <c r="BI8" s="210"/>
      <c r="BJ8" s="238"/>
      <c r="BK8" s="235"/>
      <c r="BL8" s="136"/>
      <c r="BM8" s="136"/>
    </row>
    <row r="9" spans="1:65" s="283" customFormat="1" ht="15" x14ac:dyDescent="0.25">
      <c r="A9" s="187"/>
      <c r="B9" s="202"/>
      <c r="C9" s="187"/>
      <c r="D9" s="187"/>
      <c r="E9" s="199"/>
      <c r="F9" s="291"/>
      <c r="G9" s="292"/>
      <c r="H9" s="198"/>
      <c r="I9" s="198"/>
      <c r="J9" s="187"/>
      <c r="K9" s="199"/>
      <c r="L9" s="238"/>
      <c r="M9" s="217"/>
      <c r="N9" s="217"/>
      <c r="O9" s="217"/>
      <c r="P9" s="235"/>
      <c r="Q9" s="217"/>
      <c r="R9" s="235"/>
      <c r="S9" s="235"/>
      <c r="T9" s="223"/>
      <c r="U9" s="204"/>
      <c r="V9" s="207"/>
      <c r="W9" s="204"/>
      <c r="X9" s="207"/>
      <c r="Y9" s="204"/>
      <c r="Z9" s="207"/>
      <c r="AA9" s="204"/>
      <c r="AB9" s="207"/>
      <c r="AC9" s="204"/>
      <c r="AD9" s="207"/>
      <c r="AE9" s="204"/>
      <c r="AF9" s="207"/>
      <c r="AG9" s="204"/>
      <c r="AH9" s="216"/>
      <c r="AI9" s="204"/>
      <c r="AJ9" s="207"/>
      <c r="AK9" s="216"/>
      <c r="AL9" s="207"/>
      <c r="AM9" s="208"/>
      <c r="AN9" s="210"/>
      <c r="AO9" s="210"/>
      <c r="AP9" s="209"/>
      <c r="AQ9" s="210"/>
      <c r="AR9" s="210"/>
      <c r="AS9" s="209"/>
      <c r="AT9" s="210"/>
      <c r="AU9" s="209"/>
      <c r="AV9" s="210"/>
      <c r="AW9" s="210"/>
      <c r="AX9" s="209"/>
      <c r="AY9" s="209"/>
      <c r="AZ9" s="210"/>
      <c r="BA9" s="210"/>
      <c r="BB9" s="210"/>
      <c r="BC9" s="210"/>
      <c r="BD9" s="210"/>
      <c r="BE9" s="210"/>
      <c r="BF9" s="210"/>
      <c r="BG9" s="235"/>
      <c r="BH9" s="210"/>
      <c r="BI9" s="210"/>
      <c r="BJ9" s="238"/>
      <c r="BK9" s="235"/>
      <c r="BL9" s="235"/>
      <c r="BM9" s="136"/>
    </row>
    <row r="10" spans="1:65" s="122" customFormat="1" ht="15" x14ac:dyDescent="0.25">
      <c r="A10" s="187"/>
      <c r="B10" s="202"/>
      <c r="C10" s="235"/>
      <c r="D10" s="187"/>
      <c r="E10" s="199"/>
      <c r="F10" s="291"/>
      <c r="G10" s="292"/>
      <c r="H10" s="238"/>
      <c r="I10" s="198"/>
      <c r="J10" s="187"/>
      <c r="K10" s="136"/>
      <c r="L10" s="198"/>
      <c r="M10" s="187"/>
      <c r="N10" s="187"/>
      <c r="O10" s="187"/>
      <c r="P10" s="187"/>
      <c r="Q10" s="187"/>
      <c r="R10" s="187"/>
      <c r="S10" s="187"/>
      <c r="T10" s="203"/>
      <c r="U10" s="204"/>
      <c r="V10" s="205"/>
      <c r="W10" s="208"/>
      <c r="X10" s="205"/>
      <c r="Y10" s="204"/>
      <c r="Z10" s="205"/>
      <c r="AA10" s="204"/>
      <c r="AB10" s="205"/>
      <c r="AC10" s="204"/>
      <c r="AD10" s="205"/>
      <c r="AE10" s="204"/>
      <c r="AF10" s="207"/>
      <c r="AG10" s="204"/>
      <c r="AH10" s="216"/>
      <c r="AI10" s="216"/>
      <c r="AJ10" s="207"/>
      <c r="AK10" s="216"/>
      <c r="AL10" s="207"/>
      <c r="AM10" s="208"/>
      <c r="AN10" s="209"/>
      <c r="AO10" s="210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187"/>
      <c r="BH10" s="209"/>
      <c r="BI10" s="209"/>
      <c r="BJ10" s="238"/>
      <c r="BK10" s="235"/>
      <c r="BL10" s="235"/>
      <c r="BM10" s="136"/>
    </row>
    <row r="11" spans="1:65" s="283" customFormat="1" ht="15" x14ac:dyDescent="0.25">
      <c r="A11" s="187"/>
      <c r="B11" s="202"/>
      <c r="C11" s="187"/>
      <c r="D11" s="187"/>
      <c r="E11" s="199"/>
      <c r="F11" s="291"/>
      <c r="G11" s="292"/>
      <c r="H11" s="198"/>
      <c r="I11" s="198"/>
      <c r="J11" s="187"/>
      <c r="K11" s="199"/>
      <c r="L11" s="238"/>
      <c r="M11" s="217"/>
      <c r="N11" s="217"/>
      <c r="O11" s="217"/>
      <c r="P11" s="235"/>
      <c r="Q11" s="217"/>
      <c r="R11" s="235"/>
      <c r="S11" s="235"/>
      <c r="T11" s="223"/>
      <c r="U11" s="204"/>
      <c r="V11" s="207"/>
      <c r="W11" s="204"/>
      <c r="X11" s="207"/>
      <c r="Y11" s="204"/>
      <c r="Z11" s="207"/>
      <c r="AA11" s="204"/>
      <c r="AB11" s="207"/>
      <c r="AC11" s="204"/>
      <c r="AD11" s="207"/>
      <c r="AE11" s="204"/>
      <c r="AF11" s="207"/>
      <c r="AG11" s="204"/>
      <c r="AH11" s="216"/>
      <c r="AI11" s="204"/>
      <c r="AJ11" s="207"/>
      <c r="AK11" s="216"/>
      <c r="AL11" s="207"/>
      <c r="AM11" s="208"/>
      <c r="AN11" s="210"/>
      <c r="AO11" s="210"/>
      <c r="AP11" s="210"/>
      <c r="AQ11" s="210"/>
      <c r="AR11" s="210"/>
      <c r="AS11" s="209"/>
      <c r="AT11" s="210"/>
      <c r="AU11" s="210"/>
      <c r="AV11" s="209"/>
      <c r="AW11" s="210"/>
      <c r="AX11" s="209"/>
      <c r="AY11" s="210"/>
      <c r="AZ11" s="210"/>
      <c r="BA11" s="210"/>
      <c r="BB11" s="209"/>
      <c r="BC11" s="210"/>
      <c r="BD11" s="210"/>
      <c r="BE11" s="210"/>
      <c r="BF11" s="209"/>
      <c r="BG11" s="235"/>
      <c r="BH11" s="210"/>
      <c r="BI11" s="210"/>
      <c r="BJ11" s="238"/>
      <c r="BK11" s="235"/>
      <c r="BL11" s="235"/>
      <c r="BM11" s="136"/>
    </row>
    <row r="12" spans="1:65" s="283" customFormat="1" ht="15" x14ac:dyDescent="0.25">
      <c r="A12" s="187"/>
      <c r="B12" s="202"/>
      <c r="C12" s="187"/>
      <c r="D12" s="187"/>
      <c r="E12" s="199"/>
      <c r="F12" s="291"/>
      <c r="G12" s="292"/>
      <c r="H12" s="198"/>
      <c r="I12" s="198"/>
      <c r="J12" s="187"/>
      <c r="K12" s="199"/>
      <c r="L12" s="198"/>
      <c r="M12" s="187"/>
      <c r="N12" s="187"/>
      <c r="O12" s="187"/>
      <c r="P12" s="187"/>
      <c r="Q12" s="187"/>
      <c r="R12" s="187"/>
      <c r="S12" s="187"/>
      <c r="T12" s="203"/>
      <c r="U12" s="204"/>
      <c r="V12" s="205"/>
      <c r="W12" s="204"/>
      <c r="X12" s="205"/>
      <c r="Y12" s="204"/>
      <c r="Z12" s="205"/>
      <c r="AA12" s="204"/>
      <c r="AB12" s="205"/>
      <c r="AC12" s="204"/>
      <c r="AD12" s="205"/>
      <c r="AE12" s="204"/>
      <c r="AF12" s="205"/>
      <c r="AG12" s="204"/>
      <c r="AH12" s="204"/>
      <c r="AI12" s="216"/>
      <c r="AJ12" s="207"/>
      <c r="AK12" s="216"/>
      <c r="AL12" s="205"/>
      <c r="AM12" s="208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187"/>
      <c r="BH12" s="209"/>
      <c r="BI12" s="209"/>
      <c r="BJ12" s="311"/>
      <c r="BK12" s="235"/>
      <c r="BL12" s="136"/>
      <c r="BM12" s="136"/>
    </row>
    <row r="13" spans="1:65" s="283" customFormat="1" ht="15" x14ac:dyDescent="0.25">
      <c r="A13" s="187"/>
      <c r="B13" s="202"/>
      <c r="C13" s="123"/>
      <c r="D13" s="235"/>
      <c r="E13" s="136"/>
      <c r="F13" s="291"/>
      <c r="G13" s="292"/>
      <c r="H13" s="198"/>
      <c r="I13" s="238"/>
      <c r="J13" s="235"/>
      <c r="K13" s="199"/>
      <c r="L13" s="238"/>
      <c r="M13" s="235"/>
      <c r="N13" s="235"/>
      <c r="O13" s="235"/>
      <c r="P13" s="235"/>
      <c r="Q13" s="235"/>
      <c r="R13" s="235"/>
      <c r="S13" s="235"/>
      <c r="T13" s="214"/>
      <c r="U13" s="204"/>
      <c r="V13" s="207"/>
      <c r="W13" s="204"/>
      <c r="X13" s="207"/>
      <c r="Y13" s="204"/>
      <c r="Z13" s="207"/>
      <c r="AA13" s="204"/>
      <c r="AB13" s="207"/>
      <c r="AC13" s="204"/>
      <c r="AD13" s="207"/>
      <c r="AE13" s="204"/>
      <c r="AF13" s="207"/>
      <c r="AG13" s="204"/>
      <c r="AH13" s="216"/>
      <c r="AI13" s="216"/>
      <c r="AJ13" s="207"/>
      <c r="AK13" s="216"/>
      <c r="AL13" s="205"/>
      <c r="AM13" s="208"/>
      <c r="AN13" s="210"/>
      <c r="AO13" s="210"/>
      <c r="AP13" s="210"/>
      <c r="AQ13" s="210"/>
      <c r="AR13" s="210"/>
      <c r="AS13" s="210"/>
      <c r="AT13" s="210"/>
      <c r="AU13" s="209"/>
      <c r="AV13" s="209"/>
      <c r="AW13" s="209"/>
      <c r="AX13" s="209"/>
      <c r="AY13" s="209"/>
      <c r="AZ13" s="210"/>
      <c r="BA13" s="210"/>
      <c r="BB13" s="210"/>
      <c r="BC13" s="210"/>
      <c r="BD13" s="210"/>
      <c r="BE13" s="210"/>
      <c r="BF13" s="210"/>
      <c r="BG13" s="235"/>
      <c r="BH13" s="210"/>
      <c r="BI13" s="210"/>
      <c r="BJ13" s="238"/>
      <c r="BK13" s="235"/>
      <c r="BL13" s="136"/>
      <c r="BM13" s="136"/>
    </row>
    <row r="14" spans="1:65" s="283" customFormat="1" ht="15" x14ac:dyDescent="0.25">
      <c r="A14" s="187"/>
      <c r="B14" s="202"/>
      <c r="C14" s="123"/>
      <c r="D14" s="187"/>
      <c r="E14" s="199"/>
      <c r="F14" s="291"/>
      <c r="G14" s="292"/>
      <c r="H14" s="198"/>
      <c r="I14" s="198"/>
      <c r="J14" s="187"/>
      <c r="K14" s="199"/>
      <c r="L14" s="198"/>
      <c r="M14" s="187"/>
      <c r="N14" s="187"/>
      <c r="O14" s="187"/>
      <c r="P14" s="187"/>
      <c r="Q14" s="187"/>
      <c r="R14" s="187"/>
      <c r="S14" s="187"/>
      <c r="T14" s="203"/>
      <c r="U14" s="204"/>
      <c r="V14" s="205"/>
      <c r="W14" s="204"/>
      <c r="X14" s="205"/>
      <c r="Y14" s="204"/>
      <c r="Z14" s="205"/>
      <c r="AA14" s="204"/>
      <c r="AB14" s="205"/>
      <c r="AC14" s="204"/>
      <c r="AD14" s="205"/>
      <c r="AE14" s="204"/>
      <c r="AF14" s="207"/>
      <c r="AG14" s="204"/>
      <c r="AH14" s="204"/>
      <c r="AI14" s="204"/>
      <c r="AJ14" s="205"/>
      <c r="AK14" s="204"/>
      <c r="AL14" s="207"/>
      <c r="AM14" s="208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187"/>
      <c r="BH14" s="209"/>
      <c r="BI14" s="209"/>
      <c r="BJ14" s="311"/>
      <c r="BK14" s="235"/>
      <c r="BL14" s="136"/>
      <c r="BM14" s="136"/>
    </row>
    <row r="15" spans="1:65" s="283" customFormat="1" ht="15" x14ac:dyDescent="0.25">
      <c r="A15" s="187"/>
      <c r="B15" s="202"/>
      <c r="C15" s="187"/>
      <c r="D15" s="187"/>
      <c r="E15" s="199"/>
      <c r="F15" s="291"/>
      <c r="G15" s="292"/>
      <c r="H15" s="198"/>
      <c r="I15" s="198"/>
      <c r="J15" s="235"/>
      <c r="K15" s="199"/>
      <c r="L15" s="198"/>
      <c r="M15" s="187"/>
      <c r="N15" s="187"/>
      <c r="O15" s="187"/>
      <c r="P15" s="187"/>
      <c r="Q15" s="187"/>
      <c r="R15" s="187"/>
      <c r="S15" s="187"/>
      <c r="T15" s="203"/>
      <c r="U15" s="204"/>
      <c r="V15" s="207"/>
      <c r="W15" s="204"/>
      <c r="X15" s="207"/>
      <c r="Y15" s="204"/>
      <c r="Z15" s="207"/>
      <c r="AA15" s="204"/>
      <c r="AB15" s="207"/>
      <c r="AC15" s="204"/>
      <c r="AD15" s="207"/>
      <c r="AE15" s="204"/>
      <c r="AF15" s="207"/>
      <c r="AG15" s="204"/>
      <c r="AH15" s="204"/>
      <c r="AI15" s="216"/>
      <c r="AJ15" s="205"/>
      <c r="AK15" s="216"/>
      <c r="AL15" s="205"/>
      <c r="AM15" s="208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35"/>
      <c r="BH15" s="209"/>
      <c r="BI15" s="209"/>
      <c r="BJ15" s="238"/>
      <c r="BK15" s="235"/>
      <c r="BL15" s="136"/>
      <c r="BM15" s="136"/>
    </row>
    <row r="16" spans="1:65" s="283" customFormat="1" ht="15" x14ac:dyDescent="0.25">
      <c r="A16" s="187"/>
      <c r="B16" s="185"/>
      <c r="C16" s="235"/>
      <c r="D16" s="235"/>
      <c r="E16" s="136"/>
      <c r="F16" s="291"/>
      <c r="G16" s="292"/>
      <c r="H16" s="238"/>
      <c r="I16" s="238"/>
      <c r="J16" s="235"/>
      <c r="K16" s="136"/>
      <c r="L16" s="238"/>
      <c r="M16" s="235"/>
      <c r="N16" s="235"/>
      <c r="O16" s="235"/>
      <c r="P16" s="235"/>
      <c r="Q16" s="235"/>
      <c r="R16" s="235"/>
      <c r="S16" s="187"/>
      <c r="T16" s="214"/>
      <c r="U16" s="216"/>
      <c r="V16" s="207"/>
      <c r="W16" s="216"/>
      <c r="X16" s="207"/>
      <c r="Y16" s="216"/>
      <c r="Z16" s="207"/>
      <c r="AA16" s="216"/>
      <c r="AB16" s="207"/>
      <c r="AC16" s="216"/>
      <c r="AD16" s="207"/>
      <c r="AE16" s="216"/>
      <c r="AF16" s="207"/>
      <c r="AG16" s="216"/>
      <c r="AH16" s="216"/>
      <c r="AI16" s="216"/>
      <c r="AJ16" s="207"/>
      <c r="AK16" s="216"/>
      <c r="AL16" s="207"/>
      <c r="AM16" s="208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09"/>
      <c r="AY16" s="210"/>
      <c r="AZ16" s="210"/>
      <c r="BA16" s="210"/>
      <c r="BB16" s="210"/>
      <c r="BC16" s="210"/>
      <c r="BD16" s="210"/>
      <c r="BE16" s="210"/>
      <c r="BF16" s="210"/>
      <c r="BG16" s="235"/>
      <c r="BH16" s="210"/>
      <c r="BI16" s="210"/>
      <c r="BJ16" s="238"/>
      <c r="BK16" s="235"/>
      <c r="BL16" s="136"/>
      <c r="BM16" s="136"/>
    </row>
    <row r="17" spans="1:65" s="283" customFormat="1" ht="15" x14ac:dyDescent="0.25">
      <c r="A17" s="187"/>
      <c r="B17" s="201"/>
      <c r="C17" s="187"/>
      <c r="D17" s="187"/>
      <c r="E17" s="199"/>
      <c r="F17" s="294"/>
      <c r="G17" s="292"/>
      <c r="H17" s="198"/>
      <c r="I17" s="198"/>
      <c r="J17" s="187"/>
      <c r="K17" s="199"/>
      <c r="L17" s="198"/>
      <c r="M17" s="187"/>
      <c r="N17" s="187"/>
      <c r="O17" s="187"/>
      <c r="P17" s="187"/>
      <c r="Q17" s="187"/>
      <c r="R17" s="187"/>
      <c r="S17" s="187"/>
      <c r="T17" s="224"/>
      <c r="U17" s="204"/>
      <c r="V17" s="205"/>
      <c r="W17" s="204"/>
      <c r="X17" s="205"/>
      <c r="Y17" s="204"/>
      <c r="Z17" s="205"/>
      <c r="AA17" s="204"/>
      <c r="AB17" s="205"/>
      <c r="AC17" s="204"/>
      <c r="AD17" s="207"/>
      <c r="AE17" s="204"/>
      <c r="AF17" s="205"/>
      <c r="AG17" s="216"/>
      <c r="AH17" s="216"/>
      <c r="AI17" s="216"/>
      <c r="AJ17" s="207"/>
      <c r="AK17" s="216"/>
      <c r="AL17" s="207"/>
      <c r="AM17" s="208"/>
      <c r="AN17" s="210"/>
      <c r="AO17" s="212"/>
      <c r="AP17" s="212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35"/>
      <c r="BH17" s="210"/>
      <c r="BI17" s="210"/>
      <c r="BJ17" s="238"/>
      <c r="BK17" s="235"/>
      <c r="BL17" s="136"/>
      <c r="BM17" s="136"/>
    </row>
    <row r="18" spans="1:65" s="283" customFormat="1" ht="15" x14ac:dyDescent="0.25">
      <c r="A18" s="187"/>
      <c r="B18" s="200"/>
      <c r="C18" s="123"/>
      <c r="D18" s="235"/>
      <c r="E18" s="199"/>
      <c r="F18" s="291"/>
      <c r="G18" s="292"/>
      <c r="H18" s="198"/>
      <c r="I18" s="198"/>
      <c r="J18" s="235"/>
      <c r="K18" s="199"/>
      <c r="L18" s="238"/>
      <c r="M18" s="187"/>
      <c r="N18" s="187"/>
      <c r="O18" s="187"/>
      <c r="P18" s="235"/>
      <c r="Q18" s="235"/>
      <c r="R18" s="235"/>
      <c r="S18" s="235"/>
      <c r="T18" s="26"/>
      <c r="U18" s="204"/>
      <c r="V18" s="207"/>
      <c r="W18" s="204"/>
      <c r="X18" s="207"/>
      <c r="Y18" s="204"/>
      <c r="Z18" s="207"/>
      <c r="AA18" s="204"/>
      <c r="AB18" s="207"/>
      <c r="AC18" s="204"/>
      <c r="AD18" s="207"/>
      <c r="AE18" s="204"/>
      <c r="AF18" s="207"/>
      <c r="AG18" s="204"/>
      <c r="AH18" s="216"/>
      <c r="AI18" s="204"/>
      <c r="AJ18" s="207"/>
      <c r="AK18" s="216"/>
      <c r="AL18" s="207"/>
      <c r="AM18" s="208"/>
      <c r="AN18" s="210"/>
      <c r="AO18" s="210"/>
      <c r="AP18" s="209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35"/>
      <c r="BH18" s="210"/>
      <c r="BI18" s="210"/>
      <c r="BJ18" s="238"/>
      <c r="BK18" s="235"/>
      <c r="BL18" s="235"/>
      <c r="BM18" s="136"/>
    </row>
    <row r="19" spans="1:65" s="283" customFormat="1" ht="15" x14ac:dyDescent="0.25">
      <c r="A19" s="187"/>
      <c r="B19" s="185"/>
      <c r="C19" s="235"/>
      <c r="D19" s="235"/>
      <c r="E19" s="136"/>
      <c r="F19" s="291"/>
      <c r="G19" s="292"/>
      <c r="H19" s="238"/>
      <c r="I19" s="238"/>
      <c r="J19" s="235"/>
      <c r="K19" s="136"/>
      <c r="L19" s="238"/>
      <c r="M19" s="235"/>
      <c r="N19" s="235"/>
      <c r="O19" s="235"/>
      <c r="P19" s="235"/>
      <c r="Q19" s="235"/>
      <c r="R19" s="235"/>
      <c r="S19" s="187"/>
      <c r="T19" s="26"/>
      <c r="U19" s="216"/>
      <c r="V19" s="207"/>
      <c r="W19" s="216"/>
      <c r="X19" s="207"/>
      <c r="Y19" s="216"/>
      <c r="Z19" s="207"/>
      <c r="AA19" s="216"/>
      <c r="AB19" s="207"/>
      <c r="AC19" s="216"/>
      <c r="AD19" s="207"/>
      <c r="AE19" s="216"/>
      <c r="AF19" s="207"/>
      <c r="AG19" s="216"/>
      <c r="AH19" s="216"/>
      <c r="AI19" s="216"/>
      <c r="AJ19" s="207"/>
      <c r="AK19" s="216"/>
      <c r="AL19" s="207"/>
      <c r="AM19" s="208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09"/>
      <c r="AY19" s="210"/>
      <c r="AZ19" s="210"/>
      <c r="BA19" s="210"/>
      <c r="BB19" s="210"/>
      <c r="BC19" s="210"/>
      <c r="BD19" s="210"/>
      <c r="BE19" s="210"/>
      <c r="BF19" s="210"/>
      <c r="BG19" s="235"/>
      <c r="BH19" s="210"/>
      <c r="BI19" s="210"/>
      <c r="BJ19" s="238"/>
      <c r="BK19" s="235"/>
      <c r="BL19" s="136"/>
      <c r="BM19" s="136"/>
    </row>
    <row r="20" spans="1:65" s="283" customFormat="1" ht="15" x14ac:dyDescent="0.25">
      <c r="A20" s="187"/>
      <c r="B20" s="202"/>
      <c r="C20" s="235"/>
      <c r="D20" s="235"/>
      <c r="E20" s="136"/>
      <c r="F20" s="291"/>
      <c r="G20" s="292"/>
      <c r="H20" s="198"/>
      <c r="I20" s="238"/>
      <c r="J20" s="235"/>
      <c r="K20" s="136"/>
      <c r="L20" s="238"/>
      <c r="M20" s="235"/>
      <c r="N20" s="235"/>
      <c r="O20" s="235"/>
      <c r="P20" s="235"/>
      <c r="Q20" s="235"/>
      <c r="R20" s="235"/>
      <c r="S20" s="235"/>
      <c r="T20" s="26"/>
      <c r="U20" s="204"/>
      <c r="V20" s="207"/>
      <c r="W20" s="204"/>
      <c r="X20" s="207"/>
      <c r="Y20" s="204"/>
      <c r="Z20" s="207"/>
      <c r="AA20" s="204"/>
      <c r="AB20" s="207"/>
      <c r="AC20" s="204"/>
      <c r="AD20" s="207"/>
      <c r="AE20" s="204"/>
      <c r="AF20" s="207"/>
      <c r="AG20" s="204"/>
      <c r="AH20" s="216"/>
      <c r="AI20" s="204"/>
      <c r="AJ20" s="207"/>
      <c r="AK20" s="216"/>
      <c r="AL20" s="207"/>
      <c r="AM20" s="208"/>
      <c r="AN20" s="210"/>
      <c r="AO20" s="210"/>
      <c r="AP20" s="210"/>
      <c r="AQ20" s="210"/>
      <c r="AR20" s="210"/>
      <c r="AS20" s="209"/>
      <c r="AT20" s="210"/>
      <c r="AU20" s="210"/>
      <c r="AV20" s="210"/>
      <c r="AW20" s="210"/>
      <c r="AX20" s="209"/>
      <c r="AY20" s="209"/>
      <c r="AZ20" s="210"/>
      <c r="BA20" s="210"/>
      <c r="BB20" s="210"/>
      <c r="BC20" s="210"/>
      <c r="BD20" s="210"/>
      <c r="BE20" s="210"/>
      <c r="BF20" s="209"/>
      <c r="BG20" s="235"/>
      <c r="BH20" s="210"/>
      <c r="BI20" s="210"/>
      <c r="BJ20" s="238"/>
      <c r="BK20" s="235"/>
      <c r="BL20" s="235"/>
      <c r="BM20" s="136"/>
    </row>
    <row r="21" spans="1:65" s="283" customFormat="1" ht="15" x14ac:dyDescent="0.25">
      <c r="A21" s="187"/>
      <c r="B21" s="201"/>
      <c r="C21" s="235"/>
      <c r="D21" s="235"/>
      <c r="E21" s="136"/>
      <c r="F21" s="291"/>
      <c r="G21" s="292"/>
      <c r="H21" s="238"/>
      <c r="I21" s="238"/>
      <c r="J21" s="235"/>
      <c r="K21" s="136"/>
      <c r="L21" s="238"/>
      <c r="M21" s="235"/>
      <c r="N21" s="235"/>
      <c r="O21" s="235"/>
      <c r="P21" s="235"/>
      <c r="Q21" s="235"/>
      <c r="R21" s="294"/>
      <c r="S21" s="235"/>
      <c r="T21" s="214"/>
      <c r="U21" s="216"/>
      <c r="V21" s="205"/>
      <c r="W21" s="216"/>
      <c r="X21" s="205"/>
      <c r="Y21" s="216"/>
      <c r="Z21" s="205"/>
      <c r="AA21" s="216"/>
      <c r="AB21" s="205"/>
      <c r="AC21" s="216"/>
      <c r="AD21" s="207"/>
      <c r="AE21" s="216"/>
      <c r="AF21" s="205"/>
      <c r="AG21" s="216"/>
      <c r="AH21" s="216"/>
      <c r="AI21" s="216"/>
      <c r="AJ21" s="207"/>
      <c r="AK21" s="216"/>
      <c r="AL21" s="205"/>
      <c r="AM21" s="208"/>
      <c r="AN21" s="210"/>
      <c r="AO21" s="210"/>
      <c r="AP21" s="210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35"/>
      <c r="BH21" s="210"/>
      <c r="BI21" s="210"/>
      <c r="BJ21" s="238"/>
      <c r="BK21" s="235"/>
      <c r="BL21" s="136"/>
      <c r="BM21" s="136"/>
    </row>
    <row r="22" spans="1:65" s="283" customFormat="1" ht="15" x14ac:dyDescent="0.25">
      <c r="A22" s="235"/>
      <c r="B22" s="212"/>
      <c r="C22" s="123"/>
      <c r="D22" s="187"/>
      <c r="E22" s="199"/>
      <c r="F22" s="293"/>
      <c r="G22" s="292"/>
      <c r="H22" s="198"/>
      <c r="I22" s="198"/>
      <c r="J22" s="187"/>
      <c r="K22" s="136"/>
      <c r="L22" s="238"/>
      <c r="M22" s="235"/>
      <c r="N22" s="235"/>
      <c r="O22" s="235"/>
      <c r="P22" s="235"/>
      <c r="Q22" s="235"/>
      <c r="R22" s="235"/>
      <c r="S22" s="235"/>
      <c r="T22" s="26"/>
      <c r="U22" s="204"/>
      <c r="V22" s="207"/>
      <c r="W22" s="204"/>
      <c r="X22" s="207"/>
      <c r="Y22" s="204"/>
      <c r="Z22" s="207"/>
      <c r="AA22" s="204"/>
      <c r="AB22" s="207"/>
      <c r="AC22" s="204"/>
      <c r="AD22" s="207"/>
      <c r="AE22" s="204"/>
      <c r="AF22" s="207"/>
      <c r="AG22" s="204"/>
      <c r="AH22" s="216"/>
      <c r="AI22" s="216"/>
      <c r="AJ22" s="207"/>
      <c r="AK22" s="216"/>
      <c r="AL22" s="207"/>
      <c r="AM22" s="208"/>
      <c r="AN22" s="209"/>
      <c r="AO22" s="210"/>
      <c r="AP22" s="210"/>
      <c r="AQ22" s="210"/>
      <c r="AR22" s="210"/>
      <c r="AS22" s="209"/>
      <c r="AT22" s="209"/>
      <c r="AU22" s="210"/>
      <c r="AV22" s="209"/>
      <c r="AW22" s="210"/>
      <c r="AX22" s="209"/>
      <c r="AY22" s="209"/>
      <c r="AZ22" s="210"/>
      <c r="BA22" s="210"/>
      <c r="BB22" s="210"/>
      <c r="BC22" s="210"/>
      <c r="BD22" s="210"/>
      <c r="BE22" s="210"/>
      <c r="BF22" s="210"/>
      <c r="BG22" s="235"/>
      <c r="BH22" s="210"/>
      <c r="BI22" s="210"/>
      <c r="BJ22" s="238"/>
      <c r="BK22" s="235"/>
      <c r="BL22" s="136"/>
      <c r="BM22" s="136"/>
    </row>
    <row r="23" spans="1:65" s="283" customFormat="1" ht="15" x14ac:dyDescent="0.25">
      <c r="A23" s="235"/>
      <c r="B23" s="202"/>
      <c r="C23" s="187"/>
      <c r="D23" s="187"/>
      <c r="E23" s="199"/>
      <c r="F23" s="291"/>
      <c r="G23" s="292"/>
      <c r="H23" s="198"/>
      <c r="I23" s="198"/>
      <c r="J23" s="235"/>
      <c r="K23" s="136"/>
      <c r="L23" s="238"/>
      <c r="M23" s="235"/>
      <c r="N23" s="235"/>
      <c r="O23" s="187"/>
      <c r="P23" s="187"/>
      <c r="Q23" s="187"/>
      <c r="R23" s="294"/>
      <c r="S23" s="235"/>
      <c r="T23" s="203"/>
      <c r="U23" s="204"/>
      <c r="V23" s="205"/>
      <c r="W23" s="204"/>
      <c r="X23" s="205"/>
      <c r="Y23" s="204"/>
      <c r="Z23" s="205"/>
      <c r="AA23" s="204"/>
      <c r="AB23" s="205"/>
      <c r="AC23" s="204"/>
      <c r="AD23" s="207"/>
      <c r="AE23" s="204"/>
      <c r="AF23" s="205"/>
      <c r="AG23" s="204"/>
      <c r="AH23" s="216"/>
      <c r="AI23" s="216"/>
      <c r="AJ23" s="207"/>
      <c r="AK23" s="216"/>
      <c r="AL23" s="207"/>
      <c r="AM23" s="208"/>
      <c r="AN23" s="210"/>
      <c r="AO23" s="210"/>
      <c r="AP23" s="210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35"/>
      <c r="BH23" s="210"/>
      <c r="BI23" s="210"/>
      <c r="BJ23" s="238"/>
      <c r="BK23" s="187"/>
      <c r="BL23" s="136"/>
      <c r="BM23" s="136"/>
    </row>
    <row r="24" spans="1:65" s="283" customFormat="1" ht="15" x14ac:dyDescent="0.25">
      <c r="A24" s="235"/>
      <c r="B24" s="201"/>
      <c r="C24" s="235"/>
      <c r="D24" s="235"/>
      <c r="E24" s="136"/>
      <c r="F24" s="291"/>
      <c r="G24" s="292"/>
      <c r="H24" s="238"/>
      <c r="I24" s="238"/>
      <c r="J24" s="235"/>
      <c r="K24" s="136"/>
      <c r="L24" s="238"/>
      <c r="M24" s="235"/>
      <c r="N24" s="235"/>
      <c r="O24" s="235"/>
      <c r="P24" s="235"/>
      <c r="Q24" s="235"/>
      <c r="R24" s="294"/>
      <c r="S24" s="235"/>
      <c r="T24" s="26"/>
      <c r="U24" s="216"/>
      <c r="V24" s="205"/>
      <c r="W24" s="216"/>
      <c r="X24" s="205"/>
      <c r="Y24" s="216"/>
      <c r="Z24" s="205"/>
      <c r="AA24" s="216"/>
      <c r="AB24" s="205"/>
      <c r="AC24" s="216"/>
      <c r="AD24" s="207"/>
      <c r="AE24" s="216"/>
      <c r="AF24" s="205"/>
      <c r="AG24" s="216"/>
      <c r="AH24" s="216"/>
      <c r="AI24" s="216"/>
      <c r="AJ24" s="207"/>
      <c r="AK24" s="216"/>
      <c r="AL24" s="207"/>
      <c r="AM24" s="208"/>
      <c r="AN24" s="210"/>
      <c r="AO24" s="210"/>
      <c r="AP24" s="210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35"/>
      <c r="BH24" s="210"/>
      <c r="BI24" s="210"/>
      <c r="BJ24" s="238"/>
      <c r="BK24" s="187"/>
      <c r="BL24" s="136"/>
      <c r="BM24" s="136"/>
    </row>
    <row r="25" spans="1:65" s="122" customFormat="1" ht="15" x14ac:dyDescent="0.25">
      <c r="A25" s="235"/>
      <c r="B25" s="185"/>
      <c r="C25" s="235"/>
      <c r="D25" s="235"/>
      <c r="E25" s="136"/>
      <c r="F25" s="291"/>
      <c r="G25" s="292"/>
      <c r="H25" s="238"/>
      <c r="I25" s="238"/>
      <c r="J25" s="235"/>
      <c r="K25" s="199"/>
      <c r="L25" s="238"/>
      <c r="M25" s="235"/>
      <c r="N25" s="235"/>
      <c r="O25" s="235"/>
      <c r="P25" s="235"/>
      <c r="Q25" s="235"/>
      <c r="R25" s="235"/>
      <c r="S25" s="187"/>
      <c r="T25" s="214"/>
      <c r="U25" s="204"/>
      <c r="V25" s="207"/>
      <c r="W25" s="204"/>
      <c r="X25" s="207"/>
      <c r="Y25" s="216"/>
      <c r="Z25" s="207"/>
      <c r="AA25" s="216"/>
      <c r="AB25" s="207"/>
      <c r="AC25" s="216"/>
      <c r="AD25" s="207"/>
      <c r="AE25" s="216"/>
      <c r="AF25" s="205"/>
      <c r="AG25" s="216"/>
      <c r="AH25" s="204"/>
      <c r="AI25" s="204"/>
      <c r="AJ25" s="207"/>
      <c r="AK25" s="216"/>
      <c r="AL25" s="205"/>
      <c r="AM25" s="208"/>
      <c r="AN25" s="210"/>
      <c r="AO25" s="209"/>
      <c r="AP25" s="209"/>
      <c r="AQ25" s="210"/>
      <c r="AR25" s="210"/>
      <c r="AS25" s="210"/>
      <c r="AT25" s="210"/>
      <c r="AU25" s="210"/>
      <c r="AV25" s="210"/>
      <c r="AW25" s="210"/>
      <c r="AX25" s="209"/>
      <c r="AY25" s="210"/>
      <c r="AZ25" s="210"/>
      <c r="BA25" s="210"/>
      <c r="BB25" s="210"/>
      <c r="BC25" s="210"/>
      <c r="BD25" s="210"/>
      <c r="BE25" s="210"/>
      <c r="BF25" s="210"/>
      <c r="BG25" s="235"/>
      <c r="BH25" s="210"/>
      <c r="BI25" s="210"/>
      <c r="BJ25" s="198"/>
      <c r="BK25" s="187"/>
      <c r="BL25" s="136"/>
      <c r="BM25" s="136"/>
    </row>
    <row r="26" spans="1:65" s="122" customFormat="1" ht="14.25" customHeight="1" x14ac:dyDescent="0.25">
      <c r="A26" s="235"/>
      <c r="B26" s="202"/>
      <c r="C26" s="123"/>
      <c r="D26" s="235"/>
      <c r="E26" s="136"/>
      <c r="F26" s="294"/>
      <c r="G26" s="292"/>
      <c r="H26" s="198"/>
      <c r="I26" s="238"/>
      <c r="J26" s="187"/>
      <c r="K26" s="199"/>
      <c r="L26" s="198"/>
      <c r="M26" s="187"/>
      <c r="N26" s="187"/>
      <c r="O26" s="187"/>
      <c r="P26" s="187"/>
      <c r="Q26" s="187"/>
      <c r="R26" s="187"/>
      <c r="S26" s="187"/>
      <c r="T26" s="26"/>
      <c r="U26" s="204"/>
      <c r="V26" s="205"/>
      <c r="W26" s="204"/>
      <c r="X26" s="205"/>
      <c r="Y26" s="204"/>
      <c r="Z26" s="205"/>
      <c r="AA26" s="204"/>
      <c r="AB26" s="205"/>
      <c r="AC26" s="204"/>
      <c r="AD26" s="205"/>
      <c r="AE26" s="204"/>
      <c r="AF26" s="205"/>
      <c r="AG26" s="204"/>
      <c r="AH26" s="216"/>
      <c r="AI26" s="216"/>
      <c r="AJ26" s="207"/>
      <c r="AK26" s="216"/>
      <c r="AL26" s="205"/>
      <c r="AM26" s="208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187"/>
      <c r="BH26" s="209"/>
      <c r="BI26" s="209"/>
      <c r="BJ26" s="238"/>
      <c r="BK26" s="235"/>
      <c r="BL26" s="235"/>
      <c r="BM26" s="136"/>
    </row>
    <row r="27" spans="1:65" s="283" customFormat="1" ht="15" x14ac:dyDescent="0.25">
      <c r="A27" s="235"/>
      <c r="B27" s="212"/>
      <c r="C27" s="235"/>
      <c r="D27" s="235"/>
      <c r="E27" s="136"/>
      <c r="F27" s="291"/>
      <c r="G27" s="292"/>
      <c r="H27" s="238"/>
      <c r="I27" s="238"/>
      <c r="J27" s="235"/>
      <c r="K27" s="136"/>
      <c r="L27" s="238"/>
      <c r="M27" s="235"/>
      <c r="N27" s="235"/>
      <c r="O27" s="235"/>
      <c r="P27" s="235"/>
      <c r="Q27" s="235"/>
      <c r="R27" s="235"/>
      <c r="S27" s="235"/>
      <c r="T27" s="26"/>
      <c r="U27" s="204"/>
      <c r="V27" s="207"/>
      <c r="W27" s="204"/>
      <c r="X27" s="207"/>
      <c r="Y27" s="204"/>
      <c r="Z27" s="207"/>
      <c r="AA27" s="204"/>
      <c r="AB27" s="207"/>
      <c r="AC27" s="204"/>
      <c r="AD27" s="207"/>
      <c r="AE27" s="204"/>
      <c r="AF27" s="207"/>
      <c r="AG27" s="204"/>
      <c r="AH27" s="216"/>
      <c r="AI27" s="204"/>
      <c r="AJ27" s="207"/>
      <c r="AK27" s="216"/>
      <c r="AL27" s="207"/>
      <c r="AM27" s="208"/>
      <c r="AN27" s="210"/>
      <c r="AO27" s="210"/>
      <c r="AP27" s="210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35"/>
      <c r="BH27" s="210"/>
      <c r="BI27" s="210"/>
      <c r="BJ27" s="238"/>
      <c r="BK27" s="235"/>
      <c r="BL27" s="235"/>
      <c r="BM27" s="136"/>
    </row>
    <row r="28" spans="1:65" s="122" customFormat="1" ht="15" x14ac:dyDescent="0.25">
      <c r="A28" s="235"/>
      <c r="B28" s="201"/>
      <c r="C28" s="187"/>
      <c r="D28" s="187"/>
      <c r="E28" s="199"/>
      <c r="F28" s="293"/>
      <c r="G28" s="292"/>
      <c r="H28" s="198"/>
      <c r="I28" s="198"/>
      <c r="J28" s="187"/>
      <c r="K28" s="199"/>
      <c r="L28" s="198"/>
      <c r="M28" s="187"/>
      <c r="N28" s="187"/>
      <c r="O28" s="187"/>
      <c r="P28" s="187"/>
      <c r="Q28" s="187"/>
      <c r="R28" s="293"/>
      <c r="S28" s="187"/>
      <c r="T28" s="224"/>
      <c r="U28" s="204"/>
      <c r="V28" s="205"/>
      <c r="W28" s="204"/>
      <c r="X28" s="205"/>
      <c r="Y28" s="204"/>
      <c r="Z28" s="205"/>
      <c r="AA28" s="204"/>
      <c r="AB28" s="205"/>
      <c r="AC28" s="204"/>
      <c r="AD28" s="205"/>
      <c r="AE28" s="204"/>
      <c r="AF28" s="205"/>
      <c r="AG28" s="204"/>
      <c r="AH28" s="204"/>
      <c r="AI28" s="204"/>
      <c r="AJ28" s="205"/>
      <c r="AK28" s="204"/>
      <c r="AL28" s="205"/>
      <c r="AM28" s="208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187"/>
      <c r="BH28" s="209"/>
      <c r="BI28" s="209"/>
      <c r="BJ28" s="198"/>
      <c r="BK28" s="187"/>
      <c r="BL28" s="199"/>
      <c r="BM28" s="199"/>
    </row>
    <row r="29" spans="1:65" s="283" customFormat="1" ht="15" x14ac:dyDescent="0.25">
      <c r="A29" s="235"/>
      <c r="B29" s="202"/>
      <c r="C29" s="235"/>
      <c r="D29" s="235"/>
      <c r="E29" s="136"/>
      <c r="F29" s="291"/>
      <c r="G29" s="292"/>
      <c r="H29" s="198"/>
      <c r="I29" s="238"/>
      <c r="J29" s="187"/>
      <c r="K29" s="136"/>
      <c r="L29" s="238"/>
      <c r="M29" s="235"/>
      <c r="N29" s="235"/>
      <c r="O29" s="235"/>
      <c r="P29" s="235"/>
      <c r="Q29" s="235"/>
      <c r="R29" s="235"/>
      <c r="S29" s="235"/>
      <c r="T29" s="214"/>
      <c r="U29" s="204"/>
      <c r="V29" s="207"/>
      <c r="W29" s="204"/>
      <c r="X29" s="207"/>
      <c r="Y29" s="204"/>
      <c r="Z29" s="207"/>
      <c r="AA29" s="204"/>
      <c r="AB29" s="207"/>
      <c r="AC29" s="204"/>
      <c r="AD29" s="207"/>
      <c r="AE29" s="204"/>
      <c r="AF29" s="205"/>
      <c r="AG29" s="204"/>
      <c r="AH29" s="216"/>
      <c r="AI29" s="216"/>
      <c r="AJ29" s="207"/>
      <c r="AK29" s="216"/>
      <c r="AL29" s="207"/>
      <c r="AM29" s="208"/>
      <c r="AN29" s="210"/>
      <c r="AO29" s="210"/>
      <c r="AP29" s="210"/>
      <c r="AQ29" s="210"/>
      <c r="AR29" s="210"/>
      <c r="AS29" s="210"/>
      <c r="AT29" s="209"/>
      <c r="AU29" s="210"/>
      <c r="AV29" s="210"/>
      <c r="AW29" s="210"/>
      <c r="AX29" s="209"/>
      <c r="AY29" s="210"/>
      <c r="AZ29" s="210"/>
      <c r="BA29" s="209"/>
      <c r="BB29" s="210"/>
      <c r="BC29" s="210"/>
      <c r="BD29" s="210"/>
      <c r="BE29" s="210"/>
      <c r="BF29" s="210"/>
      <c r="BG29" s="235"/>
      <c r="BH29" s="210"/>
      <c r="BI29" s="210"/>
      <c r="BJ29" s="238"/>
      <c r="BK29" s="235"/>
      <c r="BL29" s="136"/>
      <c r="BM29" s="136"/>
    </row>
    <row r="30" spans="1:65" s="283" customFormat="1" ht="15" x14ac:dyDescent="0.25">
      <c r="A30" s="187"/>
      <c r="B30" s="202"/>
      <c r="C30" s="217"/>
      <c r="D30" s="235"/>
      <c r="E30" s="136"/>
      <c r="F30" s="291"/>
      <c r="G30" s="292"/>
      <c r="H30" s="218"/>
      <c r="I30" s="238"/>
      <c r="J30" s="235"/>
      <c r="K30" s="136"/>
      <c r="L30" s="238"/>
      <c r="M30" s="235"/>
      <c r="N30" s="235"/>
      <c r="O30" s="235"/>
      <c r="P30" s="235"/>
      <c r="Q30" s="235"/>
      <c r="R30" s="235"/>
      <c r="S30" s="235"/>
      <c r="T30" s="26"/>
      <c r="U30" s="204"/>
      <c r="V30" s="207"/>
      <c r="W30" s="204"/>
      <c r="X30" s="207"/>
      <c r="Y30" s="204"/>
      <c r="Z30" s="207"/>
      <c r="AA30" s="204"/>
      <c r="AB30" s="207"/>
      <c r="AC30" s="204"/>
      <c r="AD30" s="207"/>
      <c r="AE30" s="204"/>
      <c r="AF30" s="207"/>
      <c r="AG30" s="204"/>
      <c r="AH30" s="204"/>
      <c r="AI30" s="204"/>
      <c r="AJ30" s="205"/>
      <c r="AK30" s="204"/>
      <c r="AL30" s="205"/>
      <c r="AM30" s="208"/>
      <c r="AN30" s="210"/>
      <c r="AO30" s="210"/>
      <c r="AP30" s="210"/>
      <c r="AQ30" s="210"/>
      <c r="AR30" s="210"/>
      <c r="AS30" s="209"/>
      <c r="AT30" s="209"/>
      <c r="AU30" s="210"/>
      <c r="AV30" s="210"/>
      <c r="AW30" s="210"/>
      <c r="AX30" s="209"/>
      <c r="AY30" s="209"/>
      <c r="AZ30" s="210"/>
      <c r="BA30" s="210"/>
      <c r="BB30" s="210"/>
      <c r="BC30" s="209"/>
      <c r="BD30" s="210"/>
      <c r="BE30" s="210"/>
      <c r="BF30" s="209"/>
      <c r="BG30" s="235"/>
      <c r="BH30" s="210"/>
      <c r="BI30" s="210"/>
      <c r="BJ30" s="238"/>
      <c r="BK30" s="235"/>
      <c r="BL30" s="235"/>
      <c r="BM30" s="136"/>
    </row>
    <row r="31" spans="1:65" s="283" customFormat="1" ht="15" x14ac:dyDescent="0.25">
      <c r="A31" s="187"/>
      <c r="B31" s="202"/>
      <c r="C31" s="217"/>
      <c r="D31" s="235"/>
      <c r="E31" s="136"/>
      <c r="F31" s="291"/>
      <c r="G31" s="292"/>
      <c r="H31" s="218"/>
      <c r="I31" s="238"/>
      <c r="J31" s="235"/>
      <c r="K31" s="136"/>
      <c r="L31" s="238"/>
      <c r="M31" s="235"/>
      <c r="N31" s="235"/>
      <c r="O31" s="235"/>
      <c r="P31" s="235"/>
      <c r="Q31" s="235"/>
      <c r="R31" s="235"/>
      <c r="S31" s="235"/>
      <c r="T31" s="26"/>
      <c r="U31" s="204"/>
      <c r="V31" s="207"/>
      <c r="W31" s="204"/>
      <c r="X31" s="207"/>
      <c r="Y31" s="204"/>
      <c r="Z31" s="207"/>
      <c r="AA31" s="204"/>
      <c r="AB31" s="207"/>
      <c r="AC31" s="204"/>
      <c r="AD31" s="207"/>
      <c r="AE31" s="204"/>
      <c r="AF31" s="207"/>
      <c r="AG31" s="204"/>
      <c r="AH31" s="204"/>
      <c r="AI31" s="204"/>
      <c r="AJ31" s="205"/>
      <c r="AK31" s="204"/>
      <c r="AL31" s="205"/>
      <c r="AM31" s="208"/>
      <c r="AN31" s="210"/>
      <c r="AO31" s="210"/>
      <c r="AP31" s="210"/>
      <c r="AQ31" s="210"/>
      <c r="AR31" s="210"/>
      <c r="AS31" s="209"/>
      <c r="AT31" s="209"/>
      <c r="AU31" s="210"/>
      <c r="AV31" s="210"/>
      <c r="AW31" s="210"/>
      <c r="AX31" s="209"/>
      <c r="AY31" s="209"/>
      <c r="AZ31" s="210"/>
      <c r="BA31" s="210"/>
      <c r="BB31" s="210"/>
      <c r="BC31" s="209"/>
      <c r="BD31" s="210"/>
      <c r="BE31" s="210"/>
      <c r="BF31" s="209"/>
      <c r="BG31" s="235"/>
      <c r="BH31" s="210"/>
      <c r="BI31" s="210"/>
      <c r="BJ31" s="238"/>
      <c r="BK31" s="235"/>
      <c r="BL31" s="235"/>
      <c r="BM31" s="136"/>
    </row>
    <row r="32" spans="1:65" s="283" customFormat="1" ht="15" x14ac:dyDescent="0.25">
      <c r="A32" s="187"/>
      <c r="B32" s="202"/>
      <c r="C32" s="217"/>
      <c r="D32" s="235"/>
      <c r="E32" s="136"/>
      <c r="F32" s="291"/>
      <c r="G32" s="292"/>
      <c r="H32" s="218"/>
      <c r="I32" s="238"/>
      <c r="J32" s="235"/>
      <c r="K32" s="136"/>
      <c r="L32" s="238"/>
      <c r="M32" s="235"/>
      <c r="N32" s="235"/>
      <c r="O32" s="235"/>
      <c r="P32" s="235"/>
      <c r="Q32" s="235"/>
      <c r="R32" s="235"/>
      <c r="S32" s="235"/>
      <c r="T32" s="26"/>
      <c r="U32" s="204"/>
      <c r="V32" s="207"/>
      <c r="W32" s="204"/>
      <c r="X32" s="207"/>
      <c r="Y32" s="204"/>
      <c r="Z32" s="207"/>
      <c r="AA32" s="204"/>
      <c r="AB32" s="207"/>
      <c r="AC32" s="204"/>
      <c r="AD32" s="207"/>
      <c r="AE32" s="204"/>
      <c r="AF32" s="207"/>
      <c r="AG32" s="204"/>
      <c r="AH32" s="204"/>
      <c r="AI32" s="204"/>
      <c r="AJ32" s="205"/>
      <c r="AK32" s="204"/>
      <c r="AL32" s="205"/>
      <c r="AM32" s="208"/>
      <c r="AN32" s="210"/>
      <c r="AO32" s="210"/>
      <c r="AP32" s="210"/>
      <c r="AQ32" s="210"/>
      <c r="AR32" s="210"/>
      <c r="AS32" s="209"/>
      <c r="AT32" s="209"/>
      <c r="AU32" s="210"/>
      <c r="AV32" s="210"/>
      <c r="AW32" s="210"/>
      <c r="AX32" s="209"/>
      <c r="AY32" s="209"/>
      <c r="AZ32" s="210"/>
      <c r="BA32" s="210"/>
      <c r="BB32" s="210"/>
      <c r="BC32" s="209"/>
      <c r="BD32" s="210"/>
      <c r="BE32" s="210"/>
      <c r="BF32" s="209"/>
      <c r="BG32" s="235"/>
      <c r="BH32" s="210"/>
      <c r="BI32" s="210"/>
      <c r="BJ32" s="238"/>
      <c r="BK32" s="235"/>
      <c r="BL32" s="235"/>
      <c r="BM32" s="136"/>
    </row>
    <row r="33" spans="1:65" s="283" customFormat="1" ht="15" x14ac:dyDescent="0.25">
      <c r="A33" s="187"/>
      <c r="B33" s="202"/>
      <c r="C33" s="217"/>
      <c r="D33" s="235"/>
      <c r="E33" s="136"/>
      <c r="F33" s="291"/>
      <c r="G33" s="292"/>
      <c r="H33" s="218"/>
      <c r="I33" s="238"/>
      <c r="J33" s="235"/>
      <c r="K33" s="136"/>
      <c r="L33" s="238"/>
      <c r="M33" s="235"/>
      <c r="N33" s="235"/>
      <c r="O33" s="235"/>
      <c r="P33" s="235"/>
      <c r="Q33" s="235"/>
      <c r="R33" s="235"/>
      <c r="S33" s="235"/>
      <c r="T33" s="26"/>
      <c r="U33" s="204"/>
      <c r="V33" s="207"/>
      <c r="W33" s="204"/>
      <c r="X33" s="207"/>
      <c r="Y33" s="204"/>
      <c r="Z33" s="207"/>
      <c r="AA33" s="204"/>
      <c r="AB33" s="207"/>
      <c r="AC33" s="204"/>
      <c r="AD33" s="207"/>
      <c r="AE33" s="204"/>
      <c r="AF33" s="207"/>
      <c r="AG33" s="204"/>
      <c r="AH33" s="204"/>
      <c r="AI33" s="204"/>
      <c r="AJ33" s="205"/>
      <c r="AK33" s="204"/>
      <c r="AL33" s="205"/>
      <c r="AM33" s="208"/>
      <c r="AN33" s="210"/>
      <c r="AO33" s="210"/>
      <c r="AP33" s="210"/>
      <c r="AQ33" s="210"/>
      <c r="AR33" s="210"/>
      <c r="AS33" s="209"/>
      <c r="AT33" s="209"/>
      <c r="AU33" s="210"/>
      <c r="AV33" s="210"/>
      <c r="AW33" s="210"/>
      <c r="AX33" s="209"/>
      <c r="AY33" s="209"/>
      <c r="AZ33" s="210"/>
      <c r="BA33" s="210"/>
      <c r="BB33" s="210"/>
      <c r="BC33" s="209"/>
      <c r="BD33" s="210"/>
      <c r="BE33" s="210"/>
      <c r="BF33" s="209"/>
      <c r="BG33" s="235"/>
      <c r="BH33" s="210"/>
      <c r="BI33" s="210"/>
      <c r="BJ33" s="238"/>
      <c r="BK33" s="235"/>
      <c r="BL33" s="235"/>
      <c r="BM33" s="136"/>
    </row>
    <row r="34" spans="1:65" s="283" customFormat="1" ht="15" x14ac:dyDescent="0.25">
      <c r="A34" s="187"/>
      <c r="B34" s="202"/>
      <c r="C34" s="217"/>
      <c r="D34" s="235"/>
      <c r="E34" s="136"/>
      <c r="F34" s="291"/>
      <c r="G34" s="292"/>
      <c r="H34" s="218"/>
      <c r="I34" s="238"/>
      <c r="J34" s="235"/>
      <c r="K34" s="136"/>
      <c r="L34" s="238"/>
      <c r="M34" s="235"/>
      <c r="N34" s="235"/>
      <c r="O34" s="235"/>
      <c r="P34" s="235"/>
      <c r="Q34" s="235"/>
      <c r="R34" s="235"/>
      <c r="S34" s="235"/>
      <c r="T34" s="26"/>
      <c r="U34" s="204"/>
      <c r="V34" s="207"/>
      <c r="W34" s="204"/>
      <c r="X34" s="207"/>
      <c r="Y34" s="204"/>
      <c r="Z34" s="207"/>
      <c r="AA34" s="204"/>
      <c r="AB34" s="207"/>
      <c r="AC34" s="204"/>
      <c r="AD34" s="207"/>
      <c r="AE34" s="204"/>
      <c r="AF34" s="207"/>
      <c r="AG34" s="204"/>
      <c r="AH34" s="204"/>
      <c r="AI34" s="204"/>
      <c r="AJ34" s="205"/>
      <c r="AK34" s="204"/>
      <c r="AL34" s="205"/>
      <c r="AM34" s="208"/>
      <c r="AN34" s="210"/>
      <c r="AO34" s="210"/>
      <c r="AP34" s="210"/>
      <c r="AQ34" s="210"/>
      <c r="AR34" s="210"/>
      <c r="AS34" s="209"/>
      <c r="AT34" s="209"/>
      <c r="AU34" s="210"/>
      <c r="AV34" s="210"/>
      <c r="AW34" s="210"/>
      <c r="AX34" s="209"/>
      <c r="AY34" s="209"/>
      <c r="AZ34" s="210"/>
      <c r="BA34" s="210"/>
      <c r="BB34" s="210"/>
      <c r="BC34" s="209"/>
      <c r="BD34" s="210"/>
      <c r="BE34" s="210"/>
      <c r="BF34" s="209"/>
      <c r="BG34" s="235"/>
      <c r="BH34" s="210"/>
      <c r="BI34" s="210"/>
      <c r="BJ34" s="238"/>
      <c r="BK34" s="235"/>
      <c r="BL34" s="235"/>
      <c r="BM34" s="136"/>
    </row>
    <row r="35" spans="1:65" s="283" customFormat="1" ht="15" x14ac:dyDescent="0.25">
      <c r="A35" s="187"/>
      <c r="B35" s="202"/>
      <c r="C35" s="217"/>
      <c r="D35" s="235"/>
      <c r="E35" s="136"/>
      <c r="F35" s="291"/>
      <c r="G35" s="292"/>
      <c r="H35" s="218"/>
      <c r="I35" s="238"/>
      <c r="J35" s="235"/>
      <c r="K35" s="136"/>
      <c r="L35" s="238"/>
      <c r="M35" s="235"/>
      <c r="N35" s="235"/>
      <c r="O35" s="235"/>
      <c r="P35" s="235"/>
      <c r="Q35" s="235"/>
      <c r="R35" s="235"/>
      <c r="S35" s="235"/>
      <c r="T35" s="26"/>
      <c r="U35" s="204"/>
      <c r="V35" s="207"/>
      <c r="W35" s="204"/>
      <c r="X35" s="207"/>
      <c r="Y35" s="204"/>
      <c r="Z35" s="207"/>
      <c r="AA35" s="204"/>
      <c r="AB35" s="207"/>
      <c r="AC35" s="204"/>
      <c r="AD35" s="207"/>
      <c r="AE35" s="204"/>
      <c r="AF35" s="207"/>
      <c r="AG35" s="204"/>
      <c r="AH35" s="204"/>
      <c r="AI35" s="204"/>
      <c r="AJ35" s="205"/>
      <c r="AK35" s="204"/>
      <c r="AL35" s="205"/>
      <c r="AM35" s="208"/>
      <c r="AN35" s="210"/>
      <c r="AO35" s="210"/>
      <c r="AP35" s="210"/>
      <c r="AQ35" s="210"/>
      <c r="AR35" s="210"/>
      <c r="AS35" s="209"/>
      <c r="AT35" s="209"/>
      <c r="AU35" s="210"/>
      <c r="AV35" s="210"/>
      <c r="AW35" s="210"/>
      <c r="AX35" s="209"/>
      <c r="AY35" s="209"/>
      <c r="AZ35" s="210"/>
      <c r="BA35" s="210"/>
      <c r="BB35" s="210"/>
      <c r="BC35" s="209"/>
      <c r="BD35" s="210"/>
      <c r="BE35" s="210"/>
      <c r="BF35" s="209"/>
      <c r="BG35" s="235"/>
      <c r="BH35" s="210"/>
      <c r="BI35" s="210"/>
      <c r="BJ35" s="238"/>
      <c r="BK35" s="235"/>
      <c r="BL35" s="235"/>
      <c r="BM35" s="136"/>
    </row>
    <row r="36" spans="1:65" s="283" customFormat="1" ht="15" x14ac:dyDescent="0.25">
      <c r="A36" s="187"/>
      <c r="B36" s="202"/>
      <c r="C36" s="217"/>
      <c r="D36" s="235"/>
      <c r="E36" s="136"/>
      <c r="F36" s="291"/>
      <c r="G36" s="292"/>
      <c r="H36" s="218"/>
      <c r="I36" s="238"/>
      <c r="J36" s="235"/>
      <c r="K36" s="136"/>
      <c r="L36" s="238"/>
      <c r="M36" s="235"/>
      <c r="N36" s="235"/>
      <c r="O36" s="235"/>
      <c r="P36" s="235"/>
      <c r="Q36" s="235"/>
      <c r="R36" s="235"/>
      <c r="S36" s="235"/>
      <c r="T36" s="26"/>
      <c r="U36" s="204"/>
      <c r="V36" s="207"/>
      <c r="W36" s="204"/>
      <c r="X36" s="207"/>
      <c r="Y36" s="204"/>
      <c r="Z36" s="207"/>
      <c r="AA36" s="204"/>
      <c r="AB36" s="207"/>
      <c r="AC36" s="204"/>
      <c r="AD36" s="207"/>
      <c r="AE36" s="204"/>
      <c r="AF36" s="207"/>
      <c r="AG36" s="204"/>
      <c r="AH36" s="204"/>
      <c r="AI36" s="204"/>
      <c r="AJ36" s="205"/>
      <c r="AK36" s="204"/>
      <c r="AL36" s="205"/>
      <c r="AM36" s="208"/>
      <c r="AN36" s="210"/>
      <c r="AO36" s="210"/>
      <c r="AP36" s="210"/>
      <c r="AQ36" s="210"/>
      <c r="AR36" s="210"/>
      <c r="AS36" s="209"/>
      <c r="AT36" s="209"/>
      <c r="AU36" s="210"/>
      <c r="AV36" s="210"/>
      <c r="AW36" s="210"/>
      <c r="AX36" s="209"/>
      <c r="AY36" s="209"/>
      <c r="AZ36" s="210"/>
      <c r="BA36" s="210"/>
      <c r="BB36" s="210"/>
      <c r="BC36" s="209"/>
      <c r="BD36" s="210"/>
      <c r="BE36" s="210"/>
      <c r="BF36" s="209"/>
      <c r="BG36" s="235"/>
      <c r="BH36" s="210"/>
      <c r="BI36" s="210"/>
      <c r="BJ36" s="238"/>
      <c r="BK36" s="235"/>
      <c r="BL36" s="235"/>
      <c r="BM36" s="136"/>
    </row>
    <row r="37" spans="1:65" s="283" customFormat="1" ht="15" x14ac:dyDescent="0.25">
      <c r="A37" s="187"/>
      <c r="B37" s="202"/>
      <c r="C37" s="217"/>
      <c r="D37" s="235"/>
      <c r="E37" s="136"/>
      <c r="F37" s="291"/>
      <c r="G37" s="292"/>
      <c r="H37" s="218"/>
      <c r="I37" s="238"/>
      <c r="J37" s="235"/>
      <c r="K37" s="136"/>
      <c r="L37" s="238"/>
      <c r="M37" s="235"/>
      <c r="N37" s="235"/>
      <c r="O37" s="235"/>
      <c r="P37" s="235"/>
      <c r="Q37" s="235"/>
      <c r="R37" s="235"/>
      <c r="S37" s="235"/>
      <c r="T37" s="26"/>
      <c r="U37" s="204"/>
      <c r="V37" s="207"/>
      <c r="W37" s="204"/>
      <c r="X37" s="207"/>
      <c r="Y37" s="204"/>
      <c r="Z37" s="207"/>
      <c r="AA37" s="204"/>
      <c r="AB37" s="207"/>
      <c r="AC37" s="204"/>
      <c r="AD37" s="207"/>
      <c r="AE37" s="204"/>
      <c r="AF37" s="207"/>
      <c r="AG37" s="204"/>
      <c r="AH37" s="204"/>
      <c r="AI37" s="204"/>
      <c r="AJ37" s="205"/>
      <c r="AK37" s="204"/>
      <c r="AL37" s="205"/>
      <c r="AM37" s="208"/>
      <c r="AN37" s="210"/>
      <c r="AO37" s="210"/>
      <c r="AP37" s="210"/>
      <c r="AQ37" s="210"/>
      <c r="AR37" s="210"/>
      <c r="AS37" s="209"/>
      <c r="AT37" s="209"/>
      <c r="AU37" s="210"/>
      <c r="AV37" s="210"/>
      <c r="AW37" s="210"/>
      <c r="AX37" s="209"/>
      <c r="AY37" s="209"/>
      <c r="AZ37" s="210"/>
      <c r="BA37" s="210"/>
      <c r="BB37" s="210"/>
      <c r="BC37" s="209"/>
      <c r="BD37" s="210"/>
      <c r="BE37" s="210"/>
      <c r="BF37" s="209"/>
      <c r="BG37" s="235"/>
      <c r="BH37" s="210"/>
      <c r="BI37" s="210"/>
      <c r="BJ37" s="238"/>
      <c r="BK37" s="235"/>
      <c r="BL37" s="235"/>
      <c r="BM37" s="136"/>
    </row>
    <row r="38" spans="1:65" s="283" customFormat="1" ht="15" x14ac:dyDescent="0.25">
      <c r="A38" s="187"/>
      <c r="B38" s="202"/>
      <c r="C38" s="217"/>
      <c r="D38" s="235"/>
      <c r="E38" s="136"/>
      <c r="F38" s="291"/>
      <c r="G38" s="292"/>
      <c r="H38" s="218"/>
      <c r="I38" s="238"/>
      <c r="J38" s="235"/>
      <c r="K38" s="136"/>
      <c r="L38" s="238"/>
      <c r="M38" s="235"/>
      <c r="N38" s="235"/>
      <c r="O38" s="235"/>
      <c r="P38" s="235"/>
      <c r="Q38" s="235"/>
      <c r="R38" s="235"/>
      <c r="S38" s="235"/>
      <c r="T38" s="26"/>
      <c r="U38" s="204"/>
      <c r="V38" s="207"/>
      <c r="W38" s="204"/>
      <c r="X38" s="207"/>
      <c r="Y38" s="204"/>
      <c r="Z38" s="207"/>
      <c r="AA38" s="204"/>
      <c r="AB38" s="207"/>
      <c r="AC38" s="204"/>
      <c r="AD38" s="207"/>
      <c r="AE38" s="204"/>
      <c r="AF38" s="207"/>
      <c r="AG38" s="204"/>
      <c r="AH38" s="204"/>
      <c r="AI38" s="204"/>
      <c r="AJ38" s="205"/>
      <c r="AK38" s="204"/>
      <c r="AL38" s="205"/>
      <c r="AM38" s="208"/>
      <c r="AN38" s="210"/>
      <c r="AO38" s="210"/>
      <c r="AP38" s="210"/>
      <c r="AQ38" s="210"/>
      <c r="AR38" s="210"/>
      <c r="AS38" s="209"/>
      <c r="AT38" s="209"/>
      <c r="AU38" s="210"/>
      <c r="AV38" s="210"/>
      <c r="AW38" s="210"/>
      <c r="AX38" s="209"/>
      <c r="AY38" s="209"/>
      <c r="AZ38" s="210"/>
      <c r="BA38" s="210"/>
      <c r="BB38" s="210"/>
      <c r="BC38" s="209"/>
      <c r="BD38" s="210"/>
      <c r="BE38" s="210"/>
      <c r="BF38" s="209"/>
      <c r="BG38" s="235"/>
      <c r="BH38" s="210"/>
      <c r="BI38" s="210"/>
      <c r="BJ38" s="238"/>
      <c r="BK38" s="235"/>
      <c r="BL38" s="235"/>
      <c r="BM38" s="136"/>
    </row>
    <row r="39" spans="1:65" s="283" customFormat="1" ht="15" x14ac:dyDescent="0.25">
      <c r="A39" s="187"/>
      <c r="B39" s="202"/>
      <c r="C39" s="217"/>
      <c r="D39" s="235"/>
      <c r="E39" s="136"/>
      <c r="F39" s="291"/>
      <c r="G39" s="292"/>
      <c r="H39" s="218"/>
      <c r="I39" s="238"/>
      <c r="J39" s="235"/>
      <c r="K39" s="136"/>
      <c r="L39" s="238"/>
      <c r="M39" s="235"/>
      <c r="N39" s="235"/>
      <c r="O39" s="235"/>
      <c r="P39" s="235"/>
      <c r="Q39" s="235"/>
      <c r="R39" s="235"/>
      <c r="S39" s="235"/>
      <c r="T39" s="26"/>
      <c r="U39" s="204"/>
      <c r="V39" s="207"/>
      <c r="W39" s="204"/>
      <c r="X39" s="207"/>
      <c r="Y39" s="204"/>
      <c r="Z39" s="207"/>
      <c r="AA39" s="204"/>
      <c r="AB39" s="207"/>
      <c r="AC39" s="204"/>
      <c r="AD39" s="207"/>
      <c r="AE39" s="204"/>
      <c r="AF39" s="207"/>
      <c r="AG39" s="204"/>
      <c r="AH39" s="204"/>
      <c r="AI39" s="204"/>
      <c r="AJ39" s="205"/>
      <c r="AK39" s="204"/>
      <c r="AL39" s="205"/>
      <c r="AM39" s="208"/>
      <c r="AN39" s="210"/>
      <c r="AO39" s="210"/>
      <c r="AP39" s="210"/>
      <c r="AQ39" s="210"/>
      <c r="AR39" s="210"/>
      <c r="AS39" s="209"/>
      <c r="AT39" s="209"/>
      <c r="AU39" s="210"/>
      <c r="AV39" s="210"/>
      <c r="AW39" s="210"/>
      <c r="AX39" s="209"/>
      <c r="AY39" s="209"/>
      <c r="AZ39" s="210"/>
      <c r="BA39" s="210"/>
      <c r="BB39" s="210"/>
      <c r="BC39" s="209"/>
      <c r="BD39" s="210"/>
      <c r="BE39" s="210"/>
      <c r="BF39" s="209"/>
      <c r="BG39" s="235"/>
      <c r="BH39" s="210"/>
      <c r="BI39" s="210"/>
      <c r="BJ39" s="238"/>
      <c r="BK39" s="235"/>
      <c r="BL39" s="235"/>
      <c r="BM39" s="136"/>
    </row>
    <row r="40" spans="1:65" s="283" customFormat="1" ht="15" x14ac:dyDescent="0.25">
      <c r="A40" s="187"/>
      <c r="B40" s="202"/>
      <c r="C40" s="217"/>
      <c r="D40" s="235"/>
      <c r="E40" s="136"/>
      <c r="F40" s="291"/>
      <c r="G40" s="292"/>
      <c r="H40" s="218"/>
      <c r="I40" s="238"/>
      <c r="J40" s="235"/>
      <c r="K40" s="136"/>
      <c r="L40" s="238"/>
      <c r="M40" s="235"/>
      <c r="N40" s="235"/>
      <c r="O40" s="235"/>
      <c r="P40" s="235"/>
      <c r="Q40" s="235"/>
      <c r="R40" s="235"/>
      <c r="S40" s="235"/>
      <c r="T40" s="26"/>
      <c r="U40" s="204"/>
      <c r="V40" s="207"/>
      <c r="W40" s="204"/>
      <c r="X40" s="207"/>
      <c r="Y40" s="204"/>
      <c r="Z40" s="207"/>
      <c r="AA40" s="204"/>
      <c r="AB40" s="207"/>
      <c r="AC40" s="204"/>
      <c r="AD40" s="207"/>
      <c r="AE40" s="204"/>
      <c r="AF40" s="207"/>
      <c r="AG40" s="204"/>
      <c r="AH40" s="204"/>
      <c r="AI40" s="204"/>
      <c r="AJ40" s="205"/>
      <c r="AK40" s="204"/>
      <c r="AL40" s="205"/>
      <c r="AM40" s="208"/>
      <c r="AN40" s="210"/>
      <c r="AO40" s="210"/>
      <c r="AP40" s="210"/>
      <c r="AQ40" s="210"/>
      <c r="AR40" s="210"/>
      <c r="AS40" s="209"/>
      <c r="AT40" s="209"/>
      <c r="AU40" s="210"/>
      <c r="AV40" s="210"/>
      <c r="AW40" s="210"/>
      <c r="AX40" s="209"/>
      <c r="AY40" s="209"/>
      <c r="AZ40" s="210"/>
      <c r="BA40" s="210"/>
      <c r="BB40" s="210"/>
      <c r="BC40" s="209"/>
      <c r="BD40" s="210"/>
      <c r="BE40" s="210"/>
      <c r="BF40" s="209"/>
      <c r="BG40" s="235"/>
      <c r="BH40" s="210"/>
      <c r="BI40" s="210"/>
      <c r="BJ40" s="238"/>
      <c r="BK40" s="235"/>
      <c r="BL40" s="235"/>
      <c r="BM40" s="136"/>
    </row>
    <row r="41" spans="1:65" s="283" customFormat="1" ht="15" x14ac:dyDescent="0.25">
      <c r="A41" s="187"/>
      <c r="B41" s="202"/>
      <c r="C41" s="217"/>
      <c r="D41" s="235"/>
      <c r="E41" s="136"/>
      <c r="F41" s="291"/>
      <c r="G41" s="292"/>
      <c r="H41" s="218"/>
      <c r="I41" s="238"/>
      <c r="J41" s="235"/>
      <c r="K41" s="136"/>
      <c r="L41" s="238"/>
      <c r="M41" s="235"/>
      <c r="N41" s="235"/>
      <c r="O41" s="235"/>
      <c r="P41" s="235"/>
      <c r="Q41" s="235"/>
      <c r="R41" s="235"/>
      <c r="S41" s="235"/>
      <c r="T41" s="26"/>
      <c r="U41" s="204"/>
      <c r="V41" s="207"/>
      <c r="W41" s="204"/>
      <c r="X41" s="207"/>
      <c r="Y41" s="204"/>
      <c r="Z41" s="207"/>
      <c r="AA41" s="204"/>
      <c r="AB41" s="207"/>
      <c r="AC41" s="204"/>
      <c r="AD41" s="207"/>
      <c r="AE41" s="204"/>
      <c r="AF41" s="207"/>
      <c r="AG41" s="204"/>
      <c r="AH41" s="204"/>
      <c r="AI41" s="204"/>
      <c r="AJ41" s="205"/>
      <c r="AK41" s="204"/>
      <c r="AL41" s="205"/>
      <c r="AM41" s="208"/>
      <c r="AN41" s="210"/>
      <c r="AO41" s="210"/>
      <c r="AP41" s="210"/>
      <c r="AQ41" s="210"/>
      <c r="AR41" s="210"/>
      <c r="AS41" s="209"/>
      <c r="AT41" s="209"/>
      <c r="AU41" s="210"/>
      <c r="AV41" s="210"/>
      <c r="AW41" s="210"/>
      <c r="AX41" s="209"/>
      <c r="AY41" s="209"/>
      <c r="AZ41" s="210"/>
      <c r="BA41" s="210"/>
      <c r="BB41" s="210"/>
      <c r="BC41" s="209"/>
      <c r="BD41" s="210"/>
      <c r="BE41" s="210"/>
      <c r="BF41" s="209"/>
      <c r="BG41" s="235"/>
      <c r="BH41" s="210"/>
      <c r="BI41" s="210"/>
      <c r="BJ41" s="238"/>
      <c r="BK41" s="235"/>
      <c r="BL41" s="235"/>
      <c r="BM41" s="136"/>
    </row>
    <row r="42" spans="1:65" s="283" customFormat="1" ht="15" x14ac:dyDescent="0.25">
      <c r="A42" s="187"/>
      <c r="B42" s="202"/>
      <c r="C42" s="217"/>
      <c r="D42" s="235"/>
      <c r="E42" s="136"/>
      <c r="F42" s="291"/>
      <c r="G42" s="292"/>
      <c r="H42" s="218"/>
      <c r="I42" s="238"/>
      <c r="J42" s="235"/>
      <c r="K42" s="136"/>
      <c r="L42" s="238"/>
      <c r="M42" s="235"/>
      <c r="N42" s="235"/>
      <c r="O42" s="235"/>
      <c r="P42" s="235"/>
      <c r="Q42" s="235"/>
      <c r="R42" s="235"/>
      <c r="S42" s="235"/>
      <c r="T42" s="26"/>
      <c r="U42" s="204"/>
      <c r="V42" s="207"/>
      <c r="W42" s="204"/>
      <c r="X42" s="207"/>
      <c r="Y42" s="204"/>
      <c r="Z42" s="207"/>
      <c r="AA42" s="204"/>
      <c r="AB42" s="207"/>
      <c r="AC42" s="204"/>
      <c r="AD42" s="207"/>
      <c r="AE42" s="204"/>
      <c r="AF42" s="207"/>
      <c r="AG42" s="204"/>
      <c r="AH42" s="204"/>
      <c r="AI42" s="204"/>
      <c r="AJ42" s="205"/>
      <c r="AK42" s="204"/>
      <c r="AL42" s="205"/>
      <c r="AM42" s="208"/>
      <c r="AN42" s="210"/>
      <c r="AO42" s="210"/>
      <c r="AP42" s="210"/>
      <c r="AQ42" s="210"/>
      <c r="AR42" s="210"/>
      <c r="AS42" s="209"/>
      <c r="AT42" s="209"/>
      <c r="AU42" s="210"/>
      <c r="AV42" s="210"/>
      <c r="AW42" s="210"/>
      <c r="AX42" s="209"/>
      <c r="AY42" s="209"/>
      <c r="AZ42" s="210"/>
      <c r="BA42" s="210"/>
      <c r="BB42" s="210"/>
      <c r="BC42" s="209"/>
      <c r="BD42" s="210"/>
      <c r="BE42" s="210"/>
      <c r="BF42" s="209"/>
      <c r="BG42" s="235"/>
      <c r="BH42" s="210"/>
      <c r="BI42" s="210"/>
      <c r="BJ42" s="238"/>
      <c r="BK42" s="235"/>
      <c r="BL42" s="235"/>
      <c r="BM42" s="136"/>
    </row>
    <row r="43" spans="1:65" s="283" customFormat="1" ht="15" x14ac:dyDescent="0.25">
      <c r="A43" s="187"/>
      <c r="B43" s="202"/>
      <c r="C43" s="217"/>
      <c r="D43" s="235"/>
      <c r="E43" s="136"/>
      <c r="F43" s="291"/>
      <c r="G43" s="292"/>
      <c r="H43" s="218"/>
      <c r="I43" s="238"/>
      <c r="J43" s="235"/>
      <c r="K43" s="136"/>
      <c r="L43" s="238"/>
      <c r="M43" s="235"/>
      <c r="N43" s="235"/>
      <c r="O43" s="235"/>
      <c r="P43" s="235"/>
      <c r="Q43" s="235"/>
      <c r="R43" s="235"/>
      <c r="S43" s="235"/>
      <c r="T43" s="26"/>
      <c r="U43" s="204"/>
      <c r="V43" s="207"/>
      <c r="W43" s="204"/>
      <c r="X43" s="207"/>
      <c r="Y43" s="204"/>
      <c r="Z43" s="207"/>
      <c r="AA43" s="204"/>
      <c r="AB43" s="207"/>
      <c r="AC43" s="204"/>
      <c r="AD43" s="207"/>
      <c r="AE43" s="204"/>
      <c r="AF43" s="207"/>
      <c r="AG43" s="204"/>
      <c r="AH43" s="204"/>
      <c r="AI43" s="204"/>
      <c r="AJ43" s="205"/>
      <c r="AK43" s="204"/>
      <c r="AL43" s="205"/>
      <c r="AM43" s="208"/>
      <c r="AN43" s="210"/>
      <c r="AO43" s="210"/>
      <c r="AP43" s="210"/>
      <c r="AQ43" s="210"/>
      <c r="AR43" s="210"/>
      <c r="AS43" s="209"/>
      <c r="AT43" s="209"/>
      <c r="AU43" s="210"/>
      <c r="AV43" s="210"/>
      <c r="AW43" s="210"/>
      <c r="AX43" s="209"/>
      <c r="AY43" s="209"/>
      <c r="AZ43" s="210"/>
      <c r="BA43" s="210"/>
      <c r="BB43" s="210"/>
      <c r="BC43" s="209"/>
      <c r="BD43" s="210"/>
      <c r="BE43" s="210"/>
      <c r="BF43" s="209"/>
      <c r="BG43" s="235"/>
      <c r="BH43" s="210"/>
      <c r="BI43" s="210"/>
      <c r="BJ43" s="238"/>
      <c r="BK43" s="235"/>
      <c r="BL43" s="235"/>
      <c r="BM43" s="136"/>
    </row>
    <row r="44" spans="1:65" s="283" customFormat="1" ht="15" x14ac:dyDescent="0.25">
      <c r="A44" s="187"/>
      <c r="B44" s="202"/>
      <c r="C44" s="217"/>
      <c r="D44" s="235"/>
      <c r="E44" s="136"/>
      <c r="F44" s="291"/>
      <c r="G44" s="292"/>
      <c r="H44" s="218"/>
      <c r="I44" s="238"/>
      <c r="J44" s="235"/>
      <c r="K44" s="136"/>
      <c r="L44" s="238"/>
      <c r="M44" s="235"/>
      <c r="N44" s="235"/>
      <c r="O44" s="235"/>
      <c r="P44" s="235"/>
      <c r="Q44" s="235"/>
      <c r="R44" s="235"/>
      <c r="S44" s="235"/>
      <c r="T44" s="26"/>
      <c r="U44" s="204"/>
      <c r="V44" s="207"/>
      <c r="W44" s="204"/>
      <c r="X44" s="207"/>
      <c r="Y44" s="204"/>
      <c r="Z44" s="207"/>
      <c r="AA44" s="204"/>
      <c r="AB44" s="207"/>
      <c r="AC44" s="204"/>
      <c r="AD44" s="207"/>
      <c r="AE44" s="204"/>
      <c r="AF44" s="207"/>
      <c r="AG44" s="204"/>
      <c r="AH44" s="204"/>
      <c r="AI44" s="204"/>
      <c r="AJ44" s="205"/>
      <c r="AK44" s="204"/>
      <c r="AL44" s="205"/>
      <c r="AM44" s="208"/>
      <c r="AN44" s="210"/>
      <c r="AO44" s="210"/>
      <c r="AP44" s="210"/>
      <c r="AQ44" s="210"/>
      <c r="AR44" s="210"/>
      <c r="AS44" s="209"/>
      <c r="AT44" s="209"/>
      <c r="AU44" s="210"/>
      <c r="AV44" s="210"/>
      <c r="AW44" s="210"/>
      <c r="AX44" s="209"/>
      <c r="AY44" s="209"/>
      <c r="AZ44" s="210"/>
      <c r="BA44" s="210"/>
      <c r="BB44" s="210"/>
      <c r="BC44" s="209"/>
      <c r="BD44" s="210"/>
      <c r="BE44" s="210"/>
      <c r="BF44" s="209"/>
      <c r="BG44" s="235"/>
      <c r="BH44" s="210"/>
      <c r="BI44" s="210"/>
      <c r="BJ44" s="238"/>
      <c r="BK44" s="235"/>
      <c r="BL44" s="235"/>
      <c r="BM44" s="136"/>
    </row>
    <row r="45" spans="1:65" s="283" customFormat="1" ht="15" x14ac:dyDescent="0.25">
      <c r="A45" s="187"/>
      <c r="B45" s="202"/>
      <c r="C45" s="217"/>
      <c r="D45" s="235"/>
      <c r="E45" s="136"/>
      <c r="F45" s="291"/>
      <c r="G45" s="292"/>
      <c r="H45" s="218"/>
      <c r="I45" s="238"/>
      <c r="J45" s="235"/>
      <c r="K45" s="136"/>
      <c r="L45" s="238"/>
      <c r="M45" s="235"/>
      <c r="N45" s="235"/>
      <c r="O45" s="235"/>
      <c r="P45" s="235"/>
      <c r="Q45" s="235"/>
      <c r="R45" s="235"/>
      <c r="S45" s="235"/>
      <c r="T45" s="26"/>
      <c r="U45" s="204"/>
      <c r="V45" s="207"/>
      <c r="W45" s="204"/>
      <c r="X45" s="207"/>
      <c r="Y45" s="204"/>
      <c r="Z45" s="207"/>
      <c r="AA45" s="204"/>
      <c r="AB45" s="207"/>
      <c r="AC45" s="204"/>
      <c r="AD45" s="207"/>
      <c r="AE45" s="204"/>
      <c r="AF45" s="207"/>
      <c r="AG45" s="204"/>
      <c r="AH45" s="204"/>
      <c r="AI45" s="204"/>
      <c r="AJ45" s="205"/>
      <c r="AK45" s="204"/>
      <c r="AL45" s="205"/>
      <c r="AM45" s="208"/>
      <c r="AN45" s="210"/>
      <c r="AO45" s="210"/>
      <c r="AP45" s="210"/>
      <c r="AQ45" s="210"/>
      <c r="AR45" s="210"/>
      <c r="AS45" s="209"/>
      <c r="AT45" s="209"/>
      <c r="AU45" s="210"/>
      <c r="AV45" s="210"/>
      <c r="AW45" s="210"/>
      <c r="AX45" s="209"/>
      <c r="AY45" s="209"/>
      <c r="AZ45" s="210"/>
      <c r="BA45" s="210"/>
      <c r="BB45" s="210"/>
      <c r="BC45" s="209"/>
      <c r="BD45" s="210"/>
      <c r="BE45" s="210"/>
      <c r="BF45" s="209"/>
      <c r="BG45" s="235"/>
      <c r="BH45" s="210"/>
      <c r="BI45" s="210"/>
      <c r="BJ45" s="238"/>
      <c r="BK45" s="235"/>
      <c r="BL45" s="235"/>
      <c r="BM45" s="136"/>
    </row>
    <row r="46" spans="1:65" s="283" customFormat="1" ht="15" x14ac:dyDescent="0.25">
      <c r="A46" s="187"/>
      <c r="B46" s="202"/>
      <c r="C46" s="217"/>
      <c r="D46" s="235"/>
      <c r="E46" s="136"/>
      <c r="F46" s="291"/>
      <c r="G46" s="292"/>
      <c r="H46" s="218"/>
      <c r="I46" s="238"/>
      <c r="J46" s="235"/>
      <c r="K46" s="136"/>
      <c r="L46" s="238"/>
      <c r="M46" s="235"/>
      <c r="N46" s="235"/>
      <c r="O46" s="235"/>
      <c r="P46" s="235"/>
      <c r="Q46" s="235"/>
      <c r="R46" s="235"/>
      <c r="S46" s="235"/>
      <c r="T46" s="26"/>
      <c r="U46" s="204"/>
      <c r="V46" s="207"/>
      <c r="W46" s="204"/>
      <c r="X46" s="207"/>
      <c r="Y46" s="204"/>
      <c r="Z46" s="207"/>
      <c r="AA46" s="204"/>
      <c r="AB46" s="207"/>
      <c r="AC46" s="204"/>
      <c r="AD46" s="207"/>
      <c r="AE46" s="204"/>
      <c r="AF46" s="207"/>
      <c r="AG46" s="204"/>
      <c r="AH46" s="204"/>
      <c r="AI46" s="204"/>
      <c r="AJ46" s="205"/>
      <c r="AK46" s="204"/>
      <c r="AL46" s="205"/>
      <c r="AM46" s="208"/>
      <c r="AN46" s="210"/>
      <c r="AO46" s="210"/>
      <c r="AP46" s="210"/>
      <c r="AQ46" s="210"/>
      <c r="AR46" s="210"/>
      <c r="AS46" s="209"/>
      <c r="AT46" s="209"/>
      <c r="AU46" s="210"/>
      <c r="AV46" s="210"/>
      <c r="AW46" s="210"/>
      <c r="AX46" s="209"/>
      <c r="AY46" s="209"/>
      <c r="AZ46" s="210"/>
      <c r="BA46" s="210"/>
      <c r="BB46" s="210"/>
      <c r="BC46" s="209"/>
      <c r="BD46" s="210"/>
      <c r="BE46" s="210"/>
      <c r="BF46" s="209"/>
      <c r="BG46" s="235"/>
      <c r="BH46" s="210"/>
      <c r="BI46" s="210"/>
      <c r="BJ46" s="238"/>
      <c r="BK46" s="235"/>
      <c r="BL46" s="235"/>
      <c r="BM46" s="136"/>
    </row>
    <row r="47" spans="1:65" s="283" customFormat="1" ht="15" x14ac:dyDescent="0.25">
      <c r="A47" s="187"/>
      <c r="B47" s="202"/>
      <c r="C47" s="217"/>
      <c r="D47" s="235"/>
      <c r="E47" s="136"/>
      <c r="F47" s="291"/>
      <c r="G47" s="292"/>
      <c r="H47" s="218"/>
      <c r="I47" s="238"/>
      <c r="J47" s="235"/>
      <c r="K47" s="136"/>
      <c r="L47" s="238"/>
      <c r="M47" s="235"/>
      <c r="N47" s="235"/>
      <c r="O47" s="235"/>
      <c r="P47" s="235"/>
      <c r="Q47" s="235"/>
      <c r="R47" s="235"/>
      <c r="S47" s="235"/>
      <c r="T47" s="26"/>
      <c r="U47" s="204"/>
      <c r="V47" s="207"/>
      <c r="W47" s="204"/>
      <c r="X47" s="207"/>
      <c r="Y47" s="204"/>
      <c r="Z47" s="207"/>
      <c r="AA47" s="204"/>
      <c r="AB47" s="207"/>
      <c r="AC47" s="204"/>
      <c r="AD47" s="207"/>
      <c r="AE47" s="204"/>
      <c r="AF47" s="207"/>
      <c r="AG47" s="204"/>
      <c r="AH47" s="204"/>
      <c r="AI47" s="204"/>
      <c r="AJ47" s="205"/>
      <c r="AK47" s="204"/>
      <c r="AL47" s="205"/>
      <c r="AM47" s="208"/>
      <c r="AN47" s="210"/>
      <c r="AO47" s="210"/>
      <c r="AP47" s="210"/>
      <c r="AQ47" s="210"/>
      <c r="AR47" s="210"/>
      <c r="AS47" s="209"/>
      <c r="AT47" s="209"/>
      <c r="AU47" s="210"/>
      <c r="AV47" s="210"/>
      <c r="AW47" s="210"/>
      <c r="AX47" s="209"/>
      <c r="AY47" s="209"/>
      <c r="AZ47" s="210"/>
      <c r="BA47" s="210"/>
      <c r="BB47" s="210"/>
      <c r="BC47" s="209"/>
      <c r="BD47" s="210"/>
      <c r="BE47" s="210"/>
      <c r="BF47" s="209"/>
      <c r="BG47" s="235"/>
      <c r="BH47" s="210"/>
      <c r="BI47" s="210"/>
      <c r="BJ47" s="238"/>
      <c r="BK47" s="235"/>
      <c r="BL47" s="235"/>
      <c r="BM47" s="136"/>
    </row>
    <row r="48" spans="1:65" s="283" customFormat="1" ht="15" x14ac:dyDescent="0.25">
      <c r="A48" s="187"/>
      <c r="B48" s="202"/>
      <c r="C48" s="217"/>
      <c r="D48" s="235"/>
      <c r="E48" s="136"/>
      <c r="F48" s="291"/>
      <c r="G48" s="292"/>
      <c r="H48" s="218"/>
      <c r="I48" s="238"/>
      <c r="J48" s="235"/>
      <c r="K48" s="136"/>
      <c r="L48" s="238"/>
      <c r="M48" s="235"/>
      <c r="N48" s="235"/>
      <c r="O48" s="235"/>
      <c r="P48" s="235"/>
      <c r="Q48" s="235"/>
      <c r="R48" s="235"/>
      <c r="S48" s="235"/>
      <c r="T48" s="26"/>
      <c r="U48" s="204"/>
      <c r="V48" s="207"/>
      <c r="W48" s="204"/>
      <c r="X48" s="207"/>
      <c r="Y48" s="204"/>
      <c r="Z48" s="207"/>
      <c r="AA48" s="204"/>
      <c r="AB48" s="207"/>
      <c r="AC48" s="204"/>
      <c r="AD48" s="207"/>
      <c r="AE48" s="204"/>
      <c r="AF48" s="207"/>
      <c r="AG48" s="204"/>
      <c r="AH48" s="204"/>
      <c r="AI48" s="204"/>
      <c r="AJ48" s="205"/>
      <c r="AK48" s="204"/>
      <c r="AL48" s="205"/>
      <c r="AM48" s="208"/>
      <c r="AN48" s="210"/>
      <c r="AO48" s="210"/>
      <c r="AP48" s="210"/>
      <c r="AQ48" s="210"/>
      <c r="AR48" s="210"/>
      <c r="AS48" s="209"/>
      <c r="AT48" s="209"/>
      <c r="AU48" s="210"/>
      <c r="AV48" s="210"/>
      <c r="AW48" s="210"/>
      <c r="AX48" s="209"/>
      <c r="AY48" s="209"/>
      <c r="AZ48" s="210"/>
      <c r="BA48" s="210"/>
      <c r="BB48" s="210"/>
      <c r="BC48" s="209"/>
      <c r="BD48" s="210"/>
      <c r="BE48" s="210"/>
      <c r="BF48" s="209"/>
      <c r="BG48" s="235"/>
      <c r="BH48" s="210"/>
      <c r="BI48" s="210"/>
      <c r="BJ48" s="238"/>
      <c r="BK48" s="235"/>
      <c r="BL48" s="235"/>
      <c r="BM48" s="136"/>
    </row>
    <row r="49" spans="1:65" s="283" customFormat="1" ht="15" x14ac:dyDescent="0.25">
      <c r="A49" s="187"/>
      <c r="B49" s="202"/>
      <c r="C49" s="217"/>
      <c r="D49" s="235"/>
      <c r="E49" s="136"/>
      <c r="F49" s="291"/>
      <c r="G49" s="292"/>
      <c r="H49" s="218"/>
      <c r="I49" s="238"/>
      <c r="J49" s="235"/>
      <c r="K49" s="136"/>
      <c r="L49" s="238"/>
      <c r="M49" s="235"/>
      <c r="N49" s="235"/>
      <c r="O49" s="235"/>
      <c r="P49" s="235"/>
      <c r="Q49" s="235"/>
      <c r="R49" s="235"/>
      <c r="S49" s="235"/>
      <c r="T49" s="26"/>
      <c r="U49" s="204"/>
      <c r="V49" s="207"/>
      <c r="W49" s="204"/>
      <c r="X49" s="207"/>
      <c r="Y49" s="204"/>
      <c r="Z49" s="207"/>
      <c r="AA49" s="204"/>
      <c r="AB49" s="207"/>
      <c r="AC49" s="204"/>
      <c r="AD49" s="207"/>
      <c r="AE49" s="204"/>
      <c r="AF49" s="207"/>
      <c r="AG49" s="204"/>
      <c r="AH49" s="204"/>
      <c r="AI49" s="204"/>
      <c r="AJ49" s="205"/>
      <c r="AK49" s="204"/>
      <c r="AL49" s="205"/>
      <c r="AM49" s="208"/>
      <c r="AN49" s="210"/>
      <c r="AO49" s="210"/>
      <c r="AP49" s="210"/>
      <c r="AQ49" s="210"/>
      <c r="AR49" s="210"/>
      <c r="AS49" s="209"/>
      <c r="AT49" s="209"/>
      <c r="AU49" s="210"/>
      <c r="AV49" s="210"/>
      <c r="AW49" s="210"/>
      <c r="AX49" s="209"/>
      <c r="AY49" s="209"/>
      <c r="AZ49" s="210"/>
      <c r="BA49" s="210"/>
      <c r="BB49" s="210"/>
      <c r="BC49" s="209"/>
      <c r="BD49" s="210"/>
      <c r="BE49" s="210"/>
      <c r="BF49" s="209"/>
      <c r="BG49" s="235"/>
      <c r="BH49" s="210"/>
      <c r="BI49" s="210"/>
      <c r="BJ49" s="238"/>
      <c r="BK49" s="235"/>
      <c r="BL49" s="235"/>
      <c r="BM49" s="136"/>
    </row>
    <row r="50" spans="1:65" s="283" customFormat="1" ht="15" x14ac:dyDescent="0.25">
      <c r="A50" s="187"/>
      <c r="B50" s="202"/>
      <c r="C50" s="217"/>
      <c r="D50" s="235"/>
      <c r="E50" s="136"/>
      <c r="F50" s="291"/>
      <c r="G50" s="292"/>
      <c r="H50" s="218"/>
      <c r="I50" s="238"/>
      <c r="J50" s="235"/>
      <c r="K50" s="136"/>
      <c r="L50" s="238"/>
      <c r="M50" s="235"/>
      <c r="N50" s="235"/>
      <c r="O50" s="235"/>
      <c r="P50" s="235"/>
      <c r="Q50" s="235"/>
      <c r="R50" s="235"/>
      <c r="S50" s="235"/>
      <c r="T50" s="26"/>
      <c r="U50" s="204"/>
      <c r="V50" s="207"/>
      <c r="W50" s="204"/>
      <c r="X50" s="207"/>
      <c r="Y50" s="204"/>
      <c r="Z50" s="207"/>
      <c r="AA50" s="204"/>
      <c r="AB50" s="207"/>
      <c r="AC50" s="204"/>
      <c r="AD50" s="207"/>
      <c r="AE50" s="204"/>
      <c r="AF50" s="207"/>
      <c r="AG50" s="204"/>
      <c r="AH50" s="204"/>
      <c r="AI50" s="204"/>
      <c r="AJ50" s="205"/>
      <c r="AK50" s="204"/>
      <c r="AL50" s="205"/>
      <c r="AM50" s="208"/>
      <c r="AN50" s="210"/>
      <c r="AO50" s="210"/>
      <c r="AP50" s="210"/>
      <c r="AQ50" s="210"/>
      <c r="AR50" s="210"/>
      <c r="AS50" s="209"/>
      <c r="AT50" s="209"/>
      <c r="AU50" s="210"/>
      <c r="AV50" s="210"/>
      <c r="AW50" s="210"/>
      <c r="AX50" s="209"/>
      <c r="AY50" s="209"/>
      <c r="AZ50" s="210"/>
      <c r="BA50" s="210"/>
      <c r="BB50" s="210"/>
      <c r="BC50" s="209"/>
      <c r="BD50" s="210"/>
      <c r="BE50" s="210"/>
      <c r="BF50" s="209"/>
      <c r="BG50" s="235"/>
      <c r="BH50" s="210"/>
      <c r="BI50" s="210"/>
      <c r="BJ50" s="238"/>
      <c r="BK50" s="235"/>
      <c r="BL50" s="235"/>
      <c r="BM50" s="136"/>
    </row>
    <row r="51" spans="1:65" s="283" customFormat="1" ht="15" x14ac:dyDescent="0.25">
      <c r="A51" s="187"/>
      <c r="B51" s="202"/>
      <c r="C51" s="217"/>
      <c r="D51" s="235"/>
      <c r="E51" s="136"/>
      <c r="F51" s="291"/>
      <c r="G51" s="292"/>
      <c r="H51" s="218"/>
      <c r="I51" s="238"/>
      <c r="J51" s="235"/>
      <c r="K51" s="136"/>
      <c r="L51" s="238"/>
      <c r="M51" s="235"/>
      <c r="N51" s="235"/>
      <c r="O51" s="235"/>
      <c r="P51" s="235"/>
      <c r="Q51" s="235"/>
      <c r="R51" s="235"/>
      <c r="S51" s="235"/>
      <c r="T51" s="26"/>
      <c r="U51" s="204"/>
      <c r="V51" s="207"/>
      <c r="W51" s="204"/>
      <c r="X51" s="207"/>
      <c r="Y51" s="204"/>
      <c r="Z51" s="207"/>
      <c r="AA51" s="204"/>
      <c r="AB51" s="207"/>
      <c r="AC51" s="204"/>
      <c r="AD51" s="207"/>
      <c r="AE51" s="204"/>
      <c r="AF51" s="207"/>
      <c r="AG51" s="204"/>
      <c r="AH51" s="204"/>
      <c r="AI51" s="204"/>
      <c r="AJ51" s="205"/>
      <c r="AK51" s="204"/>
      <c r="AL51" s="205"/>
      <c r="AM51" s="208"/>
      <c r="AN51" s="210"/>
      <c r="AO51" s="210"/>
      <c r="AP51" s="210"/>
      <c r="AQ51" s="210"/>
      <c r="AR51" s="210"/>
      <c r="AS51" s="209"/>
      <c r="AT51" s="209"/>
      <c r="AU51" s="210"/>
      <c r="AV51" s="210"/>
      <c r="AW51" s="210"/>
      <c r="AX51" s="209"/>
      <c r="AY51" s="209"/>
      <c r="AZ51" s="210"/>
      <c r="BA51" s="210"/>
      <c r="BB51" s="210"/>
      <c r="BC51" s="209"/>
      <c r="BD51" s="210"/>
      <c r="BE51" s="210"/>
      <c r="BF51" s="209"/>
      <c r="BG51" s="235"/>
      <c r="BH51" s="210"/>
      <c r="BI51" s="210"/>
      <c r="BJ51" s="238"/>
      <c r="BK51" s="235"/>
      <c r="BL51" s="235"/>
      <c r="BM51" s="136"/>
    </row>
    <row r="52" spans="1:65" s="283" customFormat="1" ht="15" x14ac:dyDescent="0.25">
      <c r="A52" s="187"/>
      <c r="B52" s="202"/>
      <c r="C52" s="217"/>
      <c r="D52" s="235"/>
      <c r="E52" s="136"/>
      <c r="F52" s="291"/>
      <c r="G52" s="292"/>
      <c r="H52" s="218"/>
      <c r="I52" s="238"/>
      <c r="J52" s="235"/>
      <c r="K52" s="136"/>
      <c r="L52" s="238"/>
      <c r="M52" s="235"/>
      <c r="N52" s="235"/>
      <c r="O52" s="235"/>
      <c r="P52" s="235"/>
      <c r="Q52" s="235"/>
      <c r="R52" s="235"/>
      <c r="S52" s="235"/>
      <c r="T52" s="26"/>
      <c r="U52" s="204"/>
      <c r="V52" s="207"/>
      <c r="W52" s="204"/>
      <c r="X52" s="207"/>
      <c r="Y52" s="204"/>
      <c r="Z52" s="207"/>
      <c r="AA52" s="204"/>
      <c r="AB52" s="207"/>
      <c r="AC52" s="204"/>
      <c r="AD52" s="207"/>
      <c r="AE52" s="204"/>
      <c r="AF52" s="207"/>
      <c r="AG52" s="204"/>
      <c r="AH52" s="204"/>
      <c r="AI52" s="204"/>
      <c r="AJ52" s="205"/>
      <c r="AK52" s="204"/>
      <c r="AL52" s="205"/>
      <c r="AM52" s="208"/>
      <c r="AN52" s="210"/>
      <c r="AO52" s="210"/>
      <c r="AP52" s="210"/>
      <c r="AQ52" s="210"/>
      <c r="AR52" s="210"/>
      <c r="AS52" s="209"/>
      <c r="AT52" s="209"/>
      <c r="AU52" s="210"/>
      <c r="AV52" s="210"/>
      <c r="AW52" s="210"/>
      <c r="AX52" s="209"/>
      <c r="AY52" s="209"/>
      <c r="AZ52" s="210"/>
      <c r="BA52" s="210"/>
      <c r="BB52" s="210"/>
      <c r="BC52" s="209"/>
      <c r="BD52" s="210"/>
      <c r="BE52" s="210"/>
      <c r="BF52" s="209"/>
      <c r="BG52" s="235"/>
      <c r="BH52" s="210"/>
      <c r="BI52" s="210"/>
      <c r="BJ52" s="238"/>
      <c r="BK52" s="235"/>
      <c r="BL52" s="235"/>
      <c r="BM52" s="136"/>
    </row>
    <row r="53" spans="1:65" s="283" customFormat="1" ht="15" x14ac:dyDescent="0.25">
      <c r="A53" s="187"/>
      <c r="B53" s="202"/>
      <c r="C53" s="217"/>
      <c r="D53" s="235"/>
      <c r="E53" s="136"/>
      <c r="F53" s="291"/>
      <c r="G53" s="292"/>
      <c r="H53" s="218"/>
      <c r="I53" s="238"/>
      <c r="J53" s="235"/>
      <c r="K53" s="136"/>
      <c r="L53" s="238"/>
      <c r="M53" s="235"/>
      <c r="N53" s="235"/>
      <c r="O53" s="235"/>
      <c r="P53" s="235"/>
      <c r="Q53" s="235"/>
      <c r="R53" s="235"/>
      <c r="S53" s="235"/>
      <c r="T53" s="26"/>
      <c r="U53" s="204"/>
      <c r="V53" s="207"/>
      <c r="W53" s="204"/>
      <c r="X53" s="207"/>
      <c r="Y53" s="204"/>
      <c r="Z53" s="207"/>
      <c r="AA53" s="204"/>
      <c r="AB53" s="207"/>
      <c r="AC53" s="204"/>
      <c r="AD53" s="207"/>
      <c r="AE53" s="204"/>
      <c r="AF53" s="207"/>
      <c r="AG53" s="204"/>
      <c r="AH53" s="204"/>
      <c r="AI53" s="204"/>
      <c r="AJ53" s="205"/>
      <c r="AK53" s="204"/>
      <c r="AL53" s="205"/>
      <c r="AM53" s="208"/>
      <c r="AN53" s="210"/>
      <c r="AO53" s="210"/>
      <c r="AP53" s="210"/>
      <c r="AQ53" s="210"/>
      <c r="AR53" s="210"/>
      <c r="AS53" s="209"/>
      <c r="AT53" s="209"/>
      <c r="AU53" s="210"/>
      <c r="AV53" s="210"/>
      <c r="AW53" s="210"/>
      <c r="AX53" s="209"/>
      <c r="AY53" s="209"/>
      <c r="AZ53" s="210"/>
      <c r="BA53" s="210"/>
      <c r="BB53" s="210"/>
      <c r="BC53" s="209"/>
      <c r="BD53" s="210"/>
      <c r="BE53" s="210"/>
      <c r="BF53" s="209"/>
      <c r="BG53" s="235"/>
      <c r="BH53" s="210"/>
      <c r="BI53" s="210"/>
      <c r="BJ53" s="238"/>
      <c r="BK53" s="235"/>
      <c r="BL53" s="235"/>
      <c r="BM53" s="136"/>
    </row>
    <row r="54" spans="1:65" s="283" customFormat="1" ht="15" x14ac:dyDescent="0.25">
      <c r="A54" s="187"/>
      <c r="B54" s="202"/>
      <c r="C54" s="217"/>
      <c r="D54" s="235"/>
      <c r="E54" s="136"/>
      <c r="F54" s="291"/>
      <c r="G54" s="292"/>
      <c r="H54" s="218"/>
      <c r="I54" s="238"/>
      <c r="J54" s="235"/>
      <c r="K54" s="136"/>
      <c r="L54" s="238"/>
      <c r="M54" s="235"/>
      <c r="N54" s="235"/>
      <c r="O54" s="235"/>
      <c r="P54" s="235"/>
      <c r="Q54" s="235"/>
      <c r="R54" s="235"/>
      <c r="S54" s="235"/>
      <c r="T54" s="26"/>
      <c r="U54" s="204"/>
      <c r="V54" s="207"/>
      <c r="W54" s="204"/>
      <c r="X54" s="207"/>
      <c r="Y54" s="204"/>
      <c r="Z54" s="207"/>
      <c r="AA54" s="204"/>
      <c r="AB54" s="207"/>
      <c r="AC54" s="204"/>
      <c r="AD54" s="207"/>
      <c r="AE54" s="204"/>
      <c r="AF54" s="207"/>
      <c r="AG54" s="204"/>
      <c r="AH54" s="204"/>
      <c r="AI54" s="204"/>
      <c r="AJ54" s="205"/>
      <c r="AK54" s="204"/>
      <c r="AL54" s="205"/>
      <c r="AM54" s="208"/>
      <c r="AN54" s="210"/>
      <c r="AO54" s="210"/>
      <c r="AP54" s="210"/>
      <c r="AQ54" s="210"/>
      <c r="AR54" s="210"/>
      <c r="AS54" s="209"/>
      <c r="AT54" s="209"/>
      <c r="AU54" s="210"/>
      <c r="AV54" s="210"/>
      <c r="AW54" s="210"/>
      <c r="AX54" s="209"/>
      <c r="AY54" s="209"/>
      <c r="AZ54" s="210"/>
      <c r="BA54" s="210"/>
      <c r="BB54" s="210"/>
      <c r="BC54" s="209"/>
      <c r="BD54" s="210"/>
      <c r="BE54" s="210"/>
      <c r="BF54" s="209"/>
      <c r="BG54" s="235"/>
      <c r="BH54" s="210"/>
      <c r="BI54" s="210"/>
      <c r="BJ54" s="238"/>
      <c r="BK54" s="235"/>
      <c r="BL54" s="235"/>
      <c r="BM54" s="136"/>
    </row>
    <row r="55" spans="1:65" s="283" customFormat="1" ht="15" x14ac:dyDescent="0.25">
      <c r="A55" s="187"/>
      <c r="B55" s="202"/>
      <c r="C55" s="217"/>
      <c r="D55" s="235"/>
      <c r="E55" s="136"/>
      <c r="F55" s="291"/>
      <c r="G55" s="292"/>
      <c r="H55" s="218"/>
      <c r="I55" s="238"/>
      <c r="J55" s="235"/>
      <c r="K55" s="136"/>
      <c r="L55" s="238"/>
      <c r="M55" s="235"/>
      <c r="N55" s="235"/>
      <c r="O55" s="235"/>
      <c r="P55" s="235"/>
      <c r="Q55" s="235"/>
      <c r="R55" s="235"/>
      <c r="S55" s="235"/>
      <c r="T55" s="26"/>
      <c r="U55" s="204"/>
      <c r="V55" s="207"/>
      <c r="W55" s="204"/>
      <c r="X55" s="207"/>
      <c r="Y55" s="204"/>
      <c r="Z55" s="207"/>
      <c r="AA55" s="204"/>
      <c r="AB55" s="207"/>
      <c r="AC55" s="204"/>
      <c r="AD55" s="207"/>
      <c r="AE55" s="204"/>
      <c r="AF55" s="207"/>
      <c r="AG55" s="204"/>
      <c r="AH55" s="204"/>
      <c r="AI55" s="204"/>
      <c r="AJ55" s="205"/>
      <c r="AK55" s="204"/>
      <c r="AL55" s="205"/>
      <c r="AM55" s="208"/>
      <c r="AN55" s="210"/>
      <c r="AO55" s="210"/>
      <c r="AP55" s="210"/>
      <c r="AQ55" s="210"/>
      <c r="AR55" s="210"/>
      <c r="AS55" s="209"/>
      <c r="AT55" s="209"/>
      <c r="AU55" s="210"/>
      <c r="AV55" s="210"/>
      <c r="AW55" s="210"/>
      <c r="AX55" s="209"/>
      <c r="AY55" s="209"/>
      <c r="AZ55" s="210"/>
      <c r="BA55" s="210"/>
      <c r="BB55" s="210"/>
      <c r="BC55" s="209"/>
      <c r="BD55" s="210"/>
      <c r="BE55" s="210"/>
      <c r="BF55" s="209"/>
      <c r="BG55" s="235"/>
      <c r="BH55" s="210"/>
      <c r="BI55" s="210"/>
      <c r="BJ55" s="238"/>
      <c r="BK55" s="235"/>
      <c r="BL55" s="235"/>
      <c r="BM55" s="136"/>
    </row>
    <row r="56" spans="1:65" s="283" customFormat="1" ht="15" x14ac:dyDescent="0.25">
      <c r="A56" s="187"/>
      <c r="B56" s="202"/>
      <c r="C56" s="217"/>
      <c r="D56" s="235"/>
      <c r="E56" s="136"/>
      <c r="F56" s="291"/>
      <c r="G56" s="292"/>
      <c r="H56" s="218"/>
      <c r="I56" s="238"/>
      <c r="J56" s="235"/>
      <c r="K56" s="136"/>
      <c r="L56" s="238"/>
      <c r="M56" s="235"/>
      <c r="N56" s="235"/>
      <c r="O56" s="235"/>
      <c r="P56" s="235"/>
      <c r="Q56" s="235"/>
      <c r="R56" s="235"/>
      <c r="S56" s="235"/>
      <c r="T56" s="26"/>
      <c r="U56" s="204"/>
      <c r="V56" s="207"/>
      <c r="W56" s="204"/>
      <c r="X56" s="207"/>
      <c r="Y56" s="204"/>
      <c r="Z56" s="207"/>
      <c r="AA56" s="204"/>
      <c r="AB56" s="207"/>
      <c r="AC56" s="204"/>
      <c r="AD56" s="207"/>
      <c r="AE56" s="204"/>
      <c r="AF56" s="207"/>
      <c r="AG56" s="204"/>
      <c r="AH56" s="204"/>
      <c r="AI56" s="204"/>
      <c r="AJ56" s="205"/>
      <c r="AK56" s="204"/>
      <c r="AL56" s="205"/>
      <c r="AM56" s="208"/>
      <c r="AN56" s="210"/>
      <c r="AO56" s="210"/>
      <c r="AP56" s="210"/>
      <c r="AQ56" s="210"/>
      <c r="AR56" s="210"/>
      <c r="AS56" s="209"/>
      <c r="AT56" s="209"/>
      <c r="AU56" s="210"/>
      <c r="AV56" s="210"/>
      <c r="AW56" s="210"/>
      <c r="AX56" s="209"/>
      <c r="AY56" s="209"/>
      <c r="AZ56" s="210"/>
      <c r="BA56" s="210"/>
      <c r="BB56" s="210"/>
      <c r="BC56" s="209"/>
      <c r="BD56" s="210"/>
      <c r="BE56" s="210"/>
      <c r="BF56" s="209"/>
      <c r="BG56" s="235"/>
      <c r="BH56" s="210"/>
      <c r="BI56" s="210"/>
      <c r="BJ56" s="238"/>
      <c r="BK56" s="235"/>
      <c r="BL56" s="235"/>
      <c r="BM56" s="136"/>
    </row>
    <row r="57" spans="1:65" s="283" customFormat="1" ht="15" x14ac:dyDescent="0.25">
      <c r="A57" s="187"/>
      <c r="B57" s="202"/>
      <c r="C57" s="217"/>
      <c r="D57" s="235"/>
      <c r="E57" s="136"/>
      <c r="F57" s="291"/>
      <c r="G57" s="292"/>
      <c r="H57" s="218"/>
      <c r="I57" s="238"/>
      <c r="J57" s="235"/>
      <c r="K57" s="136"/>
      <c r="L57" s="238"/>
      <c r="M57" s="235"/>
      <c r="N57" s="235"/>
      <c r="O57" s="235"/>
      <c r="P57" s="235"/>
      <c r="Q57" s="235"/>
      <c r="R57" s="235"/>
      <c r="S57" s="235"/>
      <c r="T57" s="26"/>
      <c r="U57" s="204"/>
      <c r="V57" s="207"/>
      <c r="W57" s="204"/>
      <c r="X57" s="207"/>
      <c r="Y57" s="204"/>
      <c r="Z57" s="207"/>
      <c r="AA57" s="204"/>
      <c r="AB57" s="207"/>
      <c r="AC57" s="204"/>
      <c r="AD57" s="207"/>
      <c r="AE57" s="204"/>
      <c r="AF57" s="207"/>
      <c r="AG57" s="204"/>
      <c r="AH57" s="204"/>
      <c r="AI57" s="204"/>
      <c r="AJ57" s="205"/>
      <c r="AK57" s="204"/>
      <c r="AL57" s="205"/>
      <c r="AM57" s="208"/>
      <c r="AN57" s="210"/>
      <c r="AO57" s="210"/>
      <c r="AP57" s="210"/>
      <c r="AQ57" s="210"/>
      <c r="AR57" s="210"/>
      <c r="AS57" s="209"/>
      <c r="AT57" s="209"/>
      <c r="AU57" s="210"/>
      <c r="AV57" s="210"/>
      <c r="AW57" s="210"/>
      <c r="AX57" s="209"/>
      <c r="AY57" s="209"/>
      <c r="AZ57" s="210"/>
      <c r="BA57" s="210"/>
      <c r="BB57" s="210"/>
      <c r="BC57" s="209"/>
      <c r="BD57" s="210"/>
      <c r="BE57" s="210"/>
      <c r="BF57" s="209"/>
      <c r="BG57" s="235"/>
      <c r="BH57" s="210"/>
      <c r="BI57" s="210"/>
      <c r="BJ57" s="238"/>
      <c r="BK57" s="235"/>
      <c r="BL57" s="235"/>
      <c r="BM57" s="136"/>
    </row>
    <row r="58" spans="1:65" s="283" customFormat="1" ht="15" x14ac:dyDescent="0.25">
      <c r="A58" s="187"/>
      <c r="B58" s="202"/>
      <c r="C58" s="217"/>
      <c r="D58" s="235"/>
      <c r="E58" s="136"/>
      <c r="F58" s="291"/>
      <c r="G58" s="292"/>
      <c r="H58" s="218"/>
      <c r="I58" s="238"/>
      <c r="J58" s="235"/>
      <c r="K58" s="136"/>
      <c r="L58" s="238"/>
      <c r="M58" s="235"/>
      <c r="N58" s="235"/>
      <c r="O58" s="235"/>
      <c r="P58" s="235"/>
      <c r="Q58" s="235"/>
      <c r="R58" s="235"/>
      <c r="S58" s="235"/>
      <c r="T58" s="26"/>
      <c r="U58" s="204"/>
      <c r="V58" s="207"/>
      <c r="W58" s="204"/>
      <c r="X58" s="207"/>
      <c r="Y58" s="204"/>
      <c r="Z58" s="207"/>
      <c r="AA58" s="204"/>
      <c r="AB58" s="207"/>
      <c r="AC58" s="204"/>
      <c r="AD58" s="207"/>
      <c r="AE58" s="204"/>
      <c r="AF58" s="207"/>
      <c r="AG58" s="204"/>
      <c r="AH58" s="204"/>
      <c r="AI58" s="204"/>
      <c r="AJ58" s="205"/>
      <c r="AK58" s="204"/>
      <c r="AL58" s="205"/>
      <c r="AM58" s="208"/>
      <c r="AN58" s="210"/>
      <c r="AO58" s="210"/>
      <c r="AP58" s="210"/>
      <c r="AQ58" s="210"/>
      <c r="AR58" s="210"/>
      <c r="AS58" s="209"/>
      <c r="AT58" s="209"/>
      <c r="AU58" s="210"/>
      <c r="AV58" s="210"/>
      <c r="AW58" s="210"/>
      <c r="AX58" s="209"/>
      <c r="AY58" s="209"/>
      <c r="AZ58" s="210"/>
      <c r="BA58" s="210"/>
      <c r="BB58" s="210"/>
      <c r="BC58" s="209"/>
      <c r="BD58" s="210"/>
      <c r="BE58" s="210"/>
      <c r="BF58" s="209"/>
      <c r="BG58" s="235"/>
      <c r="BH58" s="210"/>
      <c r="BI58" s="210"/>
      <c r="BJ58" s="238"/>
      <c r="BK58" s="235"/>
      <c r="BL58" s="235"/>
      <c r="BM58" s="136"/>
    </row>
    <row r="59" spans="1:65" s="283" customFormat="1" ht="15" x14ac:dyDescent="0.25">
      <c r="A59" s="187"/>
      <c r="B59" s="202"/>
      <c r="C59" s="217"/>
      <c r="D59" s="235"/>
      <c r="E59" s="136"/>
      <c r="F59" s="291"/>
      <c r="G59" s="292"/>
      <c r="H59" s="218"/>
      <c r="I59" s="238"/>
      <c r="J59" s="235"/>
      <c r="K59" s="136"/>
      <c r="L59" s="238"/>
      <c r="M59" s="235"/>
      <c r="N59" s="235"/>
      <c r="O59" s="235"/>
      <c r="P59" s="235"/>
      <c r="Q59" s="235"/>
      <c r="R59" s="235"/>
      <c r="S59" s="235"/>
      <c r="T59" s="26"/>
      <c r="U59" s="204"/>
      <c r="V59" s="207"/>
      <c r="W59" s="204"/>
      <c r="X59" s="207"/>
      <c r="Y59" s="204"/>
      <c r="Z59" s="207"/>
      <c r="AA59" s="204"/>
      <c r="AB59" s="207"/>
      <c r="AC59" s="204"/>
      <c r="AD59" s="207"/>
      <c r="AE59" s="204"/>
      <c r="AF59" s="207"/>
      <c r="AG59" s="204"/>
      <c r="AH59" s="204"/>
      <c r="AI59" s="204"/>
      <c r="AJ59" s="205"/>
      <c r="AK59" s="204"/>
      <c r="AL59" s="205"/>
      <c r="AM59" s="208"/>
      <c r="AN59" s="210"/>
      <c r="AO59" s="210"/>
      <c r="AP59" s="210"/>
      <c r="AQ59" s="210"/>
      <c r="AR59" s="210"/>
      <c r="AS59" s="209"/>
      <c r="AT59" s="209"/>
      <c r="AU59" s="210"/>
      <c r="AV59" s="210"/>
      <c r="AW59" s="210"/>
      <c r="AX59" s="209"/>
      <c r="AY59" s="209"/>
      <c r="AZ59" s="210"/>
      <c r="BA59" s="210"/>
      <c r="BB59" s="210"/>
      <c r="BC59" s="209"/>
      <c r="BD59" s="210"/>
      <c r="BE59" s="210"/>
      <c r="BF59" s="209"/>
      <c r="BG59" s="235"/>
      <c r="BH59" s="210"/>
      <c r="BI59" s="210"/>
      <c r="BJ59" s="238"/>
      <c r="BK59" s="235"/>
      <c r="BL59" s="235"/>
      <c r="BM59" s="136"/>
    </row>
    <row r="60" spans="1:65" s="283" customFormat="1" ht="15" x14ac:dyDescent="0.25">
      <c r="A60" s="187"/>
      <c r="B60" s="202"/>
      <c r="C60" s="217"/>
      <c r="D60" s="235"/>
      <c r="E60" s="136"/>
      <c r="F60" s="291"/>
      <c r="G60" s="292"/>
      <c r="H60" s="218"/>
      <c r="I60" s="238"/>
      <c r="J60" s="235"/>
      <c r="K60" s="136"/>
      <c r="L60" s="238"/>
      <c r="M60" s="235"/>
      <c r="N60" s="235"/>
      <c r="O60" s="235"/>
      <c r="P60" s="235"/>
      <c r="Q60" s="235"/>
      <c r="R60" s="235"/>
      <c r="S60" s="235"/>
      <c r="T60" s="26"/>
      <c r="U60" s="204"/>
      <c r="V60" s="207"/>
      <c r="W60" s="204"/>
      <c r="X60" s="207"/>
      <c r="Y60" s="204"/>
      <c r="Z60" s="207"/>
      <c r="AA60" s="204"/>
      <c r="AB60" s="207"/>
      <c r="AC60" s="204"/>
      <c r="AD60" s="207"/>
      <c r="AE60" s="204"/>
      <c r="AF60" s="207"/>
      <c r="AG60" s="204"/>
      <c r="AH60" s="204"/>
      <c r="AI60" s="204"/>
      <c r="AJ60" s="205"/>
      <c r="AK60" s="204"/>
      <c r="AL60" s="205"/>
      <c r="AM60" s="208"/>
      <c r="AN60" s="210"/>
      <c r="AO60" s="210"/>
      <c r="AP60" s="210"/>
      <c r="AQ60" s="210"/>
      <c r="AR60" s="210"/>
      <c r="AS60" s="209"/>
      <c r="AT60" s="209"/>
      <c r="AU60" s="210"/>
      <c r="AV60" s="210"/>
      <c r="AW60" s="210"/>
      <c r="AX60" s="209"/>
      <c r="AY60" s="209"/>
      <c r="AZ60" s="210"/>
      <c r="BA60" s="210"/>
      <c r="BB60" s="210"/>
      <c r="BC60" s="209"/>
      <c r="BD60" s="210"/>
      <c r="BE60" s="210"/>
      <c r="BF60" s="209"/>
      <c r="BG60" s="235"/>
      <c r="BH60" s="210"/>
      <c r="BI60" s="210"/>
      <c r="BJ60" s="238"/>
      <c r="BK60" s="235"/>
      <c r="BL60" s="235"/>
      <c r="BM60" s="136"/>
    </row>
    <row r="61" spans="1:65" s="283" customFormat="1" ht="15" x14ac:dyDescent="0.25">
      <c r="A61" s="187"/>
      <c r="B61" s="202"/>
      <c r="C61" s="217"/>
      <c r="D61" s="235"/>
      <c r="E61" s="136"/>
      <c r="F61" s="291"/>
      <c r="G61" s="292"/>
      <c r="H61" s="218"/>
      <c r="I61" s="238"/>
      <c r="J61" s="235"/>
      <c r="K61" s="136"/>
      <c r="L61" s="238"/>
      <c r="M61" s="235"/>
      <c r="N61" s="235"/>
      <c r="O61" s="235"/>
      <c r="P61" s="235"/>
      <c r="Q61" s="235"/>
      <c r="R61" s="235"/>
      <c r="S61" s="235"/>
      <c r="T61" s="26"/>
      <c r="U61" s="204"/>
      <c r="V61" s="207"/>
      <c r="W61" s="204"/>
      <c r="X61" s="207"/>
      <c r="Y61" s="204"/>
      <c r="Z61" s="207"/>
      <c r="AA61" s="204"/>
      <c r="AB61" s="207"/>
      <c r="AC61" s="204"/>
      <c r="AD61" s="207"/>
      <c r="AE61" s="204"/>
      <c r="AF61" s="207"/>
      <c r="AG61" s="204"/>
      <c r="AH61" s="204"/>
      <c r="AI61" s="204"/>
      <c r="AJ61" s="205"/>
      <c r="AK61" s="204"/>
      <c r="AL61" s="205"/>
      <c r="AM61" s="208"/>
      <c r="AN61" s="210"/>
      <c r="AO61" s="210"/>
      <c r="AP61" s="210"/>
      <c r="AQ61" s="210"/>
      <c r="AR61" s="210"/>
      <c r="AS61" s="209"/>
      <c r="AT61" s="209"/>
      <c r="AU61" s="210"/>
      <c r="AV61" s="210"/>
      <c r="AW61" s="210"/>
      <c r="AX61" s="209"/>
      <c r="AY61" s="209"/>
      <c r="AZ61" s="210"/>
      <c r="BA61" s="210"/>
      <c r="BB61" s="210"/>
      <c r="BC61" s="209"/>
      <c r="BD61" s="210"/>
      <c r="BE61" s="210"/>
      <c r="BF61" s="209"/>
      <c r="BG61" s="235"/>
      <c r="BH61" s="210"/>
      <c r="BI61" s="210"/>
      <c r="BJ61" s="238"/>
      <c r="BK61" s="235"/>
      <c r="BL61" s="235"/>
      <c r="BM61" s="136"/>
    </row>
    <row r="62" spans="1:65" s="283" customFormat="1" ht="15" x14ac:dyDescent="0.25">
      <c r="A62" s="187"/>
      <c r="B62" s="202"/>
      <c r="C62" s="217"/>
      <c r="D62" s="235"/>
      <c r="E62" s="136"/>
      <c r="F62" s="291"/>
      <c r="G62" s="292"/>
      <c r="H62" s="218"/>
      <c r="I62" s="238"/>
      <c r="J62" s="235"/>
      <c r="K62" s="136"/>
      <c r="L62" s="238"/>
      <c r="M62" s="235"/>
      <c r="N62" s="235"/>
      <c r="O62" s="235"/>
      <c r="P62" s="235"/>
      <c r="Q62" s="235"/>
      <c r="R62" s="235"/>
      <c r="S62" s="235"/>
      <c r="T62" s="26"/>
      <c r="U62" s="204"/>
      <c r="V62" s="207"/>
      <c r="W62" s="204"/>
      <c r="X62" s="207"/>
      <c r="Y62" s="204"/>
      <c r="Z62" s="207"/>
      <c r="AA62" s="204"/>
      <c r="AB62" s="207"/>
      <c r="AC62" s="204"/>
      <c r="AD62" s="207"/>
      <c r="AE62" s="204"/>
      <c r="AF62" s="207"/>
      <c r="AG62" s="204"/>
      <c r="AH62" s="204"/>
      <c r="AI62" s="204"/>
      <c r="AJ62" s="205"/>
      <c r="AK62" s="204"/>
      <c r="AL62" s="205"/>
      <c r="AM62" s="208"/>
      <c r="AN62" s="210"/>
      <c r="AO62" s="210"/>
      <c r="AP62" s="210"/>
      <c r="AQ62" s="210"/>
      <c r="AR62" s="210"/>
      <c r="AS62" s="209"/>
      <c r="AT62" s="209"/>
      <c r="AU62" s="210"/>
      <c r="AV62" s="210"/>
      <c r="AW62" s="210"/>
      <c r="AX62" s="209"/>
      <c r="AY62" s="209"/>
      <c r="AZ62" s="210"/>
      <c r="BA62" s="210"/>
      <c r="BB62" s="210"/>
      <c r="BC62" s="209"/>
      <c r="BD62" s="210"/>
      <c r="BE62" s="210"/>
      <c r="BF62" s="209"/>
      <c r="BG62" s="235"/>
      <c r="BH62" s="210"/>
      <c r="BI62" s="210"/>
      <c r="BJ62" s="238"/>
      <c r="BK62" s="235"/>
      <c r="BL62" s="235"/>
      <c r="BM62" s="136"/>
    </row>
    <row r="63" spans="1:65" s="283" customFormat="1" ht="15" x14ac:dyDescent="0.25">
      <c r="A63" s="187"/>
      <c r="B63" s="202"/>
      <c r="C63" s="217"/>
      <c r="D63" s="235"/>
      <c r="E63" s="136"/>
      <c r="F63" s="291"/>
      <c r="G63" s="292"/>
      <c r="H63" s="218"/>
      <c r="I63" s="238"/>
      <c r="J63" s="235"/>
      <c r="K63" s="136"/>
      <c r="L63" s="238"/>
      <c r="M63" s="235"/>
      <c r="N63" s="235"/>
      <c r="O63" s="235"/>
      <c r="P63" s="235"/>
      <c r="Q63" s="235"/>
      <c r="R63" s="235"/>
      <c r="S63" s="235"/>
      <c r="T63" s="26"/>
      <c r="U63" s="204"/>
      <c r="V63" s="207"/>
      <c r="W63" s="204"/>
      <c r="X63" s="207"/>
      <c r="Y63" s="204"/>
      <c r="Z63" s="207"/>
      <c r="AA63" s="204"/>
      <c r="AB63" s="207"/>
      <c r="AC63" s="204"/>
      <c r="AD63" s="207"/>
      <c r="AE63" s="204"/>
      <c r="AF63" s="207"/>
      <c r="AG63" s="204"/>
      <c r="AH63" s="204"/>
      <c r="AI63" s="204"/>
      <c r="AJ63" s="205"/>
      <c r="AK63" s="204"/>
      <c r="AL63" s="205"/>
      <c r="AM63" s="208"/>
      <c r="AN63" s="210"/>
      <c r="AO63" s="210"/>
      <c r="AP63" s="210"/>
      <c r="AQ63" s="210"/>
      <c r="AR63" s="210"/>
      <c r="AS63" s="209"/>
      <c r="AT63" s="209"/>
      <c r="AU63" s="210"/>
      <c r="AV63" s="210"/>
      <c r="AW63" s="210"/>
      <c r="AX63" s="209"/>
      <c r="AY63" s="209"/>
      <c r="AZ63" s="210"/>
      <c r="BA63" s="210"/>
      <c r="BB63" s="210"/>
      <c r="BC63" s="209"/>
      <c r="BD63" s="210"/>
      <c r="BE63" s="210"/>
      <c r="BF63" s="209"/>
      <c r="BG63" s="235"/>
      <c r="BH63" s="210"/>
      <c r="BI63" s="210"/>
      <c r="BJ63" s="238"/>
      <c r="BK63" s="235"/>
      <c r="BL63" s="235"/>
      <c r="BM63" s="136"/>
    </row>
    <row r="64" spans="1:65" s="283" customFormat="1" ht="15" x14ac:dyDescent="0.25">
      <c r="A64" s="187"/>
      <c r="B64" s="202"/>
      <c r="C64" s="217"/>
      <c r="D64" s="235"/>
      <c r="E64" s="136"/>
      <c r="F64" s="291"/>
      <c r="G64" s="292"/>
      <c r="H64" s="218"/>
      <c r="I64" s="238"/>
      <c r="J64" s="235"/>
      <c r="K64" s="136"/>
      <c r="L64" s="238"/>
      <c r="M64" s="235"/>
      <c r="N64" s="235"/>
      <c r="O64" s="235"/>
      <c r="P64" s="235"/>
      <c r="Q64" s="235"/>
      <c r="R64" s="235"/>
      <c r="S64" s="235"/>
      <c r="T64" s="26"/>
      <c r="U64" s="204"/>
      <c r="V64" s="207"/>
      <c r="W64" s="204"/>
      <c r="X64" s="207"/>
      <c r="Y64" s="204"/>
      <c r="Z64" s="207"/>
      <c r="AA64" s="204"/>
      <c r="AB64" s="207"/>
      <c r="AC64" s="204"/>
      <c r="AD64" s="207"/>
      <c r="AE64" s="204"/>
      <c r="AF64" s="207"/>
      <c r="AG64" s="204"/>
      <c r="AH64" s="204"/>
      <c r="AI64" s="204"/>
      <c r="AJ64" s="205"/>
      <c r="AK64" s="204"/>
      <c r="AL64" s="205"/>
      <c r="AM64" s="208"/>
      <c r="AN64" s="210"/>
      <c r="AO64" s="210"/>
      <c r="AP64" s="210"/>
      <c r="AQ64" s="210"/>
      <c r="AR64" s="210"/>
      <c r="AS64" s="209"/>
      <c r="AT64" s="209"/>
      <c r="AU64" s="210"/>
      <c r="AV64" s="210"/>
      <c r="AW64" s="210"/>
      <c r="AX64" s="209"/>
      <c r="AY64" s="209"/>
      <c r="AZ64" s="210"/>
      <c r="BA64" s="210"/>
      <c r="BB64" s="210"/>
      <c r="BC64" s="209"/>
      <c r="BD64" s="210"/>
      <c r="BE64" s="210"/>
      <c r="BF64" s="209"/>
      <c r="BG64" s="235"/>
      <c r="BH64" s="210"/>
      <c r="BI64" s="210"/>
      <c r="BJ64" s="238"/>
      <c r="BK64" s="235"/>
      <c r="BL64" s="235"/>
      <c r="BM64" s="136"/>
    </row>
    <row r="65" spans="1:65" s="283" customFormat="1" ht="15" x14ac:dyDescent="0.25">
      <c r="A65" s="187"/>
      <c r="B65" s="202"/>
      <c r="C65" s="217"/>
      <c r="D65" s="235"/>
      <c r="E65" s="136"/>
      <c r="F65" s="291"/>
      <c r="G65" s="292"/>
      <c r="H65" s="218"/>
      <c r="I65" s="238"/>
      <c r="J65" s="235"/>
      <c r="K65" s="136"/>
      <c r="L65" s="238"/>
      <c r="M65" s="235"/>
      <c r="N65" s="235"/>
      <c r="O65" s="235"/>
      <c r="P65" s="235"/>
      <c r="Q65" s="235"/>
      <c r="R65" s="235"/>
      <c r="S65" s="235"/>
      <c r="T65" s="26"/>
      <c r="U65" s="204"/>
      <c r="V65" s="207"/>
      <c r="W65" s="204"/>
      <c r="X65" s="207"/>
      <c r="Y65" s="204"/>
      <c r="Z65" s="207"/>
      <c r="AA65" s="204"/>
      <c r="AB65" s="207"/>
      <c r="AC65" s="204"/>
      <c r="AD65" s="207"/>
      <c r="AE65" s="204"/>
      <c r="AF65" s="207"/>
      <c r="AG65" s="204"/>
      <c r="AH65" s="204"/>
      <c r="AI65" s="204"/>
      <c r="AJ65" s="205"/>
      <c r="AK65" s="204"/>
      <c r="AL65" s="205"/>
      <c r="AM65" s="208"/>
      <c r="AN65" s="210"/>
      <c r="AO65" s="210"/>
      <c r="AP65" s="210"/>
      <c r="AQ65" s="210"/>
      <c r="AR65" s="210"/>
      <c r="AS65" s="209"/>
      <c r="AT65" s="209"/>
      <c r="AU65" s="210"/>
      <c r="AV65" s="210"/>
      <c r="AW65" s="210"/>
      <c r="AX65" s="209"/>
      <c r="AY65" s="209"/>
      <c r="AZ65" s="210"/>
      <c r="BA65" s="210"/>
      <c r="BB65" s="210"/>
      <c r="BC65" s="209"/>
      <c r="BD65" s="210"/>
      <c r="BE65" s="210"/>
      <c r="BF65" s="209"/>
      <c r="BG65" s="235"/>
      <c r="BH65" s="210"/>
      <c r="BI65" s="210"/>
      <c r="BJ65" s="238"/>
      <c r="BK65" s="235"/>
      <c r="BL65" s="235"/>
      <c r="BM65" s="136"/>
    </row>
    <row r="66" spans="1:65" s="283" customFormat="1" ht="15" x14ac:dyDescent="0.25">
      <c r="A66" s="187"/>
      <c r="B66" s="202"/>
      <c r="C66" s="217"/>
      <c r="D66" s="235"/>
      <c r="E66" s="136"/>
      <c r="F66" s="291"/>
      <c r="G66" s="292"/>
      <c r="H66" s="218"/>
      <c r="I66" s="238"/>
      <c r="J66" s="235"/>
      <c r="K66" s="136"/>
      <c r="L66" s="238"/>
      <c r="M66" s="235"/>
      <c r="N66" s="235"/>
      <c r="O66" s="235"/>
      <c r="P66" s="235"/>
      <c r="Q66" s="235"/>
      <c r="R66" s="235"/>
      <c r="S66" s="235"/>
      <c r="T66" s="26"/>
      <c r="U66" s="204"/>
      <c r="V66" s="207"/>
      <c r="W66" s="204"/>
      <c r="X66" s="207"/>
      <c r="Y66" s="204"/>
      <c r="Z66" s="207"/>
      <c r="AA66" s="204"/>
      <c r="AB66" s="207"/>
      <c r="AC66" s="204"/>
      <c r="AD66" s="207"/>
      <c r="AE66" s="204"/>
      <c r="AF66" s="207"/>
      <c r="AG66" s="204"/>
      <c r="AH66" s="204"/>
      <c r="AI66" s="204"/>
      <c r="AJ66" s="205"/>
      <c r="AK66" s="204"/>
      <c r="AL66" s="205"/>
      <c r="AM66" s="208"/>
      <c r="AN66" s="210"/>
      <c r="AO66" s="210"/>
      <c r="AP66" s="210"/>
      <c r="AQ66" s="210"/>
      <c r="AR66" s="210"/>
      <c r="AS66" s="209"/>
      <c r="AT66" s="209"/>
      <c r="AU66" s="210"/>
      <c r="AV66" s="210"/>
      <c r="AW66" s="210"/>
      <c r="AX66" s="209"/>
      <c r="AY66" s="209"/>
      <c r="AZ66" s="210"/>
      <c r="BA66" s="210"/>
      <c r="BB66" s="210"/>
      <c r="BC66" s="209"/>
      <c r="BD66" s="210"/>
      <c r="BE66" s="210"/>
      <c r="BF66" s="209"/>
      <c r="BG66" s="235"/>
      <c r="BH66" s="210"/>
      <c r="BI66" s="210"/>
      <c r="BJ66" s="238"/>
      <c r="BK66" s="235"/>
      <c r="BL66" s="235"/>
      <c r="BM66" s="136"/>
    </row>
    <row r="67" spans="1:65" s="283" customFormat="1" ht="15" x14ac:dyDescent="0.25">
      <c r="A67" s="187"/>
      <c r="B67" s="202"/>
      <c r="C67" s="217"/>
      <c r="D67" s="235"/>
      <c r="E67" s="136"/>
      <c r="F67" s="291"/>
      <c r="G67" s="292"/>
      <c r="H67" s="218"/>
      <c r="I67" s="238"/>
      <c r="J67" s="235"/>
      <c r="K67" s="136"/>
      <c r="L67" s="238"/>
      <c r="M67" s="235"/>
      <c r="N67" s="235"/>
      <c r="O67" s="235"/>
      <c r="P67" s="235"/>
      <c r="Q67" s="235"/>
      <c r="R67" s="235"/>
      <c r="S67" s="235"/>
      <c r="T67" s="26"/>
      <c r="U67" s="204"/>
      <c r="V67" s="207"/>
      <c r="W67" s="204"/>
      <c r="X67" s="207"/>
      <c r="Y67" s="204"/>
      <c r="Z67" s="207"/>
      <c r="AA67" s="204"/>
      <c r="AB67" s="207"/>
      <c r="AC67" s="204"/>
      <c r="AD67" s="207"/>
      <c r="AE67" s="204"/>
      <c r="AF67" s="207"/>
      <c r="AG67" s="204"/>
      <c r="AH67" s="204"/>
      <c r="AI67" s="204"/>
      <c r="AJ67" s="205"/>
      <c r="AK67" s="204"/>
      <c r="AL67" s="205"/>
      <c r="AM67" s="208"/>
      <c r="AN67" s="210"/>
      <c r="AO67" s="210"/>
      <c r="AP67" s="210"/>
      <c r="AQ67" s="210"/>
      <c r="AR67" s="210"/>
      <c r="AS67" s="209"/>
      <c r="AT67" s="209"/>
      <c r="AU67" s="210"/>
      <c r="AV67" s="210"/>
      <c r="AW67" s="210"/>
      <c r="AX67" s="209"/>
      <c r="AY67" s="209"/>
      <c r="AZ67" s="210"/>
      <c r="BA67" s="210"/>
      <c r="BB67" s="210"/>
      <c r="BC67" s="209"/>
      <c r="BD67" s="210"/>
      <c r="BE67" s="210"/>
      <c r="BF67" s="209"/>
      <c r="BG67" s="235"/>
      <c r="BH67" s="210"/>
      <c r="BI67" s="210"/>
      <c r="BJ67" s="238"/>
      <c r="BK67" s="235"/>
      <c r="BL67" s="235"/>
      <c r="BM67" s="136"/>
    </row>
    <row r="68" spans="1:65" s="283" customFormat="1" ht="15" x14ac:dyDescent="0.25">
      <c r="A68" s="187"/>
      <c r="B68" s="202"/>
      <c r="C68" s="217"/>
      <c r="D68" s="235"/>
      <c r="E68" s="136"/>
      <c r="F68" s="291"/>
      <c r="G68" s="292"/>
      <c r="H68" s="218"/>
      <c r="I68" s="238"/>
      <c r="J68" s="235"/>
      <c r="K68" s="136"/>
      <c r="L68" s="238"/>
      <c r="M68" s="235"/>
      <c r="N68" s="235"/>
      <c r="O68" s="235"/>
      <c r="P68" s="235"/>
      <c r="Q68" s="235"/>
      <c r="R68" s="235"/>
      <c r="S68" s="235"/>
      <c r="T68" s="26"/>
      <c r="U68" s="204"/>
      <c r="V68" s="207"/>
      <c r="W68" s="204"/>
      <c r="X68" s="207"/>
      <c r="Y68" s="204"/>
      <c r="Z68" s="207"/>
      <c r="AA68" s="204"/>
      <c r="AB68" s="207"/>
      <c r="AC68" s="204"/>
      <c r="AD68" s="207"/>
      <c r="AE68" s="204"/>
      <c r="AF68" s="207"/>
      <c r="AG68" s="204"/>
      <c r="AH68" s="204"/>
      <c r="AI68" s="204"/>
      <c r="AJ68" s="205"/>
      <c r="AK68" s="204"/>
      <c r="AL68" s="205"/>
      <c r="AM68" s="208"/>
      <c r="AN68" s="210"/>
      <c r="AO68" s="210"/>
      <c r="AP68" s="210"/>
      <c r="AQ68" s="210"/>
      <c r="AR68" s="210"/>
      <c r="AS68" s="209"/>
      <c r="AT68" s="209"/>
      <c r="AU68" s="210"/>
      <c r="AV68" s="210"/>
      <c r="AW68" s="210"/>
      <c r="AX68" s="209"/>
      <c r="AY68" s="209"/>
      <c r="AZ68" s="210"/>
      <c r="BA68" s="210"/>
      <c r="BB68" s="210"/>
      <c r="BC68" s="209"/>
      <c r="BD68" s="210"/>
      <c r="BE68" s="210"/>
      <c r="BF68" s="209"/>
      <c r="BG68" s="235"/>
      <c r="BH68" s="210"/>
      <c r="BI68" s="210"/>
      <c r="BJ68" s="238"/>
      <c r="BK68" s="235"/>
      <c r="BL68" s="235"/>
      <c r="BM68" s="136"/>
    </row>
    <row r="69" spans="1:65" s="283" customFormat="1" ht="15" x14ac:dyDescent="0.25">
      <c r="A69" s="187"/>
      <c r="B69" s="202"/>
      <c r="C69" s="217"/>
      <c r="D69" s="235"/>
      <c r="E69" s="136"/>
      <c r="F69" s="291"/>
      <c r="G69" s="292"/>
      <c r="H69" s="218"/>
      <c r="I69" s="238"/>
      <c r="J69" s="235"/>
      <c r="K69" s="136"/>
      <c r="L69" s="238"/>
      <c r="M69" s="235"/>
      <c r="N69" s="235"/>
      <c r="O69" s="235"/>
      <c r="P69" s="235"/>
      <c r="Q69" s="235"/>
      <c r="R69" s="235"/>
      <c r="S69" s="235"/>
      <c r="T69" s="26"/>
      <c r="U69" s="204"/>
      <c r="V69" s="207"/>
      <c r="W69" s="204"/>
      <c r="X69" s="207"/>
      <c r="Y69" s="204"/>
      <c r="Z69" s="207"/>
      <c r="AA69" s="204"/>
      <c r="AB69" s="207"/>
      <c r="AC69" s="204"/>
      <c r="AD69" s="207"/>
      <c r="AE69" s="204"/>
      <c r="AF69" s="207"/>
      <c r="AG69" s="204"/>
      <c r="AH69" s="204"/>
      <c r="AI69" s="204"/>
      <c r="AJ69" s="205"/>
      <c r="AK69" s="204"/>
      <c r="AL69" s="205"/>
      <c r="AM69" s="208"/>
      <c r="AN69" s="210"/>
      <c r="AO69" s="210"/>
      <c r="AP69" s="210"/>
      <c r="AQ69" s="210"/>
      <c r="AR69" s="210"/>
      <c r="AS69" s="209"/>
      <c r="AT69" s="209"/>
      <c r="AU69" s="210"/>
      <c r="AV69" s="210"/>
      <c r="AW69" s="210"/>
      <c r="AX69" s="209"/>
      <c r="AY69" s="209"/>
      <c r="AZ69" s="210"/>
      <c r="BA69" s="210"/>
      <c r="BB69" s="210"/>
      <c r="BC69" s="209"/>
      <c r="BD69" s="210"/>
      <c r="BE69" s="210"/>
      <c r="BF69" s="209"/>
      <c r="BG69" s="235"/>
      <c r="BH69" s="210"/>
      <c r="BI69" s="210"/>
      <c r="BJ69" s="238"/>
      <c r="BK69" s="235"/>
      <c r="BL69" s="235"/>
      <c r="BM69" s="136"/>
    </row>
    <row r="70" spans="1:65" s="283" customFormat="1" ht="15" x14ac:dyDescent="0.25">
      <c r="A70" s="187"/>
      <c r="B70" s="202"/>
      <c r="C70" s="217"/>
      <c r="D70" s="235"/>
      <c r="E70" s="136"/>
      <c r="F70" s="291"/>
      <c r="G70" s="292"/>
      <c r="H70" s="218"/>
      <c r="I70" s="238"/>
      <c r="J70" s="235"/>
      <c r="K70" s="136"/>
      <c r="L70" s="238"/>
      <c r="M70" s="235"/>
      <c r="N70" s="235"/>
      <c r="O70" s="235"/>
      <c r="P70" s="235"/>
      <c r="Q70" s="235"/>
      <c r="R70" s="235"/>
      <c r="S70" s="235"/>
      <c r="T70" s="26"/>
      <c r="U70" s="204"/>
      <c r="V70" s="207"/>
      <c r="W70" s="204"/>
      <c r="X70" s="207"/>
      <c r="Y70" s="204"/>
      <c r="Z70" s="207"/>
      <c r="AA70" s="204"/>
      <c r="AB70" s="207"/>
      <c r="AC70" s="204"/>
      <c r="AD70" s="207"/>
      <c r="AE70" s="204"/>
      <c r="AF70" s="207"/>
      <c r="AG70" s="204"/>
      <c r="AH70" s="204"/>
      <c r="AI70" s="204"/>
      <c r="AJ70" s="205"/>
      <c r="AK70" s="204"/>
      <c r="AL70" s="205"/>
      <c r="AM70" s="208"/>
      <c r="AN70" s="210"/>
      <c r="AO70" s="210"/>
      <c r="AP70" s="210"/>
      <c r="AQ70" s="210"/>
      <c r="AR70" s="210"/>
      <c r="AS70" s="209"/>
      <c r="AT70" s="209"/>
      <c r="AU70" s="210"/>
      <c r="AV70" s="210"/>
      <c r="AW70" s="210"/>
      <c r="AX70" s="209"/>
      <c r="AY70" s="209"/>
      <c r="AZ70" s="210"/>
      <c r="BA70" s="210"/>
      <c r="BB70" s="210"/>
      <c r="BC70" s="209"/>
      <c r="BD70" s="210"/>
      <c r="BE70" s="210"/>
      <c r="BF70" s="209"/>
      <c r="BG70" s="235"/>
      <c r="BH70" s="210"/>
      <c r="BI70" s="210"/>
      <c r="BJ70" s="238"/>
      <c r="BK70" s="235"/>
      <c r="BL70" s="235"/>
      <c r="BM70" s="136"/>
    </row>
    <row r="71" spans="1:65" s="283" customFormat="1" ht="15" x14ac:dyDescent="0.25">
      <c r="A71" s="187"/>
      <c r="B71" s="202"/>
      <c r="C71" s="217"/>
      <c r="D71" s="235"/>
      <c r="E71" s="136"/>
      <c r="F71" s="291"/>
      <c r="G71" s="292"/>
      <c r="H71" s="218"/>
      <c r="I71" s="238"/>
      <c r="J71" s="235"/>
      <c r="K71" s="136"/>
      <c r="L71" s="238"/>
      <c r="M71" s="235"/>
      <c r="N71" s="235"/>
      <c r="O71" s="235"/>
      <c r="P71" s="235"/>
      <c r="Q71" s="235"/>
      <c r="R71" s="235"/>
      <c r="S71" s="235"/>
      <c r="T71" s="26"/>
      <c r="U71" s="204"/>
      <c r="V71" s="207"/>
      <c r="W71" s="204"/>
      <c r="X71" s="207"/>
      <c r="Y71" s="204"/>
      <c r="Z71" s="207"/>
      <c r="AA71" s="204"/>
      <c r="AB71" s="207"/>
      <c r="AC71" s="204"/>
      <c r="AD71" s="207"/>
      <c r="AE71" s="204"/>
      <c r="AF71" s="207"/>
      <c r="AG71" s="204"/>
      <c r="AH71" s="204"/>
      <c r="AI71" s="204"/>
      <c r="AJ71" s="205"/>
      <c r="AK71" s="204"/>
      <c r="AL71" s="205"/>
      <c r="AM71" s="208"/>
      <c r="AN71" s="210"/>
      <c r="AO71" s="210"/>
      <c r="AP71" s="210"/>
      <c r="AQ71" s="210"/>
      <c r="AR71" s="210"/>
      <c r="AS71" s="209"/>
      <c r="AT71" s="209"/>
      <c r="AU71" s="210"/>
      <c r="AV71" s="210"/>
      <c r="AW71" s="210"/>
      <c r="AX71" s="209"/>
      <c r="AY71" s="209"/>
      <c r="AZ71" s="210"/>
      <c r="BA71" s="210"/>
      <c r="BB71" s="210"/>
      <c r="BC71" s="209"/>
      <c r="BD71" s="210"/>
      <c r="BE71" s="210"/>
      <c r="BF71" s="209"/>
      <c r="BG71" s="235"/>
      <c r="BH71" s="210"/>
      <c r="BI71" s="210"/>
      <c r="BJ71" s="238"/>
      <c r="BK71" s="235"/>
      <c r="BL71" s="235"/>
      <c r="BM71" s="136"/>
    </row>
    <row r="72" spans="1:65" s="283" customFormat="1" ht="15" x14ac:dyDescent="0.25">
      <c r="A72" s="187"/>
      <c r="B72" s="202"/>
      <c r="C72" s="217"/>
      <c r="D72" s="235"/>
      <c r="E72" s="136"/>
      <c r="F72" s="291"/>
      <c r="G72" s="292"/>
      <c r="H72" s="218"/>
      <c r="I72" s="238"/>
      <c r="J72" s="235"/>
      <c r="K72" s="136"/>
      <c r="L72" s="238"/>
      <c r="M72" s="235"/>
      <c r="N72" s="235"/>
      <c r="O72" s="235"/>
      <c r="P72" s="235"/>
      <c r="Q72" s="235"/>
      <c r="R72" s="235"/>
      <c r="S72" s="235"/>
      <c r="T72" s="26"/>
      <c r="U72" s="204"/>
      <c r="V72" s="207"/>
      <c r="W72" s="204"/>
      <c r="X72" s="207"/>
      <c r="Y72" s="204"/>
      <c r="Z72" s="207"/>
      <c r="AA72" s="204"/>
      <c r="AB72" s="207"/>
      <c r="AC72" s="204"/>
      <c r="AD72" s="207"/>
      <c r="AE72" s="204"/>
      <c r="AF72" s="207"/>
      <c r="AG72" s="204"/>
      <c r="AH72" s="204"/>
      <c r="AI72" s="204"/>
      <c r="AJ72" s="205"/>
      <c r="AK72" s="204"/>
      <c r="AL72" s="205"/>
      <c r="AM72" s="208"/>
      <c r="AN72" s="210"/>
      <c r="AO72" s="210"/>
      <c r="AP72" s="210"/>
      <c r="AQ72" s="210"/>
      <c r="AR72" s="210"/>
      <c r="AS72" s="209"/>
      <c r="AT72" s="209"/>
      <c r="AU72" s="210"/>
      <c r="AV72" s="210"/>
      <c r="AW72" s="210"/>
      <c r="AX72" s="209"/>
      <c r="AY72" s="209"/>
      <c r="AZ72" s="210"/>
      <c r="BA72" s="210"/>
      <c r="BB72" s="210"/>
      <c r="BC72" s="209"/>
      <c r="BD72" s="210"/>
      <c r="BE72" s="210"/>
      <c r="BF72" s="209"/>
      <c r="BG72" s="235"/>
      <c r="BH72" s="210"/>
      <c r="BI72" s="210"/>
      <c r="BJ72" s="238"/>
      <c r="BK72" s="235"/>
      <c r="BL72" s="235"/>
      <c r="BM72" s="136"/>
    </row>
    <row r="73" spans="1:65" s="283" customFormat="1" ht="15" x14ac:dyDescent="0.25">
      <c r="A73" s="187"/>
      <c r="B73" s="202"/>
      <c r="C73" s="217"/>
      <c r="D73" s="235"/>
      <c r="E73" s="136"/>
      <c r="F73" s="291"/>
      <c r="G73" s="292"/>
      <c r="H73" s="218"/>
      <c r="I73" s="238"/>
      <c r="J73" s="235"/>
      <c r="K73" s="136"/>
      <c r="L73" s="238"/>
      <c r="M73" s="235"/>
      <c r="N73" s="235"/>
      <c r="O73" s="235"/>
      <c r="P73" s="235"/>
      <c r="Q73" s="235"/>
      <c r="R73" s="235"/>
      <c r="S73" s="235"/>
      <c r="T73" s="26"/>
      <c r="U73" s="204"/>
      <c r="V73" s="207"/>
      <c r="W73" s="204"/>
      <c r="X73" s="207"/>
      <c r="Y73" s="204"/>
      <c r="Z73" s="207"/>
      <c r="AA73" s="204"/>
      <c r="AB73" s="207"/>
      <c r="AC73" s="204"/>
      <c r="AD73" s="207"/>
      <c r="AE73" s="204"/>
      <c r="AF73" s="207"/>
      <c r="AG73" s="204"/>
      <c r="AH73" s="204"/>
      <c r="AI73" s="204"/>
      <c r="AJ73" s="205"/>
      <c r="AK73" s="204"/>
      <c r="AL73" s="205"/>
      <c r="AM73" s="208"/>
      <c r="AN73" s="210"/>
      <c r="AO73" s="210"/>
      <c r="AP73" s="210"/>
      <c r="AQ73" s="210"/>
      <c r="AR73" s="210"/>
      <c r="AS73" s="209"/>
      <c r="AT73" s="209"/>
      <c r="AU73" s="210"/>
      <c r="AV73" s="210"/>
      <c r="AW73" s="210"/>
      <c r="AX73" s="209"/>
      <c r="AY73" s="209"/>
      <c r="AZ73" s="210"/>
      <c r="BA73" s="210"/>
      <c r="BB73" s="210"/>
      <c r="BC73" s="209"/>
      <c r="BD73" s="210"/>
      <c r="BE73" s="210"/>
      <c r="BF73" s="209"/>
      <c r="BG73" s="235"/>
      <c r="BH73" s="210"/>
      <c r="BI73" s="210"/>
      <c r="BJ73" s="238"/>
      <c r="BK73" s="235"/>
      <c r="BL73" s="235"/>
      <c r="BM73" s="136"/>
    </row>
    <row r="74" spans="1:65" s="283" customFormat="1" ht="15" x14ac:dyDescent="0.25">
      <c r="A74" s="187"/>
      <c r="B74" s="202"/>
      <c r="C74" s="217"/>
      <c r="D74" s="235"/>
      <c r="E74" s="136"/>
      <c r="F74" s="291"/>
      <c r="G74" s="292"/>
      <c r="H74" s="218"/>
      <c r="I74" s="238"/>
      <c r="J74" s="235"/>
      <c r="K74" s="136"/>
      <c r="L74" s="238"/>
      <c r="M74" s="235"/>
      <c r="N74" s="235"/>
      <c r="O74" s="235"/>
      <c r="P74" s="235"/>
      <c r="Q74" s="235"/>
      <c r="R74" s="235"/>
      <c r="S74" s="235"/>
      <c r="T74" s="26"/>
      <c r="U74" s="204"/>
      <c r="V74" s="207"/>
      <c r="W74" s="204"/>
      <c r="X74" s="207"/>
      <c r="Y74" s="204"/>
      <c r="Z74" s="207"/>
      <c r="AA74" s="204"/>
      <c r="AB74" s="207"/>
      <c r="AC74" s="204"/>
      <c r="AD74" s="207"/>
      <c r="AE74" s="204"/>
      <c r="AF74" s="207"/>
      <c r="AG74" s="204"/>
      <c r="AH74" s="204"/>
      <c r="AI74" s="204"/>
      <c r="AJ74" s="205"/>
      <c r="AK74" s="204"/>
      <c r="AL74" s="205"/>
      <c r="AM74" s="208"/>
      <c r="AN74" s="210"/>
      <c r="AO74" s="210"/>
      <c r="AP74" s="210"/>
      <c r="AQ74" s="210"/>
      <c r="AR74" s="210"/>
      <c r="AS74" s="209"/>
      <c r="AT74" s="209"/>
      <c r="AU74" s="210"/>
      <c r="AV74" s="210"/>
      <c r="AW74" s="210"/>
      <c r="AX74" s="209"/>
      <c r="AY74" s="209"/>
      <c r="AZ74" s="210"/>
      <c r="BA74" s="210"/>
      <c r="BB74" s="210"/>
      <c r="BC74" s="209"/>
      <c r="BD74" s="210"/>
      <c r="BE74" s="210"/>
      <c r="BF74" s="209"/>
      <c r="BG74" s="235"/>
      <c r="BH74" s="210"/>
      <c r="BI74" s="210"/>
      <c r="BJ74" s="238"/>
      <c r="BK74" s="235"/>
      <c r="BL74" s="235"/>
      <c r="BM74" s="136"/>
    </row>
    <row r="75" spans="1:65" s="283" customFormat="1" ht="15" x14ac:dyDescent="0.25">
      <c r="A75" s="187"/>
      <c r="B75" s="202"/>
      <c r="C75" s="217"/>
      <c r="D75" s="235"/>
      <c r="E75" s="136"/>
      <c r="F75" s="291"/>
      <c r="G75" s="292"/>
      <c r="H75" s="218"/>
      <c r="I75" s="238"/>
      <c r="J75" s="235"/>
      <c r="K75" s="136"/>
      <c r="L75" s="238"/>
      <c r="M75" s="235"/>
      <c r="N75" s="235"/>
      <c r="O75" s="235"/>
      <c r="P75" s="235"/>
      <c r="Q75" s="235"/>
      <c r="R75" s="235"/>
      <c r="S75" s="235"/>
      <c r="T75" s="26"/>
      <c r="U75" s="204"/>
      <c r="V75" s="207"/>
      <c r="W75" s="204"/>
      <c r="X75" s="207"/>
      <c r="Y75" s="204"/>
      <c r="Z75" s="207"/>
      <c r="AA75" s="204"/>
      <c r="AB75" s="207"/>
      <c r="AC75" s="204"/>
      <c r="AD75" s="207"/>
      <c r="AE75" s="204"/>
      <c r="AF75" s="207"/>
      <c r="AG75" s="204"/>
      <c r="AH75" s="204"/>
      <c r="AI75" s="204"/>
      <c r="AJ75" s="205"/>
      <c r="AK75" s="204"/>
      <c r="AL75" s="205"/>
      <c r="AM75" s="208"/>
      <c r="AN75" s="210"/>
      <c r="AO75" s="210"/>
      <c r="AP75" s="210"/>
      <c r="AQ75" s="210"/>
      <c r="AR75" s="210"/>
      <c r="AS75" s="209"/>
      <c r="AT75" s="209"/>
      <c r="AU75" s="210"/>
      <c r="AV75" s="210"/>
      <c r="AW75" s="210"/>
      <c r="AX75" s="209"/>
      <c r="AY75" s="209"/>
      <c r="AZ75" s="210"/>
      <c r="BA75" s="210"/>
      <c r="BB75" s="210"/>
      <c r="BC75" s="209"/>
      <c r="BD75" s="210"/>
      <c r="BE75" s="210"/>
      <c r="BF75" s="209"/>
      <c r="BG75" s="235"/>
      <c r="BH75" s="210"/>
      <c r="BI75" s="210"/>
      <c r="BJ75" s="238"/>
      <c r="BK75" s="235"/>
      <c r="BL75" s="235"/>
      <c r="BM75" s="136"/>
    </row>
    <row r="76" spans="1:65" s="283" customFormat="1" ht="15" x14ac:dyDescent="0.25">
      <c r="A76" s="187"/>
      <c r="B76" s="202"/>
      <c r="C76" s="217"/>
      <c r="D76" s="235"/>
      <c r="E76" s="136"/>
      <c r="F76" s="291"/>
      <c r="G76" s="292"/>
      <c r="H76" s="218"/>
      <c r="I76" s="238"/>
      <c r="J76" s="235"/>
      <c r="K76" s="136"/>
      <c r="L76" s="238"/>
      <c r="M76" s="235"/>
      <c r="N76" s="235"/>
      <c r="O76" s="235"/>
      <c r="P76" s="235"/>
      <c r="Q76" s="235"/>
      <c r="R76" s="235"/>
      <c r="S76" s="235"/>
      <c r="T76" s="26"/>
      <c r="U76" s="204"/>
      <c r="V76" s="207"/>
      <c r="W76" s="204"/>
      <c r="X76" s="207"/>
      <c r="Y76" s="204"/>
      <c r="Z76" s="207"/>
      <c r="AA76" s="204"/>
      <c r="AB76" s="207"/>
      <c r="AC76" s="204"/>
      <c r="AD76" s="207"/>
      <c r="AE76" s="204"/>
      <c r="AF76" s="207"/>
      <c r="AG76" s="204"/>
      <c r="AH76" s="204"/>
      <c r="AI76" s="204"/>
      <c r="AJ76" s="205"/>
      <c r="AK76" s="204"/>
      <c r="AL76" s="205"/>
      <c r="AM76" s="208"/>
      <c r="AN76" s="210"/>
      <c r="AO76" s="210"/>
      <c r="AP76" s="210"/>
      <c r="AQ76" s="210"/>
      <c r="AR76" s="210"/>
      <c r="AS76" s="209"/>
      <c r="AT76" s="209"/>
      <c r="AU76" s="210"/>
      <c r="AV76" s="210"/>
      <c r="AW76" s="210"/>
      <c r="AX76" s="209"/>
      <c r="AY76" s="209"/>
      <c r="AZ76" s="210"/>
      <c r="BA76" s="210"/>
      <c r="BB76" s="210"/>
      <c r="BC76" s="209"/>
      <c r="BD76" s="210"/>
      <c r="BE76" s="210"/>
      <c r="BF76" s="209"/>
      <c r="BG76" s="235"/>
      <c r="BH76" s="210"/>
      <c r="BI76" s="210"/>
      <c r="BJ76" s="238"/>
      <c r="BK76" s="235"/>
      <c r="BL76" s="235"/>
      <c r="BM76" s="136"/>
    </row>
    <row r="77" spans="1:65" s="283" customFormat="1" ht="15" x14ac:dyDescent="0.25">
      <c r="A77" s="187"/>
      <c r="B77" s="202"/>
      <c r="C77" s="217"/>
      <c r="D77" s="235"/>
      <c r="E77" s="136"/>
      <c r="F77" s="291"/>
      <c r="G77" s="292"/>
      <c r="H77" s="218"/>
      <c r="I77" s="238"/>
      <c r="J77" s="235"/>
      <c r="K77" s="136"/>
      <c r="L77" s="238"/>
      <c r="M77" s="235"/>
      <c r="N77" s="235"/>
      <c r="O77" s="235"/>
      <c r="P77" s="235"/>
      <c r="Q77" s="235"/>
      <c r="R77" s="235"/>
      <c r="S77" s="235"/>
      <c r="T77" s="26"/>
      <c r="U77" s="204"/>
      <c r="V77" s="207"/>
      <c r="W77" s="204"/>
      <c r="X77" s="207"/>
      <c r="Y77" s="204"/>
      <c r="Z77" s="207"/>
      <c r="AA77" s="204"/>
      <c r="AB77" s="207"/>
      <c r="AC77" s="204"/>
      <c r="AD77" s="207"/>
      <c r="AE77" s="204"/>
      <c r="AF77" s="207"/>
      <c r="AG77" s="204"/>
      <c r="AH77" s="204"/>
      <c r="AI77" s="204"/>
      <c r="AJ77" s="205"/>
      <c r="AK77" s="204"/>
      <c r="AL77" s="205"/>
      <c r="AM77" s="208"/>
      <c r="AN77" s="210"/>
      <c r="AO77" s="210"/>
      <c r="AP77" s="210"/>
      <c r="AQ77" s="210"/>
      <c r="AR77" s="210"/>
      <c r="AS77" s="209"/>
      <c r="AT77" s="209"/>
      <c r="AU77" s="210"/>
      <c r="AV77" s="210"/>
      <c r="AW77" s="210"/>
      <c r="AX77" s="209"/>
      <c r="AY77" s="209"/>
      <c r="AZ77" s="210"/>
      <c r="BA77" s="210"/>
      <c r="BB77" s="210"/>
      <c r="BC77" s="209"/>
      <c r="BD77" s="210"/>
      <c r="BE77" s="210"/>
      <c r="BF77" s="209"/>
      <c r="BG77" s="235"/>
      <c r="BH77" s="210"/>
      <c r="BI77" s="210"/>
      <c r="BJ77" s="238"/>
      <c r="BK77" s="235"/>
      <c r="BL77" s="235"/>
      <c r="BM77" s="136"/>
    </row>
    <row r="78" spans="1:65" s="283" customFormat="1" ht="15" x14ac:dyDescent="0.25">
      <c r="A78" s="187"/>
      <c r="B78" s="212"/>
      <c r="C78" s="235"/>
      <c r="D78" s="235"/>
      <c r="E78" s="136"/>
      <c r="F78" s="291"/>
      <c r="G78" s="292"/>
      <c r="H78" s="238"/>
      <c r="I78" s="238"/>
      <c r="J78" s="235"/>
      <c r="K78" s="136"/>
      <c r="L78" s="238"/>
      <c r="M78" s="235"/>
      <c r="N78" s="235"/>
      <c r="O78" s="235"/>
      <c r="P78" s="235"/>
      <c r="Q78" s="235"/>
      <c r="R78" s="235"/>
      <c r="S78" s="235"/>
      <c r="T78" s="26"/>
      <c r="U78" s="204"/>
      <c r="V78" s="207"/>
      <c r="W78" s="208"/>
      <c r="X78" s="207"/>
      <c r="Y78" s="204"/>
      <c r="Z78" s="207"/>
      <c r="AA78" s="204"/>
      <c r="AB78" s="207"/>
      <c r="AC78" s="204"/>
      <c r="AD78" s="207"/>
      <c r="AE78" s="204"/>
      <c r="AF78" s="207"/>
      <c r="AG78" s="204"/>
      <c r="AH78" s="216"/>
      <c r="AI78" s="216"/>
      <c r="AJ78" s="207"/>
      <c r="AK78" s="216"/>
      <c r="AL78" s="207"/>
      <c r="AM78" s="208"/>
      <c r="AN78" s="210"/>
      <c r="AO78" s="210"/>
      <c r="AP78" s="210"/>
      <c r="AQ78" s="210"/>
      <c r="AR78" s="210"/>
      <c r="AS78" s="210"/>
      <c r="AT78" s="210"/>
      <c r="AU78" s="209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09"/>
      <c r="BG78" s="235"/>
      <c r="BH78" s="210"/>
      <c r="BI78" s="210"/>
      <c r="BJ78" s="238"/>
      <c r="BK78" s="235"/>
      <c r="BL78" s="235"/>
      <c r="BM78" s="136"/>
    </row>
    <row r="79" spans="1:65" s="283" customFormat="1" ht="15" x14ac:dyDescent="0.25">
      <c r="A79" s="187"/>
      <c r="B79" s="202"/>
      <c r="C79" s="235"/>
      <c r="D79" s="235"/>
      <c r="E79" s="136"/>
      <c r="F79" s="291"/>
      <c r="G79" s="292"/>
      <c r="H79" s="238"/>
      <c r="I79" s="238"/>
      <c r="J79" s="235"/>
      <c r="K79" s="136"/>
      <c r="L79" s="238"/>
      <c r="M79" s="235"/>
      <c r="N79" s="235"/>
      <c r="O79" s="235"/>
      <c r="P79" s="235"/>
      <c r="Q79" s="235"/>
      <c r="R79" s="294"/>
      <c r="S79" s="235"/>
      <c r="T79" s="26"/>
      <c r="U79" s="204"/>
      <c r="V79" s="207"/>
      <c r="W79" s="204"/>
      <c r="X79" s="207"/>
      <c r="Y79" s="204"/>
      <c r="Z79" s="207"/>
      <c r="AA79" s="204"/>
      <c r="AB79" s="207"/>
      <c r="AC79" s="204"/>
      <c r="AD79" s="207"/>
      <c r="AE79" s="204"/>
      <c r="AF79" s="207"/>
      <c r="AG79" s="204"/>
      <c r="AH79" s="216"/>
      <c r="AI79" s="216"/>
      <c r="AJ79" s="207"/>
      <c r="AK79" s="216"/>
      <c r="AL79" s="207"/>
      <c r="AM79" s="208"/>
      <c r="AN79" s="210"/>
      <c r="AO79" s="210"/>
      <c r="AP79" s="210"/>
      <c r="AQ79" s="210"/>
      <c r="AR79" s="210"/>
      <c r="AS79" s="210"/>
      <c r="AT79" s="210"/>
      <c r="AU79" s="209"/>
      <c r="AV79" s="210"/>
      <c r="AW79" s="210"/>
      <c r="AX79" s="209"/>
      <c r="AY79" s="210"/>
      <c r="AZ79" s="210"/>
      <c r="BA79" s="210"/>
      <c r="BB79" s="210"/>
      <c r="BC79" s="209"/>
      <c r="BD79" s="210"/>
      <c r="BE79" s="210"/>
      <c r="BF79" s="210"/>
      <c r="BG79" s="235"/>
      <c r="BH79" s="210"/>
      <c r="BI79" s="210"/>
      <c r="BJ79" s="312"/>
      <c r="BK79" s="235"/>
      <c r="BL79" s="136"/>
      <c r="BM79" s="136"/>
    </row>
    <row r="80" spans="1:65" s="283" customFormat="1" ht="15" x14ac:dyDescent="0.25">
      <c r="A80" s="187"/>
      <c r="B80" s="202"/>
      <c r="C80" s="123"/>
      <c r="D80" s="235"/>
      <c r="E80" s="136"/>
      <c r="F80" s="291"/>
      <c r="G80" s="292"/>
      <c r="H80" s="198"/>
      <c r="I80" s="238"/>
      <c r="J80" s="235"/>
      <c r="K80" s="199"/>
      <c r="L80" s="238"/>
      <c r="M80" s="235"/>
      <c r="N80" s="235"/>
      <c r="O80" s="235"/>
      <c r="P80" s="235"/>
      <c r="Q80" s="235"/>
      <c r="R80" s="294"/>
      <c r="S80" s="235"/>
      <c r="T80" s="26"/>
      <c r="U80" s="204"/>
      <c r="V80" s="207"/>
      <c r="W80" s="204"/>
      <c r="X80" s="207"/>
      <c r="Y80" s="204"/>
      <c r="Z80" s="207"/>
      <c r="AA80" s="204"/>
      <c r="AB80" s="207"/>
      <c r="AC80" s="204"/>
      <c r="AD80" s="207"/>
      <c r="AE80" s="204"/>
      <c r="AF80" s="207"/>
      <c r="AG80" s="204"/>
      <c r="AH80" s="216"/>
      <c r="AI80" s="216"/>
      <c r="AJ80" s="207"/>
      <c r="AK80" s="216"/>
      <c r="AL80" s="207"/>
      <c r="AM80" s="208"/>
      <c r="AN80" s="210"/>
      <c r="AO80" s="210"/>
      <c r="AP80" s="210"/>
      <c r="AQ80" s="209"/>
      <c r="AR80" s="209"/>
      <c r="AS80" s="209"/>
      <c r="AT80" s="209"/>
      <c r="AU80" s="209"/>
      <c r="AV80" s="209"/>
      <c r="AW80" s="209"/>
      <c r="AX80" s="209"/>
      <c r="AY80" s="209"/>
      <c r="AZ80" s="210"/>
      <c r="BA80" s="210"/>
      <c r="BB80" s="210"/>
      <c r="BC80" s="210"/>
      <c r="BD80" s="209"/>
      <c r="BE80" s="209"/>
      <c r="BF80" s="209"/>
      <c r="BG80" s="235"/>
      <c r="BH80" s="209"/>
      <c r="BI80" s="209"/>
      <c r="BJ80" s="238"/>
      <c r="BK80" s="187"/>
      <c r="BL80" s="136"/>
      <c r="BM80" s="199"/>
    </row>
    <row r="81" spans="1:65" s="283" customFormat="1" ht="15" x14ac:dyDescent="0.25">
      <c r="A81" s="187"/>
      <c r="B81" s="202"/>
      <c r="C81" s="235"/>
      <c r="D81" s="235"/>
      <c r="E81" s="136"/>
      <c r="F81" s="291"/>
      <c r="G81" s="292"/>
      <c r="H81" s="238"/>
      <c r="I81" s="238"/>
      <c r="J81" s="235"/>
      <c r="K81" s="136"/>
      <c r="L81" s="238"/>
      <c r="M81" s="235"/>
      <c r="N81" s="235"/>
      <c r="O81" s="235"/>
      <c r="P81" s="235"/>
      <c r="Q81" s="235"/>
      <c r="R81" s="235"/>
      <c r="S81" s="235"/>
      <c r="T81" s="26"/>
      <c r="U81" s="204"/>
      <c r="V81" s="207"/>
      <c r="W81" s="204"/>
      <c r="X81" s="207"/>
      <c r="Y81" s="204"/>
      <c r="Z81" s="207"/>
      <c r="AA81" s="204"/>
      <c r="AB81" s="205"/>
      <c r="AC81" s="204"/>
      <c r="AD81" s="205"/>
      <c r="AE81" s="204"/>
      <c r="AF81" s="205"/>
      <c r="AG81" s="204"/>
      <c r="AH81" s="216"/>
      <c r="AI81" s="216"/>
      <c r="AJ81" s="207"/>
      <c r="AK81" s="216"/>
      <c r="AL81" s="207"/>
      <c r="AM81" s="208"/>
      <c r="AN81" s="209"/>
      <c r="AO81" s="210"/>
      <c r="AP81" s="210"/>
      <c r="AQ81" s="209"/>
      <c r="AR81" s="210"/>
      <c r="AS81" s="209"/>
      <c r="AT81" s="209"/>
      <c r="AU81" s="210"/>
      <c r="AV81" s="210"/>
      <c r="AW81" s="210"/>
      <c r="AX81" s="209"/>
      <c r="AY81" s="210"/>
      <c r="AZ81" s="210"/>
      <c r="BA81" s="210"/>
      <c r="BB81" s="210"/>
      <c r="BC81" s="210"/>
      <c r="BD81" s="210"/>
      <c r="BE81" s="210"/>
      <c r="BF81" s="210"/>
      <c r="BG81" s="235"/>
      <c r="BH81" s="210"/>
      <c r="BI81" s="210"/>
      <c r="BJ81" s="238"/>
      <c r="BK81" s="235"/>
      <c r="BL81" s="136"/>
      <c r="BM81" s="136"/>
    </row>
    <row r="82" spans="1:65" s="122" customFormat="1" ht="15" x14ac:dyDescent="0.25">
      <c r="A82" s="187"/>
      <c r="B82" s="201"/>
      <c r="C82" s="187"/>
      <c r="D82" s="187"/>
      <c r="E82" s="199"/>
      <c r="F82" s="293"/>
      <c r="G82" s="292"/>
      <c r="H82" s="198"/>
      <c r="I82" s="198"/>
      <c r="J82" s="187"/>
      <c r="K82" s="199"/>
      <c r="L82" s="198"/>
      <c r="M82" s="187"/>
      <c r="N82" s="187"/>
      <c r="O82" s="187"/>
      <c r="P82" s="187"/>
      <c r="Q82" s="187"/>
      <c r="R82" s="293"/>
      <c r="S82" s="187"/>
      <c r="T82" s="224"/>
      <c r="U82" s="204"/>
      <c r="V82" s="205"/>
      <c r="W82" s="204"/>
      <c r="X82" s="205"/>
      <c r="Y82" s="204"/>
      <c r="Z82" s="205"/>
      <c r="AA82" s="204"/>
      <c r="AB82" s="205"/>
      <c r="AC82" s="204"/>
      <c r="AD82" s="205"/>
      <c r="AE82" s="204"/>
      <c r="AF82" s="205"/>
      <c r="AG82" s="204"/>
      <c r="AH82" s="204"/>
      <c r="AI82" s="204"/>
      <c r="AJ82" s="205"/>
      <c r="AK82" s="204"/>
      <c r="AL82" s="205"/>
      <c r="AM82" s="208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187"/>
      <c r="BH82" s="209"/>
      <c r="BI82" s="209"/>
      <c r="BJ82" s="198"/>
      <c r="BK82" s="187"/>
      <c r="BL82" s="199"/>
      <c r="BM82" s="199"/>
    </row>
    <row r="83" spans="1:65" s="283" customFormat="1" ht="15" x14ac:dyDescent="0.25">
      <c r="A83" s="187"/>
      <c r="B83" s="212"/>
      <c r="C83" s="235"/>
      <c r="D83" s="235"/>
      <c r="E83" s="136"/>
      <c r="F83" s="291"/>
      <c r="G83" s="292"/>
      <c r="H83" s="238"/>
      <c r="I83" s="238"/>
      <c r="J83" s="235"/>
      <c r="K83" s="136"/>
      <c r="L83" s="238"/>
      <c r="M83" s="235"/>
      <c r="N83" s="235"/>
      <c r="O83" s="235"/>
      <c r="P83" s="235"/>
      <c r="Q83" s="235"/>
      <c r="R83" s="235"/>
      <c r="S83" s="235"/>
      <c r="T83" s="26"/>
      <c r="U83" s="204"/>
      <c r="V83" s="207"/>
      <c r="W83" s="204"/>
      <c r="X83" s="207"/>
      <c r="Y83" s="204"/>
      <c r="Z83" s="207"/>
      <c r="AA83" s="204"/>
      <c r="AB83" s="207"/>
      <c r="AC83" s="204"/>
      <c r="AD83" s="207"/>
      <c r="AE83" s="204"/>
      <c r="AF83" s="207"/>
      <c r="AG83" s="204"/>
      <c r="AH83" s="216"/>
      <c r="AI83" s="204"/>
      <c r="AJ83" s="207"/>
      <c r="AK83" s="216"/>
      <c r="AL83" s="207"/>
      <c r="AM83" s="208"/>
      <c r="AN83" s="210"/>
      <c r="AO83" s="210"/>
      <c r="AP83" s="210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35"/>
      <c r="BH83" s="210"/>
      <c r="BI83" s="210"/>
      <c r="BJ83" s="238"/>
      <c r="BK83" s="235"/>
      <c r="BL83" s="235"/>
      <c r="BM83" s="136"/>
    </row>
    <row r="84" spans="1:65" s="283" customFormat="1" ht="15" x14ac:dyDescent="0.25">
      <c r="A84" s="187"/>
      <c r="B84" s="202"/>
      <c r="C84" s="235"/>
      <c r="D84" s="235"/>
      <c r="E84" s="136"/>
      <c r="F84" s="291"/>
      <c r="G84" s="292"/>
      <c r="H84" s="238"/>
      <c r="I84" s="238"/>
      <c r="J84" s="235"/>
      <c r="K84" s="136"/>
      <c r="L84" s="238"/>
      <c r="M84" s="235"/>
      <c r="N84" s="235"/>
      <c r="O84" s="235"/>
      <c r="P84" s="235"/>
      <c r="Q84" s="235"/>
      <c r="R84" s="294"/>
      <c r="S84" s="235"/>
      <c r="T84" s="26"/>
      <c r="U84" s="204"/>
      <c r="V84" s="207"/>
      <c r="W84" s="204"/>
      <c r="X84" s="207"/>
      <c r="Y84" s="204"/>
      <c r="Z84" s="207"/>
      <c r="AA84" s="204"/>
      <c r="AB84" s="207"/>
      <c r="AC84" s="204"/>
      <c r="AD84" s="207"/>
      <c r="AE84" s="204"/>
      <c r="AF84" s="207"/>
      <c r="AG84" s="204"/>
      <c r="AH84" s="216"/>
      <c r="AI84" s="204"/>
      <c r="AJ84" s="207"/>
      <c r="AK84" s="216"/>
      <c r="AL84" s="207"/>
      <c r="AM84" s="208"/>
      <c r="AN84" s="210"/>
      <c r="AO84" s="210"/>
      <c r="AP84" s="210"/>
      <c r="AQ84" s="210"/>
      <c r="AR84" s="210"/>
      <c r="AS84" s="209"/>
      <c r="AT84" s="210"/>
      <c r="AU84" s="210"/>
      <c r="AV84" s="210"/>
      <c r="AW84" s="210"/>
      <c r="AX84" s="209"/>
      <c r="AY84" s="209"/>
      <c r="AZ84" s="210"/>
      <c r="BA84" s="210"/>
      <c r="BB84" s="210"/>
      <c r="BC84" s="210"/>
      <c r="BD84" s="300"/>
      <c r="BE84" s="300"/>
      <c r="BF84" s="209"/>
      <c r="BG84" s="235"/>
      <c r="BH84" s="210"/>
      <c r="BI84" s="210"/>
      <c r="BJ84" s="238"/>
      <c r="BK84" s="235"/>
      <c r="BL84" s="235"/>
      <c r="BM84" s="136"/>
    </row>
    <row r="85" spans="1:65" s="283" customFormat="1" ht="15" x14ac:dyDescent="0.25">
      <c r="A85" s="187"/>
      <c r="B85" s="201"/>
      <c r="C85" s="123"/>
      <c r="D85" s="187"/>
      <c r="E85" s="199"/>
      <c r="F85" s="294"/>
      <c r="G85" s="292"/>
      <c r="H85" s="198"/>
      <c r="I85" s="198"/>
      <c r="J85" s="187"/>
      <c r="K85" s="199"/>
      <c r="L85" s="238"/>
      <c r="M85" s="235"/>
      <c r="N85" s="235"/>
      <c r="O85" s="235"/>
      <c r="P85" s="235"/>
      <c r="Q85" s="235"/>
      <c r="R85" s="235"/>
      <c r="S85" s="235"/>
      <c r="T85" s="26"/>
      <c r="U85" s="204"/>
      <c r="V85" s="207"/>
      <c r="W85" s="204"/>
      <c r="X85" s="207"/>
      <c r="Y85" s="204"/>
      <c r="Z85" s="207"/>
      <c r="AA85" s="204"/>
      <c r="AB85" s="207"/>
      <c r="AC85" s="204"/>
      <c r="AD85" s="207"/>
      <c r="AE85" s="204"/>
      <c r="AF85" s="205"/>
      <c r="AG85" s="204"/>
      <c r="AH85" s="216"/>
      <c r="AI85" s="216"/>
      <c r="AJ85" s="207"/>
      <c r="AK85" s="216"/>
      <c r="AL85" s="207"/>
      <c r="AM85" s="208"/>
      <c r="AN85" s="210"/>
      <c r="AO85" s="210"/>
      <c r="AP85" s="210"/>
      <c r="AQ85" s="209"/>
      <c r="AR85" s="209"/>
      <c r="AS85" s="209"/>
      <c r="AT85" s="209"/>
      <c r="AU85" s="209"/>
      <c r="AV85" s="209"/>
      <c r="AW85" s="209"/>
      <c r="AX85" s="210"/>
      <c r="AY85" s="209"/>
      <c r="AZ85" s="210"/>
      <c r="BA85" s="210"/>
      <c r="BB85" s="210"/>
      <c r="BC85" s="210"/>
      <c r="BD85" s="210"/>
      <c r="BE85" s="210"/>
      <c r="BF85" s="209"/>
      <c r="BG85" s="235"/>
      <c r="BH85" s="210"/>
      <c r="BI85" s="210"/>
      <c r="BJ85" s="238"/>
      <c r="BK85" s="235"/>
      <c r="BL85" s="136"/>
      <c r="BM85" s="136"/>
    </row>
    <row r="86" spans="1:65" s="283" customFormat="1" ht="15" x14ac:dyDescent="0.25">
      <c r="A86" s="187"/>
      <c r="B86" s="201"/>
      <c r="C86" s="235"/>
      <c r="D86" s="235"/>
      <c r="E86" s="136"/>
      <c r="F86" s="291"/>
      <c r="G86" s="292"/>
      <c r="H86" s="238"/>
      <c r="I86" s="238"/>
      <c r="J86" s="235"/>
      <c r="K86" s="136"/>
      <c r="L86" s="238"/>
      <c r="M86" s="235"/>
      <c r="N86" s="235"/>
      <c r="O86" s="235"/>
      <c r="P86" s="235"/>
      <c r="Q86" s="235"/>
      <c r="R86" s="294"/>
      <c r="S86" s="235"/>
      <c r="T86" s="214"/>
      <c r="U86" s="216"/>
      <c r="V86" s="205"/>
      <c r="W86" s="216"/>
      <c r="X86" s="205"/>
      <c r="Y86" s="216"/>
      <c r="Z86" s="205"/>
      <c r="AA86" s="216"/>
      <c r="AB86" s="205"/>
      <c r="AC86" s="216"/>
      <c r="AD86" s="207"/>
      <c r="AE86" s="216"/>
      <c r="AF86" s="205"/>
      <c r="AG86" s="216"/>
      <c r="AH86" s="216"/>
      <c r="AI86" s="216"/>
      <c r="AJ86" s="207"/>
      <c r="AK86" s="216"/>
      <c r="AL86" s="207"/>
      <c r="AM86" s="208"/>
      <c r="AN86" s="210"/>
      <c r="AO86" s="210"/>
      <c r="AP86" s="210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35"/>
      <c r="BH86" s="210"/>
      <c r="BI86" s="210"/>
      <c r="BJ86" s="238"/>
      <c r="BK86" s="235"/>
      <c r="BL86" s="136"/>
      <c r="BM86" s="136"/>
    </row>
    <row r="87" spans="1:65" s="283" customFormat="1" ht="15" x14ac:dyDescent="0.25">
      <c r="A87" s="187"/>
      <c r="B87" s="201"/>
      <c r="C87" s="235"/>
      <c r="D87" s="235"/>
      <c r="E87" s="136"/>
      <c r="F87" s="291"/>
      <c r="G87" s="292"/>
      <c r="H87" s="238"/>
      <c r="I87" s="238"/>
      <c r="J87" s="235"/>
      <c r="K87" s="136"/>
      <c r="L87" s="238"/>
      <c r="M87" s="235"/>
      <c r="N87" s="235"/>
      <c r="O87" s="235"/>
      <c r="P87" s="235"/>
      <c r="Q87" s="235"/>
      <c r="R87" s="294"/>
      <c r="S87" s="235"/>
      <c r="T87" s="214"/>
      <c r="U87" s="216"/>
      <c r="V87" s="205"/>
      <c r="W87" s="216"/>
      <c r="X87" s="205"/>
      <c r="Y87" s="216"/>
      <c r="Z87" s="205"/>
      <c r="AA87" s="216"/>
      <c r="AB87" s="205"/>
      <c r="AC87" s="216"/>
      <c r="AD87" s="207"/>
      <c r="AE87" s="216"/>
      <c r="AF87" s="205"/>
      <c r="AG87" s="216"/>
      <c r="AH87" s="216"/>
      <c r="AI87" s="216"/>
      <c r="AJ87" s="207"/>
      <c r="AK87" s="216"/>
      <c r="AL87" s="205"/>
      <c r="AM87" s="208"/>
      <c r="AN87" s="210"/>
      <c r="AO87" s="210"/>
      <c r="AP87" s="210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35"/>
      <c r="BH87" s="210"/>
      <c r="BI87" s="210"/>
      <c r="BJ87" s="238"/>
      <c r="BK87" s="235"/>
      <c r="BL87" s="136"/>
      <c r="BM87" s="136"/>
    </row>
    <row r="88" spans="1:65" s="283" customFormat="1" ht="15" x14ac:dyDescent="0.25">
      <c r="A88" s="187"/>
      <c r="B88" s="202"/>
      <c r="C88" s="235"/>
      <c r="D88" s="235"/>
      <c r="E88" s="136"/>
      <c r="F88" s="291"/>
      <c r="G88" s="292"/>
      <c r="H88" s="198"/>
      <c r="I88" s="238"/>
      <c r="J88" s="187"/>
      <c r="K88" s="136"/>
      <c r="L88" s="238"/>
      <c r="M88" s="235"/>
      <c r="N88" s="235"/>
      <c r="O88" s="235"/>
      <c r="P88" s="235"/>
      <c r="Q88" s="235"/>
      <c r="R88" s="235"/>
      <c r="S88" s="235"/>
      <c r="T88" s="214"/>
      <c r="U88" s="204"/>
      <c r="V88" s="207"/>
      <c r="W88" s="204"/>
      <c r="X88" s="207"/>
      <c r="Y88" s="204"/>
      <c r="Z88" s="207"/>
      <c r="AA88" s="204"/>
      <c r="AB88" s="207"/>
      <c r="AC88" s="204"/>
      <c r="AD88" s="207"/>
      <c r="AE88" s="204"/>
      <c r="AF88" s="205"/>
      <c r="AG88" s="204"/>
      <c r="AH88" s="216"/>
      <c r="AI88" s="216"/>
      <c r="AJ88" s="207"/>
      <c r="AK88" s="216"/>
      <c r="AL88" s="207"/>
      <c r="AM88" s="208"/>
      <c r="AN88" s="210"/>
      <c r="AO88" s="210"/>
      <c r="AP88" s="210"/>
      <c r="AQ88" s="210"/>
      <c r="AR88" s="210"/>
      <c r="AS88" s="210"/>
      <c r="AT88" s="209"/>
      <c r="AU88" s="210"/>
      <c r="AV88" s="210"/>
      <c r="AW88" s="210"/>
      <c r="AX88" s="209"/>
      <c r="AY88" s="210"/>
      <c r="AZ88" s="210"/>
      <c r="BA88" s="209"/>
      <c r="BB88" s="210"/>
      <c r="BC88" s="210"/>
      <c r="BD88" s="210"/>
      <c r="BE88" s="210"/>
      <c r="BF88" s="210"/>
      <c r="BG88" s="235"/>
      <c r="BH88" s="210"/>
      <c r="BI88" s="210"/>
      <c r="BJ88" s="238"/>
      <c r="BK88" s="235"/>
      <c r="BL88" s="136"/>
      <c r="BM88" s="136"/>
    </row>
    <row r="89" spans="1:65" s="283" customFormat="1" ht="15" x14ac:dyDescent="0.25">
      <c r="A89" s="187"/>
      <c r="B89" s="202"/>
      <c r="C89" s="235"/>
      <c r="D89" s="235"/>
      <c r="E89" s="136"/>
      <c r="F89" s="291"/>
      <c r="G89" s="292"/>
      <c r="H89" s="238"/>
      <c r="I89" s="238"/>
      <c r="J89" s="235"/>
      <c r="K89" s="136"/>
      <c r="L89" s="238"/>
      <c r="M89" s="235"/>
      <c r="N89" s="235"/>
      <c r="O89" s="187"/>
      <c r="P89" s="235"/>
      <c r="Q89" s="235"/>
      <c r="R89" s="294"/>
      <c r="S89" s="235"/>
      <c r="T89" s="26"/>
      <c r="U89" s="204"/>
      <c r="V89" s="207"/>
      <c r="W89" s="204"/>
      <c r="X89" s="207"/>
      <c r="Y89" s="204"/>
      <c r="Z89" s="207"/>
      <c r="AA89" s="204"/>
      <c r="AB89" s="207"/>
      <c r="AC89" s="204"/>
      <c r="AD89" s="207"/>
      <c r="AE89" s="204"/>
      <c r="AF89" s="207"/>
      <c r="AG89" s="204"/>
      <c r="AH89" s="216"/>
      <c r="AI89" s="216"/>
      <c r="AJ89" s="207"/>
      <c r="AK89" s="216"/>
      <c r="AL89" s="207"/>
      <c r="AM89" s="208"/>
      <c r="AN89" s="210"/>
      <c r="AO89" s="210"/>
      <c r="AP89" s="210"/>
      <c r="AQ89" s="210"/>
      <c r="AR89" s="210"/>
      <c r="AS89" s="209"/>
      <c r="AT89" s="209"/>
      <c r="AU89" s="210"/>
      <c r="AV89" s="210"/>
      <c r="AW89" s="210"/>
      <c r="AX89" s="209"/>
      <c r="AY89" s="210"/>
      <c r="AZ89" s="210"/>
      <c r="BA89" s="210"/>
      <c r="BB89" s="210"/>
      <c r="BC89" s="210"/>
      <c r="BD89" s="210"/>
      <c r="BE89" s="210"/>
      <c r="BF89" s="210"/>
      <c r="BG89" s="235"/>
      <c r="BH89" s="210"/>
      <c r="BI89" s="210"/>
      <c r="BJ89" s="238"/>
      <c r="BK89" s="235"/>
      <c r="BL89" s="136"/>
      <c r="BM89" s="136"/>
    </row>
    <row r="90" spans="1:65" s="122" customFormat="1" ht="15" x14ac:dyDescent="0.25">
      <c r="A90" s="187"/>
      <c r="B90" s="185"/>
      <c r="C90" s="123"/>
      <c r="D90" s="187"/>
      <c r="E90" s="199"/>
      <c r="F90" s="293"/>
      <c r="G90" s="292"/>
      <c r="H90" s="198"/>
      <c r="I90" s="198"/>
      <c r="J90" s="187"/>
      <c r="K90" s="199"/>
      <c r="L90" s="198"/>
      <c r="M90" s="187"/>
      <c r="N90" s="187"/>
      <c r="O90" s="187"/>
      <c r="P90" s="187"/>
      <c r="Q90" s="187"/>
      <c r="R90" s="293"/>
      <c r="S90" s="187"/>
      <c r="T90" s="203"/>
      <c r="U90" s="204"/>
      <c r="V90" s="205"/>
      <c r="W90" s="204"/>
      <c r="X90" s="205"/>
      <c r="Y90" s="204"/>
      <c r="Z90" s="205"/>
      <c r="AA90" s="204"/>
      <c r="AB90" s="205"/>
      <c r="AC90" s="204"/>
      <c r="AD90" s="205"/>
      <c r="AE90" s="204"/>
      <c r="AF90" s="205"/>
      <c r="AG90" s="208"/>
      <c r="AH90" s="204"/>
      <c r="AI90" s="204"/>
      <c r="AJ90" s="205"/>
      <c r="AK90" s="204"/>
      <c r="AL90" s="205"/>
      <c r="AM90" s="208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187"/>
      <c r="BH90" s="209"/>
      <c r="BI90" s="209"/>
      <c r="BJ90" s="198"/>
      <c r="BK90" s="187"/>
      <c r="BL90" s="199"/>
      <c r="BM90" s="199"/>
    </row>
    <row r="91" spans="1:65" s="122" customFormat="1" ht="15" x14ac:dyDescent="0.25">
      <c r="A91" s="187"/>
      <c r="B91" s="201"/>
      <c r="C91" s="235"/>
      <c r="D91" s="235"/>
      <c r="E91" s="136"/>
      <c r="F91" s="291"/>
      <c r="G91" s="292"/>
      <c r="H91" s="198"/>
      <c r="I91" s="238"/>
      <c r="J91" s="235"/>
      <c r="K91" s="136"/>
      <c r="L91" s="238"/>
      <c r="M91" s="235"/>
      <c r="N91" s="235"/>
      <c r="O91" s="235"/>
      <c r="P91" s="235"/>
      <c r="Q91" s="235"/>
      <c r="R91" s="294"/>
      <c r="S91" s="235"/>
      <c r="T91" s="214"/>
      <c r="U91" s="216"/>
      <c r="V91" s="205"/>
      <c r="W91" s="216"/>
      <c r="X91" s="205"/>
      <c r="Y91" s="216"/>
      <c r="Z91" s="205"/>
      <c r="AA91" s="216"/>
      <c r="AB91" s="205"/>
      <c r="AC91" s="216"/>
      <c r="AD91" s="207"/>
      <c r="AE91" s="216"/>
      <c r="AF91" s="205"/>
      <c r="AG91" s="216"/>
      <c r="AH91" s="216"/>
      <c r="AI91" s="216"/>
      <c r="AJ91" s="207"/>
      <c r="AK91" s="216"/>
      <c r="AL91" s="205"/>
      <c r="AM91" s="208"/>
      <c r="AN91" s="210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35"/>
      <c r="BH91" s="210"/>
      <c r="BI91" s="210"/>
      <c r="BJ91" s="238"/>
      <c r="BK91" s="187"/>
      <c r="BL91" s="136"/>
      <c r="BM91" s="136"/>
    </row>
    <row r="92" spans="1:65" s="283" customFormat="1" ht="15" x14ac:dyDescent="0.25">
      <c r="A92" s="187"/>
      <c r="B92" s="202"/>
      <c r="C92" s="235"/>
      <c r="D92" s="235"/>
      <c r="E92" s="136"/>
      <c r="F92" s="291"/>
      <c r="G92" s="292"/>
      <c r="H92" s="238"/>
      <c r="I92" s="238"/>
      <c r="J92" s="235"/>
      <c r="K92" s="136"/>
      <c r="L92" s="238"/>
      <c r="M92" s="235"/>
      <c r="N92" s="235"/>
      <c r="O92" s="235"/>
      <c r="P92" s="235"/>
      <c r="Q92" s="235"/>
      <c r="R92" s="294"/>
      <c r="S92" s="235"/>
      <c r="T92" s="26"/>
      <c r="U92" s="204"/>
      <c r="V92" s="207"/>
      <c r="W92" s="204"/>
      <c r="X92" s="207"/>
      <c r="Y92" s="204"/>
      <c r="Z92" s="207"/>
      <c r="AA92" s="204"/>
      <c r="AB92" s="207"/>
      <c r="AC92" s="204"/>
      <c r="AD92" s="207"/>
      <c r="AE92" s="204"/>
      <c r="AF92" s="207"/>
      <c r="AG92" s="204"/>
      <c r="AH92" s="216"/>
      <c r="AI92" s="216"/>
      <c r="AJ92" s="207"/>
      <c r="AK92" s="216"/>
      <c r="AL92" s="207"/>
      <c r="AM92" s="208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09"/>
      <c r="AY92" s="210"/>
      <c r="AZ92" s="210"/>
      <c r="BA92" s="210"/>
      <c r="BB92" s="210"/>
      <c r="BC92" s="210"/>
      <c r="BD92" s="210"/>
      <c r="BE92" s="210"/>
      <c r="BF92" s="209"/>
      <c r="BG92" s="235"/>
      <c r="BH92" s="210"/>
      <c r="BI92" s="210"/>
      <c r="BJ92" s="238"/>
      <c r="BK92" s="235"/>
      <c r="BL92" s="136"/>
      <c r="BM92" s="136"/>
    </row>
    <row r="93" spans="1:65" s="283" customFormat="1" ht="15" x14ac:dyDescent="0.25">
      <c r="A93" s="187"/>
      <c r="B93" s="202"/>
      <c r="C93" s="235"/>
      <c r="D93" s="235"/>
      <c r="E93" s="136"/>
      <c r="F93" s="291"/>
      <c r="G93" s="292"/>
      <c r="H93" s="238"/>
      <c r="I93" s="238"/>
      <c r="J93" s="235"/>
      <c r="K93" s="136"/>
      <c r="L93" s="238"/>
      <c r="M93" s="235"/>
      <c r="N93" s="235"/>
      <c r="O93" s="235"/>
      <c r="P93" s="235"/>
      <c r="Q93" s="235"/>
      <c r="R93" s="235"/>
      <c r="S93" s="187"/>
      <c r="T93" s="26"/>
      <c r="U93" s="204"/>
      <c r="V93" s="207"/>
      <c r="W93" s="204"/>
      <c r="X93" s="207"/>
      <c r="Y93" s="204"/>
      <c r="Z93" s="207"/>
      <c r="AA93" s="204"/>
      <c r="AB93" s="207"/>
      <c r="AC93" s="204"/>
      <c r="AD93" s="207"/>
      <c r="AE93" s="204"/>
      <c r="AF93" s="207"/>
      <c r="AG93" s="204"/>
      <c r="AH93" s="216"/>
      <c r="AI93" s="216"/>
      <c r="AJ93" s="207"/>
      <c r="AK93" s="216"/>
      <c r="AL93" s="205"/>
      <c r="AM93" s="208"/>
      <c r="AN93" s="210"/>
      <c r="AO93" s="210"/>
      <c r="AP93" s="210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187"/>
      <c r="BH93" s="210"/>
      <c r="BI93" s="210"/>
      <c r="BJ93" s="238"/>
      <c r="BK93" s="235"/>
      <c r="BL93" s="136"/>
      <c r="BM93" s="136"/>
    </row>
    <row r="94" spans="1:65" s="122" customFormat="1" ht="15" x14ac:dyDescent="0.25">
      <c r="A94" s="187"/>
      <c r="B94" s="185"/>
      <c r="C94" s="235"/>
      <c r="D94" s="235"/>
      <c r="E94" s="136"/>
      <c r="F94" s="291"/>
      <c r="G94" s="292"/>
      <c r="H94" s="238"/>
      <c r="I94" s="238"/>
      <c r="J94" s="235"/>
      <c r="K94" s="199"/>
      <c r="L94" s="238"/>
      <c r="M94" s="235"/>
      <c r="N94" s="235"/>
      <c r="O94" s="235"/>
      <c r="P94" s="235"/>
      <c r="Q94" s="235"/>
      <c r="R94" s="235"/>
      <c r="S94" s="187"/>
      <c r="T94" s="214"/>
      <c r="U94" s="204"/>
      <c r="V94" s="207"/>
      <c r="W94" s="204"/>
      <c r="X94" s="207"/>
      <c r="Y94" s="216"/>
      <c r="Z94" s="207"/>
      <c r="AA94" s="216"/>
      <c r="AB94" s="207"/>
      <c r="AC94" s="216"/>
      <c r="AD94" s="207"/>
      <c r="AE94" s="216"/>
      <c r="AF94" s="205"/>
      <c r="AG94" s="216"/>
      <c r="AH94" s="204"/>
      <c r="AI94" s="204"/>
      <c r="AJ94" s="207"/>
      <c r="AK94" s="216"/>
      <c r="AL94" s="205"/>
      <c r="AM94" s="208"/>
      <c r="AN94" s="210"/>
      <c r="AO94" s="209"/>
      <c r="AP94" s="209"/>
      <c r="AQ94" s="210"/>
      <c r="AR94" s="210"/>
      <c r="AS94" s="210"/>
      <c r="AT94" s="210"/>
      <c r="AU94" s="210"/>
      <c r="AV94" s="210"/>
      <c r="AW94" s="210"/>
      <c r="AX94" s="209"/>
      <c r="AY94" s="210"/>
      <c r="AZ94" s="210"/>
      <c r="BA94" s="210"/>
      <c r="BB94" s="210"/>
      <c r="BC94" s="210"/>
      <c r="BD94" s="210"/>
      <c r="BE94" s="210"/>
      <c r="BF94" s="210"/>
      <c r="BG94" s="235"/>
      <c r="BH94" s="210"/>
      <c r="BI94" s="210"/>
      <c r="BJ94" s="198"/>
      <c r="BK94" s="187"/>
      <c r="BL94" s="136"/>
      <c r="BM94" s="136"/>
    </row>
    <row r="95" spans="1:65" s="283" customFormat="1" ht="15" x14ac:dyDescent="0.25">
      <c r="A95" s="187"/>
      <c r="B95" s="185"/>
      <c r="C95" s="235"/>
      <c r="D95" s="235"/>
      <c r="E95" s="136"/>
      <c r="F95" s="291"/>
      <c r="G95" s="292"/>
      <c r="H95" s="238"/>
      <c r="I95" s="238"/>
      <c r="J95" s="235"/>
      <c r="K95" s="136"/>
      <c r="L95" s="238"/>
      <c r="M95" s="235"/>
      <c r="N95" s="235"/>
      <c r="O95" s="235"/>
      <c r="P95" s="235"/>
      <c r="Q95" s="235"/>
      <c r="R95" s="235"/>
      <c r="S95" s="187"/>
      <c r="T95" s="215"/>
      <c r="U95" s="216"/>
      <c r="V95" s="207"/>
      <c r="W95" s="216"/>
      <c r="X95" s="207"/>
      <c r="Y95" s="216"/>
      <c r="Z95" s="207"/>
      <c r="AA95" s="216"/>
      <c r="AB95" s="207"/>
      <c r="AC95" s="216"/>
      <c r="AD95" s="207"/>
      <c r="AE95" s="216"/>
      <c r="AF95" s="207"/>
      <c r="AG95" s="216"/>
      <c r="AH95" s="216"/>
      <c r="AI95" s="216"/>
      <c r="AJ95" s="207"/>
      <c r="AK95" s="216"/>
      <c r="AL95" s="205"/>
      <c r="AM95" s="208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09"/>
      <c r="AY95" s="210"/>
      <c r="AZ95" s="210"/>
      <c r="BA95" s="210"/>
      <c r="BB95" s="210"/>
      <c r="BC95" s="210"/>
      <c r="BD95" s="210"/>
      <c r="BE95" s="210"/>
      <c r="BF95" s="210"/>
      <c r="BG95" s="235"/>
      <c r="BH95" s="210"/>
      <c r="BI95" s="210"/>
      <c r="BJ95" s="238"/>
      <c r="BK95" s="235"/>
      <c r="BL95" s="136"/>
      <c r="BM95" s="136"/>
    </row>
    <row r="96" spans="1:65" s="283" customFormat="1" ht="15" x14ac:dyDescent="0.25">
      <c r="A96" s="187"/>
      <c r="B96" s="201"/>
      <c r="C96" s="235"/>
      <c r="D96" s="235"/>
      <c r="E96" s="136"/>
      <c r="F96" s="291"/>
      <c r="G96" s="292"/>
      <c r="H96" s="238"/>
      <c r="I96" s="238"/>
      <c r="J96" s="235"/>
      <c r="K96" s="136"/>
      <c r="L96" s="238"/>
      <c r="M96" s="235"/>
      <c r="N96" s="235"/>
      <c r="O96" s="235"/>
      <c r="P96" s="235"/>
      <c r="Q96" s="235"/>
      <c r="R96" s="294"/>
      <c r="S96" s="235"/>
      <c r="T96" s="26"/>
      <c r="U96" s="216"/>
      <c r="V96" s="205"/>
      <c r="W96" s="216"/>
      <c r="X96" s="205"/>
      <c r="Y96" s="216"/>
      <c r="Z96" s="205"/>
      <c r="AA96" s="216"/>
      <c r="AB96" s="205"/>
      <c r="AC96" s="216"/>
      <c r="AD96" s="207"/>
      <c r="AE96" s="216"/>
      <c r="AF96" s="205"/>
      <c r="AG96" s="216"/>
      <c r="AH96" s="216"/>
      <c r="AI96" s="216"/>
      <c r="AJ96" s="207"/>
      <c r="AK96" s="216"/>
      <c r="AL96" s="207"/>
      <c r="AM96" s="208"/>
      <c r="AN96" s="210"/>
      <c r="AO96" s="210"/>
      <c r="AP96" s="210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35"/>
      <c r="BH96" s="210"/>
      <c r="BI96" s="210"/>
      <c r="BJ96" s="238"/>
      <c r="BK96" s="187"/>
      <c r="BL96" s="136"/>
      <c r="BM96" s="136"/>
    </row>
    <row r="97" spans="1:65" s="283" customFormat="1" ht="15" x14ac:dyDescent="0.25">
      <c r="A97" s="187"/>
      <c r="B97" s="212"/>
      <c r="C97" s="187"/>
      <c r="D97" s="187"/>
      <c r="E97" s="199"/>
      <c r="F97" s="291"/>
      <c r="G97" s="292"/>
      <c r="H97" s="198"/>
      <c r="I97" s="198"/>
      <c r="J97" s="187"/>
      <c r="K97" s="199"/>
      <c r="L97" s="198"/>
      <c r="M97" s="187"/>
      <c r="N97" s="187"/>
      <c r="O97" s="187"/>
      <c r="P97" s="187"/>
      <c r="Q97" s="187"/>
      <c r="R97" s="187"/>
      <c r="S97" s="187"/>
      <c r="T97" s="203"/>
      <c r="U97" s="204"/>
      <c r="V97" s="205"/>
      <c r="W97" s="204"/>
      <c r="X97" s="205"/>
      <c r="Y97" s="204"/>
      <c r="Z97" s="205"/>
      <c r="AA97" s="204"/>
      <c r="AB97" s="205"/>
      <c r="AC97" s="204"/>
      <c r="AD97" s="205"/>
      <c r="AE97" s="204"/>
      <c r="AF97" s="205"/>
      <c r="AG97" s="204"/>
      <c r="AH97" s="216"/>
      <c r="AI97" s="216"/>
      <c r="AJ97" s="205"/>
      <c r="AK97" s="216"/>
      <c r="AL97" s="207"/>
      <c r="AM97" s="208"/>
      <c r="AN97" s="209"/>
      <c r="AO97" s="210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187"/>
      <c r="BH97" s="209"/>
      <c r="BI97" s="209"/>
      <c r="BJ97" s="238"/>
      <c r="BK97" s="235"/>
      <c r="BL97" s="235"/>
      <c r="BM97" s="136"/>
    </row>
    <row r="98" spans="1:65" s="283" customFormat="1" ht="15" x14ac:dyDescent="0.25">
      <c r="A98" s="187"/>
      <c r="B98" s="201"/>
      <c r="C98" s="187"/>
      <c r="D98" s="187"/>
      <c r="E98" s="199"/>
      <c r="F98" s="294"/>
      <c r="G98" s="292"/>
      <c r="H98" s="198"/>
      <c r="I98" s="198"/>
      <c r="J98" s="187"/>
      <c r="K98" s="199"/>
      <c r="L98" s="198"/>
      <c r="M98" s="187"/>
      <c r="N98" s="187"/>
      <c r="O98" s="187"/>
      <c r="P98" s="187"/>
      <c r="Q98" s="187"/>
      <c r="R98" s="187"/>
      <c r="S98" s="187"/>
      <c r="T98" s="224"/>
      <c r="U98" s="204"/>
      <c r="V98" s="205"/>
      <c r="W98" s="204"/>
      <c r="X98" s="205"/>
      <c r="Y98" s="204"/>
      <c r="Z98" s="205"/>
      <c r="AA98" s="204"/>
      <c r="AB98" s="205"/>
      <c r="AC98" s="204"/>
      <c r="AD98" s="207"/>
      <c r="AE98" s="204"/>
      <c r="AF98" s="205"/>
      <c r="AG98" s="216"/>
      <c r="AH98" s="216"/>
      <c r="AI98" s="216"/>
      <c r="AJ98" s="207"/>
      <c r="AK98" s="216"/>
      <c r="AL98" s="207"/>
      <c r="AM98" s="208"/>
      <c r="AN98" s="210"/>
      <c r="AO98" s="212"/>
      <c r="AP98" s="212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35"/>
      <c r="BH98" s="210"/>
      <c r="BI98" s="210"/>
      <c r="BJ98" s="238"/>
      <c r="BK98" s="235"/>
      <c r="BL98" s="136"/>
      <c r="BM98" s="136"/>
    </row>
    <row r="99" spans="1:65" s="283" customFormat="1" ht="15" x14ac:dyDescent="0.25">
      <c r="A99" s="235"/>
      <c r="B99" s="212"/>
      <c r="C99" s="235"/>
      <c r="D99" s="235"/>
      <c r="E99" s="136"/>
      <c r="F99" s="291"/>
      <c r="G99" s="292"/>
      <c r="H99" s="238"/>
      <c r="I99" s="238"/>
      <c r="J99" s="235"/>
      <c r="K99" s="136"/>
      <c r="L99" s="238"/>
      <c r="M99" s="235"/>
      <c r="N99" s="235"/>
      <c r="O99" s="235"/>
      <c r="P99" s="235"/>
      <c r="Q99" s="235"/>
      <c r="R99" s="235"/>
      <c r="S99" s="235"/>
      <c r="T99" s="26"/>
      <c r="U99" s="216"/>
      <c r="V99" s="207"/>
      <c r="W99" s="216"/>
      <c r="X99" s="207"/>
      <c r="Y99" s="216"/>
      <c r="Z99" s="207"/>
      <c r="AA99" s="216"/>
      <c r="AB99" s="207"/>
      <c r="AC99" s="216"/>
      <c r="AD99" s="207"/>
      <c r="AE99" s="216"/>
      <c r="AF99" s="207"/>
      <c r="AG99" s="216"/>
      <c r="AH99" s="216"/>
      <c r="AI99" s="216"/>
      <c r="AJ99" s="207"/>
      <c r="AK99" s="216"/>
      <c r="AL99" s="207"/>
      <c r="AM99" s="208"/>
      <c r="AN99" s="210"/>
      <c r="AO99" s="210"/>
      <c r="AP99" s="210"/>
      <c r="AQ99" s="210"/>
      <c r="AR99" s="210"/>
      <c r="AS99" s="210"/>
      <c r="AT99" s="210"/>
      <c r="AU99" s="209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35"/>
      <c r="BH99" s="210"/>
      <c r="BI99" s="210"/>
      <c r="BJ99" s="238"/>
      <c r="BK99" s="235"/>
      <c r="BL99" s="235"/>
      <c r="BM99" s="136"/>
    </row>
    <row r="100" spans="1:65" s="283" customFormat="1" ht="15" x14ac:dyDescent="0.25">
      <c r="A100" s="235"/>
      <c r="B100" s="200"/>
      <c r="C100" s="235"/>
      <c r="D100" s="235"/>
      <c r="E100" s="136"/>
      <c r="F100" s="291"/>
      <c r="G100" s="292"/>
      <c r="H100" s="238"/>
      <c r="I100" s="238"/>
      <c r="J100" s="235"/>
      <c r="K100" s="136"/>
      <c r="L100" s="238"/>
      <c r="M100" s="235"/>
      <c r="N100" s="235"/>
      <c r="O100" s="235"/>
      <c r="P100" s="235"/>
      <c r="Q100" s="235"/>
      <c r="R100" s="294"/>
      <c r="S100" s="235"/>
      <c r="T100" s="26"/>
      <c r="U100" s="216"/>
      <c r="V100" s="207"/>
      <c r="W100" s="216"/>
      <c r="X100" s="207"/>
      <c r="Y100" s="216"/>
      <c r="Z100" s="207"/>
      <c r="AA100" s="216"/>
      <c r="AB100" s="207"/>
      <c r="AC100" s="216"/>
      <c r="AD100" s="207"/>
      <c r="AE100" s="216"/>
      <c r="AF100" s="220"/>
      <c r="AG100" s="221"/>
      <c r="AH100" s="216"/>
      <c r="AI100" s="216"/>
      <c r="AJ100" s="207"/>
      <c r="AK100" s="216"/>
      <c r="AL100" s="207"/>
      <c r="AM100" s="208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35"/>
      <c r="BH100" s="210"/>
      <c r="BI100" s="210"/>
      <c r="BJ100" s="238"/>
      <c r="BK100" s="235"/>
      <c r="BL100" s="136"/>
      <c r="BM100" s="136"/>
    </row>
    <row r="101" spans="1:65" s="283" customFormat="1" ht="15" x14ac:dyDescent="0.25">
      <c r="A101" s="235"/>
      <c r="B101" s="201"/>
      <c r="C101" s="235"/>
      <c r="D101" s="235"/>
      <c r="E101" s="136"/>
      <c r="F101" s="291"/>
      <c r="G101" s="292"/>
      <c r="H101" s="238"/>
      <c r="I101" s="238"/>
      <c r="J101" s="235"/>
      <c r="K101" s="136"/>
      <c r="L101" s="238"/>
      <c r="M101" s="235"/>
      <c r="N101" s="235"/>
      <c r="O101" s="235"/>
      <c r="P101" s="235"/>
      <c r="Q101" s="235"/>
      <c r="R101" s="294"/>
      <c r="S101" s="235"/>
      <c r="T101" s="26"/>
      <c r="U101" s="216"/>
      <c r="V101" s="207"/>
      <c r="W101" s="216"/>
      <c r="X101" s="207"/>
      <c r="Y101" s="216"/>
      <c r="Z101" s="207"/>
      <c r="AA101" s="216"/>
      <c r="AB101" s="207"/>
      <c r="AC101" s="216"/>
      <c r="AD101" s="207"/>
      <c r="AE101" s="216"/>
      <c r="AF101" s="206"/>
      <c r="AG101" s="221"/>
      <c r="AH101" s="216"/>
      <c r="AI101" s="216"/>
      <c r="AJ101" s="207"/>
      <c r="AK101" s="216"/>
      <c r="AL101" s="207"/>
      <c r="AM101" s="208"/>
      <c r="AN101" s="210"/>
      <c r="AO101" s="210"/>
      <c r="AP101" s="210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35"/>
      <c r="BH101" s="210"/>
      <c r="BI101" s="210"/>
      <c r="BJ101" s="238"/>
      <c r="BK101" s="187"/>
      <c r="BL101" s="136"/>
      <c r="BM101" s="136"/>
    </row>
    <row r="102" spans="1:65" s="122" customFormat="1" ht="15" x14ac:dyDescent="0.25">
      <c r="A102" s="235"/>
      <c r="B102" s="201"/>
      <c r="C102" s="123"/>
      <c r="D102" s="187"/>
      <c r="E102" s="199"/>
      <c r="F102" s="294"/>
      <c r="G102" s="292"/>
      <c r="H102" s="198"/>
      <c r="I102" s="198"/>
      <c r="J102" s="187"/>
      <c r="K102" s="199"/>
      <c r="L102" s="198"/>
      <c r="M102" s="187"/>
      <c r="N102" s="187"/>
      <c r="O102" s="187"/>
      <c r="P102" s="187"/>
      <c r="Q102" s="187"/>
      <c r="R102" s="293"/>
      <c r="S102" s="187"/>
      <c r="T102" s="224"/>
      <c r="U102" s="204"/>
      <c r="V102" s="205"/>
      <c r="W102" s="204"/>
      <c r="X102" s="205"/>
      <c r="Y102" s="204"/>
      <c r="Z102" s="205"/>
      <c r="AA102" s="204"/>
      <c r="AB102" s="205"/>
      <c r="AC102" s="204"/>
      <c r="AD102" s="205"/>
      <c r="AE102" s="204"/>
      <c r="AF102" s="206"/>
      <c r="AG102" s="204"/>
      <c r="AH102" s="204"/>
      <c r="AI102" s="204"/>
      <c r="AJ102" s="205"/>
      <c r="AK102" s="204"/>
      <c r="AL102" s="205"/>
      <c r="AM102" s="208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187"/>
      <c r="BH102" s="209"/>
      <c r="BI102" s="209"/>
      <c r="BJ102" s="198"/>
      <c r="BK102" s="187"/>
      <c r="BL102" s="199"/>
      <c r="BM102" s="199"/>
    </row>
    <row r="103" spans="1:65" s="283" customFormat="1" ht="15" x14ac:dyDescent="0.25">
      <c r="A103" s="235"/>
      <c r="B103" s="202"/>
      <c r="C103" s="235"/>
      <c r="D103" s="235"/>
      <c r="E103" s="136"/>
      <c r="F103" s="291"/>
      <c r="G103" s="292"/>
      <c r="H103" s="238"/>
      <c r="I103" s="238"/>
      <c r="J103" s="235"/>
      <c r="K103" s="136"/>
      <c r="L103" s="238"/>
      <c r="M103" s="235"/>
      <c r="N103" s="235"/>
      <c r="O103" s="235"/>
      <c r="P103" s="235"/>
      <c r="Q103" s="235"/>
      <c r="R103" s="235"/>
      <c r="S103" s="187"/>
      <c r="T103" s="26"/>
      <c r="U103" s="216"/>
      <c r="V103" s="207"/>
      <c r="W103" s="216"/>
      <c r="X103" s="207"/>
      <c r="Y103" s="216"/>
      <c r="Z103" s="207"/>
      <c r="AA103" s="216"/>
      <c r="AB103" s="207"/>
      <c r="AC103" s="216"/>
      <c r="AD103" s="207"/>
      <c r="AE103" s="216"/>
      <c r="AF103" s="207"/>
      <c r="AG103" s="216"/>
      <c r="AH103" s="216"/>
      <c r="AI103" s="216"/>
      <c r="AJ103" s="207"/>
      <c r="AK103" s="216"/>
      <c r="AL103" s="205"/>
      <c r="AM103" s="208"/>
      <c r="AN103" s="210"/>
      <c r="AO103" s="210"/>
      <c r="AP103" s="210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11"/>
      <c r="BG103" s="187"/>
      <c r="BH103" s="210"/>
      <c r="BI103" s="210"/>
      <c r="BJ103" s="238"/>
      <c r="BK103" s="235"/>
      <c r="BL103" s="136"/>
      <c r="BM103" s="136"/>
    </row>
    <row r="104" spans="1:65" s="283" customFormat="1" ht="15" x14ac:dyDescent="0.25">
      <c r="A104" s="235"/>
      <c r="B104" s="201"/>
      <c r="C104" s="187"/>
      <c r="D104" s="187"/>
      <c r="E104" s="199"/>
      <c r="F104" s="294"/>
      <c r="G104" s="292"/>
      <c r="H104" s="198"/>
      <c r="I104" s="198"/>
      <c r="J104" s="187"/>
      <c r="K104" s="199"/>
      <c r="L104" s="198"/>
      <c r="M104" s="187"/>
      <c r="N104" s="187"/>
      <c r="O104" s="187"/>
      <c r="P104" s="187"/>
      <c r="Q104" s="187"/>
      <c r="R104" s="187"/>
      <c r="S104" s="187"/>
      <c r="T104" s="224"/>
      <c r="U104" s="204"/>
      <c r="V104" s="205"/>
      <c r="W104" s="204"/>
      <c r="X104" s="207"/>
      <c r="Y104" s="204"/>
      <c r="Z104" s="207"/>
      <c r="AA104" s="204"/>
      <c r="AB104" s="205"/>
      <c r="AC104" s="204"/>
      <c r="AD104" s="207"/>
      <c r="AE104" s="204"/>
      <c r="AF104" s="206"/>
      <c r="AG104" s="221"/>
      <c r="AH104" s="216"/>
      <c r="AI104" s="216"/>
      <c r="AJ104" s="207"/>
      <c r="AK104" s="216"/>
      <c r="AL104" s="207"/>
      <c r="AM104" s="208"/>
      <c r="AN104" s="210"/>
      <c r="AO104" s="212"/>
      <c r="AP104" s="212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35"/>
      <c r="BH104" s="210"/>
      <c r="BI104" s="210"/>
      <c r="BJ104" s="238"/>
      <c r="BK104" s="235"/>
      <c r="BL104" s="136"/>
      <c r="BM104" s="136"/>
    </row>
    <row r="105" spans="1:65" s="122" customFormat="1" ht="15" x14ac:dyDescent="0.25">
      <c r="A105" s="235"/>
      <c r="B105" s="185"/>
      <c r="C105" s="235"/>
      <c r="D105" s="235"/>
      <c r="E105" s="136"/>
      <c r="F105" s="291"/>
      <c r="G105" s="292"/>
      <c r="H105" s="238"/>
      <c r="I105" s="238"/>
      <c r="J105" s="235"/>
      <c r="K105" s="136"/>
      <c r="L105" s="238"/>
      <c r="M105" s="235"/>
      <c r="N105" s="235"/>
      <c r="O105" s="235"/>
      <c r="P105" s="235"/>
      <c r="Q105" s="235"/>
      <c r="R105" s="235"/>
      <c r="S105" s="187"/>
      <c r="T105" s="214"/>
      <c r="U105" s="204"/>
      <c r="V105" s="207"/>
      <c r="W105" s="204"/>
      <c r="X105" s="207"/>
      <c r="Y105" s="216"/>
      <c r="Z105" s="207"/>
      <c r="AA105" s="216"/>
      <c r="AB105" s="207"/>
      <c r="AC105" s="216"/>
      <c r="AD105" s="207"/>
      <c r="AE105" s="216"/>
      <c r="AF105" s="220"/>
      <c r="AG105" s="221"/>
      <c r="AH105" s="204"/>
      <c r="AI105" s="204"/>
      <c r="AJ105" s="207"/>
      <c r="AK105" s="216"/>
      <c r="AL105" s="205"/>
      <c r="AM105" s="208"/>
      <c r="AN105" s="210"/>
      <c r="AO105" s="209"/>
      <c r="AP105" s="209"/>
      <c r="AQ105" s="210"/>
      <c r="AR105" s="210"/>
      <c r="AS105" s="210"/>
      <c r="AT105" s="210"/>
      <c r="AU105" s="210"/>
      <c r="AV105" s="210"/>
      <c r="AW105" s="210"/>
      <c r="AX105" s="209"/>
      <c r="AY105" s="210"/>
      <c r="AZ105" s="210"/>
      <c r="BA105" s="210"/>
      <c r="BB105" s="210"/>
      <c r="BC105" s="210"/>
      <c r="BD105" s="210"/>
      <c r="BE105" s="210"/>
      <c r="BF105" s="210"/>
      <c r="BG105" s="235"/>
      <c r="BH105" s="210"/>
      <c r="BI105" s="210"/>
      <c r="BJ105" s="198"/>
      <c r="BK105" s="187"/>
      <c r="BL105" s="136"/>
      <c r="BM105" s="136"/>
    </row>
    <row r="106" spans="1:65" s="283" customFormat="1" ht="15" x14ac:dyDescent="0.25">
      <c r="A106" s="235"/>
      <c r="B106" s="212"/>
      <c r="C106" s="235"/>
      <c r="D106" s="235"/>
      <c r="E106" s="242"/>
      <c r="F106" s="213"/>
      <c r="G106" s="199"/>
      <c r="H106" s="238"/>
      <c r="I106" s="238"/>
      <c r="J106" s="235"/>
      <c r="K106" s="136"/>
      <c r="L106" s="238"/>
      <c r="M106" s="235"/>
      <c r="N106" s="235"/>
      <c r="O106" s="235"/>
      <c r="P106" s="235"/>
      <c r="Q106" s="235"/>
      <c r="R106" s="235"/>
      <c r="S106" s="235"/>
      <c r="T106" s="214"/>
      <c r="U106" s="136"/>
      <c r="V106" s="215"/>
      <c r="W106" s="136"/>
      <c r="X106" s="215"/>
      <c r="Y106" s="136"/>
      <c r="Z106" s="215"/>
      <c r="AA106" s="136"/>
      <c r="AB106" s="215"/>
      <c r="AC106" s="136"/>
      <c r="AD106" s="243"/>
      <c r="AE106" s="136"/>
      <c r="AF106" s="215"/>
      <c r="AG106" s="136"/>
      <c r="AH106" s="136"/>
      <c r="AI106" s="136"/>
      <c r="AJ106" s="215"/>
      <c r="AK106" s="136"/>
      <c r="AL106" s="215"/>
      <c r="AM106" s="235"/>
      <c r="AN106" s="89"/>
      <c r="AO106" s="89"/>
      <c r="AP106" s="89"/>
      <c r="AQ106" s="244"/>
      <c r="AR106" s="244"/>
      <c r="AS106" s="244"/>
      <c r="AT106" s="244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295"/>
      <c r="BG106" s="235"/>
      <c r="BH106" s="89"/>
      <c r="BI106" s="89"/>
      <c r="BJ106" s="238"/>
      <c r="BK106" s="235"/>
      <c r="BL106" s="235"/>
      <c r="BM106" s="136"/>
    </row>
    <row r="107" spans="1:65" s="283" customFormat="1" x14ac:dyDescent="0.25">
      <c r="A107" s="235"/>
      <c r="B107" s="212"/>
      <c r="C107" s="235"/>
      <c r="D107" s="235"/>
      <c r="E107" s="242"/>
      <c r="F107" s="213"/>
      <c r="G107" s="199"/>
      <c r="H107" s="238"/>
      <c r="I107" s="238"/>
      <c r="J107" s="235"/>
      <c r="K107" s="136"/>
      <c r="L107" s="238"/>
      <c r="M107" s="235"/>
      <c r="N107" s="235"/>
      <c r="O107" s="235"/>
      <c r="P107" s="235"/>
      <c r="Q107" s="235"/>
      <c r="R107" s="235"/>
      <c r="S107" s="235"/>
      <c r="T107" s="214"/>
      <c r="U107" s="136"/>
      <c r="V107" s="215"/>
      <c r="W107" s="136"/>
      <c r="X107" s="215"/>
      <c r="Y107" s="136"/>
      <c r="Z107" s="215"/>
      <c r="AA107" s="136"/>
      <c r="AB107" s="215"/>
      <c r="AC107" s="136"/>
      <c r="AD107" s="243"/>
      <c r="AE107" s="136"/>
      <c r="AF107" s="215"/>
      <c r="AG107" s="136"/>
      <c r="AH107" s="136"/>
      <c r="AI107" s="136"/>
      <c r="AJ107" s="215"/>
      <c r="AK107" s="136"/>
      <c r="AL107" s="215"/>
      <c r="AM107" s="235"/>
      <c r="AN107" s="89"/>
      <c r="AO107" s="89"/>
      <c r="AP107" s="89"/>
      <c r="AQ107" s="89"/>
      <c r="AR107" s="245"/>
      <c r="AS107" s="245"/>
      <c r="AT107" s="245"/>
      <c r="AU107" s="245"/>
      <c r="AV107" s="245"/>
      <c r="AW107" s="245"/>
      <c r="AX107" s="245"/>
      <c r="AY107" s="245"/>
      <c r="AZ107" s="245"/>
      <c r="BA107" s="245"/>
      <c r="BB107" s="245"/>
      <c r="BC107" s="245"/>
      <c r="BD107" s="245"/>
      <c r="BE107" s="245"/>
      <c r="BF107" s="89"/>
      <c r="BG107" s="235"/>
      <c r="BH107" s="89"/>
      <c r="BI107" s="89"/>
      <c r="BJ107" s="238"/>
      <c r="BK107" s="235"/>
      <c r="BL107" s="235"/>
      <c r="BM107" s="136"/>
    </row>
    <row r="108" spans="1:65" s="283" customFormat="1" x14ac:dyDescent="0.25">
      <c r="A108" s="235"/>
      <c r="B108" s="212"/>
      <c r="C108" s="235"/>
      <c r="D108" s="235"/>
      <c r="E108" s="242"/>
      <c r="F108" s="213"/>
      <c r="G108" s="199"/>
      <c r="H108" s="238"/>
      <c r="I108" s="238"/>
      <c r="J108" s="235"/>
      <c r="K108" s="136"/>
      <c r="L108" s="238"/>
      <c r="M108" s="235"/>
      <c r="N108" s="235"/>
      <c r="O108" s="235"/>
      <c r="P108" s="235"/>
      <c r="Q108" s="235"/>
      <c r="R108" s="235"/>
      <c r="S108" s="235"/>
      <c r="T108" s="214"/>
      <c r="U108" s="136"/>
      <c r="V108" s="215"/>
      <c r="W108" s="136"/>
      <c r="X108" s="215"/>
      <c r="Y108" s="136"/>
      <c r="Z108" s="215"/>
      <c r="AA108" s="136"/>
      <c r="AB108" s="215"/>
      <c r="AC108" s="136"/>
      <c r="AD108" s="243"/>
      <c r="AE108" s="136"/>
      <c r="AF108" s="215"/>
      <c r="AG108" s="136"/>
      <c r="AH108" s="136"/>
      <c r="AI108" s="136"/>
      <c r="AJ108" s="215"/>
      <c r="AK108" s="136"/>
      <c r="AL108" s="215"/>
      <c r="AM108" s="235"/>
      <c r="AN108" s="89"/>
      <c r="AO108" s="89"/>
      <c r="AP108" s="89"/>
      <c r="AQ108" s="89"/>
      <c r="AR108" s="245"/>
      <c r="AS108" s="245"/>
      <c r="AT108" s="245"/>
      <c r="AU108" s="245"/>
      <c r="AV108" s="245"/>
      <c r="AW108" s="245"/>
      <c r="AX108" s="245"/>
      <c r="AY108" s="245"/>
      <c r="AZ108" s="245"/>
      <c r="BA108" s="245"/>
      <c r="BB108" s="245"/>
      <c r="BC108" s="245"/>
      <c r="BD108" s="245"/>
      <c r="BE108" s="245"/>
      <c r="BF108" s="89"/>
      <c r="BG108" s="235"/>
      <c r="BH108" s="89"/>
      <c r="BI108" s="89"/>
      <c r="BJ108" s="238"/>
      <c r="BK108" s="235"/>
      <c r="BL108" s="235"/>
      <c r="BM108" s="136"/>
    </row>
    <row r="109" spans="1:65" s="283" customFormat="1" x14ac:dyDescent="0.25">
      <c r="A109" s="235"/>
      <c r="B109" s="212"/>
      <c r="C109" s="235"/>
      <c r="D109" s="235"/>
      <c r="E109" s="242"/>
      <c r="F109" s="213"/>
      <c r="G109" s="199"/>
      <c r="H109" s="238"/>
      <c r="I109" s="238"/>
      <c r="J109" s="235"/>
      <c r="K109" s="136"/>
      <c r="L109" s="238"/>
      <c r="M109" s="235"/>
      <c r="N109" s="235"/>
      <c r="O109" s="235"/>
      <c r="P109" s="235"/>
      <c r="Q109" s="235"/>
      <c r="R109" s="235"/>
      <c r="S109" s="235"/>
      <c r="T109" s="214"/>
      <c r="U109" s="136"/>
      <c r="V109" s="215"/>
      <c r="W109" s="136"/>
      <c r="X109" s="215"/>
      <c r="Y109" s="136"/>
      <c r="Z109" s="215"/>
      <c r="AA109" s="136"/>
      <c r="AB109" s="215"/>
      <c r="AC109" s="136"/>
      <c r="AD109" s="243"/>
      <c r="AE109" s="136"/>
      <c r="AF109" s="215"/>
      <c r="AG109" s="136"/>
      <c r="AH109" s="136"/>
      <c r="AI109" s="136"/>
      <c r="AJ109" s="215"/>
      <c r="AK109" s="136"/>
      <c r="AL109" s="215"/>
      <c r="AM109" s="235"/>
      <c r="AN109" s="89"/>
      <c r="AO109" s="89"/>
      <c r="AP109" s="89"/>
      <c r="AQ109" s="89"/>
      <c r="AR109" s="245"/>
      <c r="AS109" s="245"/>
      <c r="AT109" s="245"/>
      <c r="AU109" s="245"/>
      <c r="AV109" s="245"/>
      <c r="AW109" s="245"/>
      <c r="AX109" s="245"/>
      <c r="AY109" s="245"/>
      <c r="AZ109" s="245"/>
      <c r="BA109" s="245"/>
      <c r="BB109" s="245"/>
      <c r="BC109" s="245"/>
      <c r="BD109" s="245"/>
      <c r="BE109" s="245"/>
      <c r="BF109" s="89"/>
      <c r="BG109" s="235"/>
      <c r="BH109" s="89"/>
      <c r="BI109" s="89"/>
      <c r="BJ109" s="238"/>
      <c r="BK109" s="235"/>
      <c r="BL109" s="235"/>
      <c r="BM109" s="136"/>
    </row>
    <row r="110" spans="1:65" s="283" customFormat="1" x14ac:dyDescent="0.25">
      <c r="A110" s="235"/>
      <c r="B110" s="212"/>
      <c r="C110" s="235"/>
      <c r="D110" s="235"/>
      <c r="E110" s="242"/>
      <c r="F110" s="213"/>
      <c r="G110" s="199"/>
      <c r="H110" s="238"/>
      <c r="I110" s="238"/>
      <c r="J110" s="235"/>
      <c r="K110" s="136"/>
      <c r="L110" s="238"/>
      <c r="M110" s="235"/>
      <c r="N110" s="235"/>
      <c r="O110" s="235"/>
      <c r="P110" s="235"/>
      <c r="Q110" s="235"/>
      <c r="R110" s="235"/>
      <c r="S110" s="235"/>
      <c r="T110" s="214"/>
      <c r="U110" s="136"/>
      <c r="V110" s="215"/>
      <c r="W110" s="136"/>
      <c r="X110" s="215"/>
      <c r="Y110" s="136"/>
      <c r="Z110" s="215"/>
      <c r="AA110" s="136"/>
      <c r="AB110" s="215"/>
      <c r="AC110" s="136"/>
      <c r="AD110" s="243"/>
      <c r="AE110" s="136"/>
      <c r="AF110" s="215"/>
      <c r="AG110" s="136"/>
      <c r="AH110" s="136"/>
      <c r="AI110" s="136"/>
      <c r="AJ110" s="215"/>
      <c r="AK110" s="136"/>
      <c r="AL110" s="215"/>
      <c r="AM110" s="235"/>
      <c r="AN110" s="89"/>
      <c r="AO110" s="89"/>
      <c r="AP110" s="89"/>
      <c r="AQ110" s="89"/>
      <c r="AR110" s="245"/>
      <c r="AS110" s="245"/>
      <c r="AT110" s="245"/>
      <c r="AU110" s="245"/>
      <c r="AV110" s="245"/>
      <c r="AW110" s="245"/>
      <c r="AX110" s="245"/>
      <c r="AY110" s="245"/>
      <c r="AZ110" s="245"/>
      <c r="BA110" s="245"/>
      <c r="BB110" s="245"/>
      <c r="BC110" s="245"/>
      <c r="BD110" s="245"/>
      <c r="BE110" s="245"/>
      <c r="BF110" s="89"/>
      <c r="BG110" s="235"/>
      <c r="BH110" s="89"/>
      <c r="BI110" s="89"/>
      <c r="BJ110" s="238"/>
      <c r="BK110" s="235"/>
      <c r="BL110" s="235"/>
      <c r="BM110" s="136"/>
    </row>
    <row r="111" spans="1:65" s="283" customFormat="1" ht="45" customHeight="1" x14ac:dyDescent="0.25">
      <c r="A111" s="315"/>
      <c r="B111" s="316"/>
      <c r="C111" s="316"/>
      <c r="D111" s="316"/>
      <c r="E111" s="316"/>
      <c r="F111" s="316"/>
      <c r="G111" s="316"/>
      <c r="H111" s="316"/>
      <c r="I111" s="316"/>
      <c r="J111" s="316"/>
      <c r="K111" s="317"/>
      <c r="L111" s="317"/>
      <c r="M111" s="317"/>
      <c r="N111" s="317"/>
      <c r="O111" s="317"/>
      <c r="P111" s="317"/>
      <c r="Q111" s="317"/>
      <c r="R111" s="317"/>
      <c r="S111" s="317"/>
      <c r="T111" s="318"/>
      <c r="U111" s="317"/>
      <c r="V111" s="317"/>
      <c r="W111" s="317"/>
      <c r="X111" s="317"/>
      <c r="Y111" s="317"/>
      <c r="Z111" s="317"/>
      <c r="AA111" s="317"/>
      <c r="AB111" s="317"/>
      <c r="AC111" s="317"/>
      <c r="AD111" s="319"/>
      <c r="AE111" s="317"/>
      <c r="AF111" s="317"/>
      <c r="AG111" s="317"/>
      <c r="AH111" s="317"/>
      <c r="AI111" s="317"/>
      <c r="AJ111" s="317"/>
      <c r="AK111" s="317"/>
      <c r="AL111" s="317"/>
      <c r="AM111" s="317"/>
      <c r="AN111" s="317"/>
      <c r="AO111" s="317"/>
      <c r="AP111" s="317"/>
      <c r="AQ111" s="317"/>
      <c r="AR111" s="317"/>
      <c r="AS111" s="317"/>
      <c r="AT111" s="317"/>
      <c r="AU111" s="317"/>
      <c r="AV111" s="317"/>
      <c r="AW111" s="317"/>
      <c r="AX111" s="317"/>
      <c r="AY111" s="317"/>
      <c r="AZ111" s="317"/>
      <c r="BA111" s="317"/>
      <c r="BB111" s="317"/>
      <c r="BC111" s="317"/>
      <c r="BD111" s="317"/>
      <c r="BE111" s="317"/>
      <c r="BF111" s="317"/>
      <c r="BG111" s="320"/>
      <c r="BJ111" s="236"/>
      <c r="BM111" s="140"/>
    </row>
    <row r="112" spans="1:65" s="283" customFormat="1" x14ac:dyDescent="0.25">
      <c r="B112" s="225"/>
      <c r="E112" s="246"/>
      <c r="F112" s="247"/>
      <c r="G112" s="219"/>
      <c r="H112" s="236"/>
      <c r="I112" s="236"/>
      <c r="K112" s="140"/>
      <c r="L112" s="236"/>
      <c r="T112" s="248"/>
      <c r="U112" s="140"/>
      <c r="V112" s="105"/>
      <c r="W112" s="140"/>
      <c r="X112" s="105"/>
      <c r="Y112" s="140"/>
      <c r="Z112" s="105"/>
      <c r="AA112" s="140"/>
      <c r="AB112" s="105"/>
      <c r="AC112" s="140"/>
      <c r="AD112" s="249"/>
      <c r="AE112" s="140"/>
      <c r="AF112" s="105"/>
      <c r="AG112" s="140"/>
      <c r="AH112" s="140"/>
      <c r="AI112" s="140"/>
      <c r="AJ112" s="105"/>
      <c r="AK112" s="140"/>
      <c r="AL112" s="105"/>
      <c r="AN112" s="250"/>
      <c r="AO112" s="250"/>
      <c r="AP112" s="250"/>
      <c r="AQ112" s="250"/>
      <c r="AR112" s="251"/>
      <c r="AS112" s="251"/>
      <c r="AT112" s="251"/>
      <c r="AU112" s="251"/>
      <c r="AV112" s="251"/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0"/>
      <c r="BH112" s="250"/>
      <c r="BI112" s="250"/>
      <c r="BJ112" s="236"/>
      <c r="BM112" s="140"/>
    </row>
    <row r="113" spans="2:65" s="283" customFormat="1" x14ac:dyDescent="0.25">
      <c r="B113" s="225"/>
      <c r="E113" s="246"/>
      <c r="F113" s="247"/>
      <c r="G113" s="219"/>
      <c r="H113" s="236"/>
      <c r="I113" s="236"/>
      <c r="K113" s="140"/>
      <c r="L113" s="236"/>
      <c r="T113" s="248"/>
      <c r="U113" s="140"/>
      <c r="V113" s="105"/>
      <c r="W113" s="140"/>
      <c r="X113" s="105"/>
      <c r="Y113" s="140"/>
      <c r="Z113" s="105"/>
      <c r="AA113" s="140"/>
      <c r="AB113" s="105"/>
      <c r="AC113" s="140"/>
      <c r="AD113" s="249"/>
      <c r="AE113" s="140"/>
      <c r="AF113" s="105"/>
      <c r="AG113" s="140"/>
      <c r="AH113" s="140"/>
      <c r="AI113" s="140"/>
      <c r="AJ113" s="105"/>
      <c r="AK113" s="140"/>
      <c r="AL113" s="105"/>
      <c r="AN113" s="250"/>
      <c r="AO113" s="250"/>
      <c r="AP113" s="250"/>
      <c r="AQ113" s="250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0"/>
      <c r="BH113" s="250"/>
      <c r="BI113" s="250"/>
      <c r="BJ113" s="236"/>
      <c r="BM113" s="140"/>
    </row>
    <row r="117" spans="2:65" x14ac:dyDescent="0.25">
      <c r="BJ117" s="263"/>
    </row>
  </sheetData>
  <autoFilter ref="A3:BM4" xr:uid="{F1473730-5071-4574-B087-A389F5A4F3C9}"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  <filterColumn colId="35" showButton="0"/>
    <filterColumn colId="37" showButton="0"/>
  </autoFilter>
  <mergeCells count="56">
    <mergeCell ref="BB1:BB2"/>
    <mergeCell ref="BC1:BC2"/>
    <mergeCell ref="BD1:BD2"/>
    <mergeCell ref="BE1:BE2"/>
    <mergeCell ref="BF1:BF2"/>
    <mergeCell ref="BL1:BL2"/>
    <mergeCell ref="BM1:BM2"/>
    <mergeCell ref="BG1:BG2"/>
    <mergeCell ref="BH1:BH2"/>
    <mergeCell ref="BI1:BI2"/>
    <mergeCell ref="BJ1:BJ2"/>
    <mergeCell ref="BK1:BK2"/>
    <mergeCell ref="AO1:AO2"/>
    <mergeCell ref="AP1:AP2"/>
    <mergeCell ref="AQ1:AQ2"/>
    <mergeCell ref="AZ1:AZ2"/>
    <mergeCell ref="BA1:BA2"/>
    <mergeCell ref="AR1:AR2"/>
    <mergeCell ref="AS1:AS2"/>
    <mergeCell ref="AT1:AT2"/>
    <mergeCell ref="AU1:AU2"/>
    <mergeCell ref="AV1:AV2"/>
    <mergeCell ref="AW1:AW2"/>
    <mergeCell ref="AX1:AX2"/>
    <mergeCell ref="AY1:AY2"/>
    <mergeCell ref="M1:M2"/>
    <mergeCell ref="N1:N2"/>
    <mergeCell ref="O1:O2"/>
    <mergeCell ref="AL1:AM2"/>
    <mergeCell ref="AN1:AN2"/>
    <mergeCell ref="H1:H2"/>
    <mergeCell ref="I1:I2"/>
    <mergeCell ref="J1:J2"/>
    <mergeCell ref="K1:K2"/>
    <mergeCell ref="L1:L2"/>
    <mergeCell ref="C1:C2"/>
    <mergeCell ref="D1:D2"/>
    <mergeCell ref="E1:E2"/>
    <mergeCell ref="F1:F2"/>
    <mergeCell ref="G1:G2"/>
    <mergeCell ref="A111:BG111"/>
    <mergeCell ref="P1:P2"/>
    <mergeCell ref="Q1:Q2"/>
    <mergeCell ref="AF1:AG2"/>
    <mergeCell ref="AH1:AI1"/>
    <mergeCell ref="AJ1:AK2"/>
    <mergeCell ref="R1:R2"/>
    <mergeCell ref="S1:S2"/>
    <mergeCell ref="T1:U2"/>
    <mergeCell ref="V1:W2"/>
    <mergeCell ref="X1:Y2"/>
    <mergeCell ref="Z1:AA2"/>
    <mergeCell ref="AB1:AC2"/>
    <mergeCell ref="AD1:AE2"/>
    <mergeCell ref="A1:A2"/>
    <mergeCell ref="B1:B2"/>
  </mergeCells>
  <conditionalFormatting sqref="AX100 U100 W100 Y100 AA100 AC100 AE100 AG100:AK100 AN100:AP100">
    <cfRule type="containsText" dxfId="685" priority="3420" operator="containsText" text="Vencido">
      <formula>NOT(ISERROR(SEARCH(("Vencido"),(U100))))</formula>
    </cfRule>
  </conditionalFormatting>
  <conditionalFormatting sqref="U100 AX100 W100 Y100 AA100 AC100 AE100 AG100:AK100 AN100:AP100">
    <cfRule type="colorScale" priority="34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AW100 AY100:BF100">
    <cfRule type="containsText" dxfId="684" priority="3418" operator="containsText" text="Vencido">
      <formula>NOT(ISERROR(SEARCH(("Vencido"),(AQ100))))</formula>
    </cfRule>
  </conditionalFormatting>
  <conditionalFormatting sqref="AQ100:AW100 AY100:BF100">
    <cfRule type="colorScale" priority="34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0">
    <cfRule type="containsText" dxfId="683" priority="3416" operator="containsText" text="Vencido">
      <formula>NOT(ISERROR(SEARCH(("Vencido"),(AX100))))</formula>
    </cfRule>
  </conditionalFormatting>
  <conditionalFormatting sqref="AX100">
    <cfRule type="colorScale" priority="34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0 W100 Y100 AA100 AC100 AE100">
    <cfRule type="containsText" dxfId="682" priority="3414" operator="containsText" text="Vencido">
      <formula>NOT(ISERROR(SEARCH(("Vencido"),(U100))))</formula>
    </cfRule>
  </conditionalFormatting>
  <conditionalFormatting sqref="U100 W100 Y100 AA100 AC100 AE100">
    <cfRule type="colorScale" priority="34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0">
    <cfRule type="containsText" dxfId="681" priority="3392" operator="containsText" text="Vencido">
      <formula>NOT(ISERROR(SEARCH(("Vencido"),(Y100))))</formula>
    </cfRule>
  </conditionalFormatting>
  <conditionalFormatting sqref="Y100">
    <cfRule type="colorScale" priority="33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0">
    <cfRule type="containsText" dxfId="680" priority="3390" operator="containsText" text="Vencido">
      <formula>NOT(ISERROR(SEARCH(("Vencido"),(AA100))))</formula>
    </cfRule>
  </conditionalFormatting>
  <conditionalFormatting sqref="AA100">
    <cfRule type="colorScale" priority="33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0">
    <cfRule type="containsText" dxfId="679" priority="3388" operator="containsText" text="Vencido">
      <formula>NOT(ISERROR(SEARCH(("Vencido"),(AC100))))</formula>
    </cfRule>
  </conditionalFormatting>
  <conditionalFormatting sqref="AC100">
    <cfRule type="colorScale" priority="33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0">
    <cfRule type="containsText" dxfId="678" priority="3386" operator="containsText" text="Vencido">
      <formula>NOT(ISERROR(SEARCH(("Vencido"),(AE100))))</formula>
    </cfRule>
  </conditionalFormatting>
  <conditionalFormatting sqref="AE100">
    <cfRule type="colorScale" priority="33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1:AP101 AX101 AG101:AK101">
    <cfRule type="containsText" dxfId="677" priority="3366" operator="containsText" text="Vencido">
      <formula>NOT(ISERROR(SEARCH(("Vencido"),(AG101))))</formula>
    </cfRule>
  </conditionalFormatting>
  <conditionalFormatting sqref="AN101:AP101 AX101 AG101:AK101">
    <cfRule type="colorScale" priority="33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AW101 AY101:BF101">
    <cfRule type="containsText" dxfId="676" priority="3364" operator="containsText" text="Vencido">
      <formula>NOT(ISERROR(SEARCH(("Vencido"),(AQ101))))</formula>
    </cfRule>
  </conditionalFormatting>
  <conditionalFormatting sqref="AQ101:AW101 AY101:BF101">
    <cfRule type="colorScale" priority="33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1">
    <cfRule type="containsText" dxfId="675" priority="3362" operator="containsText" text="Vencido">
      <formula>NOT(ISERROR(SEARCH(("Vencido"),(AX101))))</formula>
    </cfRule>
  </conditionalFormatting>
  <conditionalFormatting sqref="AX101">
    <cfRule type="colorScale" priority="33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674" priority="3360" operator="containsText" text="Vencido">
      <formula>NOT(ISERROR(SEARCH(("Vencido"),(AQ101))))</formula>
    </cfRule>
  </conditionalFormatting>
  <conditionalFormatting sqref="AQ101:BF101">
    <cfRule type="colorScale" priority="33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673" priority="3358" operator="containsText" text="Vencido">
      <formula>NOT(ISERROR(SEARCH(("Vencido"),(AQ101))))</formula>
    </cfRule>
  </conditionalFormatting>
  <conditionalFormatting sqref="AQ101:BF101">
    <cfRule type="colorScale" priority="33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72" priority="3338" operator="containsText" text="Vencido">
      <formula>NOT(ISERROR(SEARCH(("Vencido"),(Y101))))</formula>
    </cfRule>
  </conditionalFormatting>
  <conditionalFormatting sqref="Y101">
    <cfRule type="colorScale" priority="33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71" priority="3336" operator="containsText" text="Vencido">
      <formula>NOT(ISERROR(SEARCH(("Vencido"),(AA101))))</formula>
    </cfRule>
  </conditionalFormatting>
  <conditionalFormatting sqref="AA101">
    <cfRule type="colorScale" priority="33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70" priority="3334" operator="containsText" text="Vencido">
      <formula>NOT(ISERROR(SEARCH(("Vencido"),(AC101))))</formula>
    </cfRule>
  </conditionalFormatting>
  <conditionalFormatting sqref="AC101">
    <cfRule type="colorScale" priority="33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69" priority="3332" operator="containsText" text="Vencido">
      <formula>NOT(ISERROR(SEARCH(("Vencido"),(W101))))</formula>
    </cfRule>
  </conditionalFormatting>
  <conditionalFormatting sqref="W101">
    <cfRule type="colorScale" priority="33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68" priority="3330" operator="containsText" text="Vencido">
      <formula>NOT(ISERROR(SEARCH(("Vencido"),(Y101))))</formula>
    </cfRule>
  </conditionalFormatting>
  <conditionalFormatting sqref="Y101">
    <cfRule type="colorScale" priority="33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67" priority="3328" operator="containsText" text="Vencido">
      <formula>NOT(ISERROR(SEARCH(("Vencido"),(AA101))))</formula>
    </cfRule>
  </conditionalFormatting>
  <conditionalFormatting sqref="AA101">
    <cfRule type="colorScale" priority="3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66" priority="3326" operator="containsText" text="Vencido">
      <formula>NOT(ISERROR(SEARCH(("Vencido"),(AC101))))</formula>
    </cfRule>
  </conditionalFormatting>
  <conditionalFormatting sqref="AC101">
    <cfRule type="colorScale" priority="3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65" priority="3324" operator="containsText" text="Vencido">
      <formula>NOT(ISERROR(SEARCH(("Vencido"),(AE101))))</formula>
    </cfRule>
  </conditionalFormatting>
  <conditionalFormatting sqref="AE101">
    <cfRule type="colorScale" priority="3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664" priority="3322" operator="containsText" text="Vencido">
      <formula>NOT(ISERROR(SEARCH(("Vencido"),(U101))))</formula>
    </cfRule>
  </conditionalFormatting>
  <conditionalFormatting sqref="U101">
    <cfRule type="colorScale" priority="33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63" priority="3320" operator="containsText" text="Vencido">
      <formula>NOT(ISERROR(SEARCH(("Vencido"),(W101))))</formula>
    </cfRule>
  </conditionalFormatting>
  <conditionalFormatting sqref="W101">
    <cfRule type="colorScale" priority="33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62" priority="3318" operator="containsText" text="Vencido">
      <formula>NOT(ISERROR(SEARCH(("Vencido"),(Y101))))</formula>
    </cfRule>
  </conditionalFormatting>
  <conditionalFormatting sqref="Y101">
    <cfRule type="colorScale" priority="33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61" priority="3316" operator="containsText" text="Vencido">
      <formula>NOT(ISERROR(SEARCH(("Vencido"),(AA101))))</formula>
    </cfRule>
  </conditionalFormatting>
  <conditionalFormatting sqref="AA101">
    <cfRule type="colorScale" priority="33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60" priority="3314" operator="containsText" text="Vencido">
      <formula>NOT(ISERROR(SEARCH(("Vencido"),(AC101))))</formula>
    </cfRule>
  </conditionalFormatting>
  <conditionalFormatting sqref="AC101">
    <cfRule type="colorScale" priority="33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59" priority="3312" operator="containsText" text="Vencido">
      <formula>NOT(ISERROR(SEARCH(("Vencido"),(AE101))))</formula>
    </cfRule>
  </conditionalFormatting>
  <conditionalFormatting sqref="AE101">
    <cfRule type="colorScale" priority="33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658" priority="3310" operator="containsText" text="Vencido">
      <formula>NOT(ISERROR(SEARCH(("Vencido"),(U101))))</formula>
    </cfRule>
  </conditionalFormatting>
  <conditionalFormatting sqref="U101">
    <cfRule type="colorScale" priority="33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657" priority="3308" operator="containsText" text="Vencido">
      <formula>NOT(ISERROR(SEARCH(("Vencido"),(W101))))</formula>
    </cfRule>
  </conditionalFormatting>
  <conditionalFormatting sqref="W101">
    <cfRule type="colorScale" priority="3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656" priority="3306" operator="containsText" text="Vencido">
      <formula>NOT(ISERROR(SEARCH(("Vencido"),(Y101))))</formula>
    </cfRule>
  </conditionalFormatting>
  <conditionalFormatting sqref="Y101">
    <cfRule type="colorScale" priority="3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655" priority="3304" operator="containsText" text="Vencido">
      <formula>NOT(ISERROR(SEARCH(("Vencido"),(AA101))))</formula>
    </cfRule>
  </conditionalFormatting>
  <conditionalFormatting sqref="AA101">
    <cfRule type="colorScale" priority="3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654" priority="3302" operator="containsText" text="Vencido">
      <formula>NOT(ISERROR(SEARCH(("Vencido"),(AC101))))</formula>
    </cfRule>
  </conditionalFormatting>
  <conditionalFormatting sqref="AC101">
    <cfRule type="colorScale" priority="3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653" priority="3300" operator="containsText" text="Vencido">
      <formula>NOT(ISERROR(SEARCH(("Vencido"),(AE101))))</formula>
    </cfRule>
  </conditionalFormatting>
  <conditionalFormatting sqref="AE101">
    <cfRule type="colorScale" priority="3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3">
    <cfRule type="containsText" dxfId="652" priority="3259" operator="containsText" text="Vencido">
      <formula>NOT(ISERROR(SEARCH(("Vencido"),(BH103))))</formula>
    </cfRule>
  </conditionalFormatting>
  <conditionalFormatting sqref="BH103">
    <cfRule type="colorScale" priority="32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3">
    <cfRule type="containsText" dxfId="651" priority="3257" operator="containsText" text="Vencido">
      <formula>NOT(ISERROR(SEARCH(("Vencido"),(BI103))))</formula>
    </cfRule>
  </conditionalFormatting>
  <conditionalFormatting sqref="BI103">
    <cfRule type="colorScale" priority="32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3:BE103">
    <cfRule type="containsText" dxfId="650" priority="3255" operator="containsText" text="Vencido">
      <formula>NOT(ISERROR(SEARCH(("Vencido"),(AQ103))))</formula>
    </cfRule>
  </conditionalFormatting>
  <conditionalFormatting sqref="AQ103:BE103">
    <cfRule type="colorScale" priority="32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649" priority="3253" operator="containsText" text="Vencido">
      <formula>NOT(ISERROR(SEARCH(("Vencido"),(AQ104))))</formula>
    </cfRule>
  </conditionalFormatting>
  <conditionalFormatting sqref="AQ104:BF104">
    <cfRule type="colorScale" priority="32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648" priority="3251" operator="containsText" text="Vencido">
      <formula>NOT(ISERROR(SEARCH(("Vencido"),(AQ104))))</formula>
    </cfRule>
  </conditionalFormatting>
  <conditionalFormatting sqref="AQ104:BF104">
    <cfRule type="colorScale" priority="32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4">
    <cfRule type="containsText" dxfId="647" priority="3249" operator="containsText" text="Vencido">
      <formula>NOT(ISERROR(SEARCH(("Vencido"),(U104))))</formula>
    </cfRule>
  </conditionalFormatting>
  <conditionalFormatting sqref="U104">
    <cfRule type="colorScale" priority="3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4">
    <cfRule type="containsText" dxfId="646" priority="3247" operator="containsText" text="Vencido">
      <formula>NOT(ISERROR(SEARCH(("Vencido"),(W104))))</formula>
    </cfRule>
  </conditionalFormatting>
  <conditionalFormatting sqref="W104">
    <cfRule type="colorScale" priority="3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4">
    <cfRule type="containsText" dxfId="645" priority="3245" operator="containsText" text="Vencido">
      <formula>NOT(ISERROR(SEARCH(("Vencido"),(Y104))))</formula>
    </cfRule>
  </conditionalFormatting>
  <conditionalFormatting sqref="Y104">
    <cfRule type="colorScale" priority="3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4">
    <cfRule type="containsText" dxfId="644" priority="3243" operator="containsText" text="Vencido">
      <formula>NOT(ISERROR(SEARCH(("Vencido"),(AA104))))</formula>
    </cfRule>
  </conditionalFormatting>
  <conditionalFormatting sqref="AA104">
    <cfRule type="colorScale" priority="3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4">
    <cfRule type="containsText" dxfId="643" priority="3234" operator="containsText" text="Vencido">
      <formula>NOT(ISERROR(SEARCH(("Vencido"),(BH104))))</formula>
    </cfRule>
  </conditionalFormatting>
  <conditionalFormatting sqref="BH104">
    <cfRule type="colorScale" priority="32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79:BI79 W79 AN79:AX79 AZ79:BF79 AG79:AK79 Y79 AA79 AE79 U79 AC79">
    <cfRule type="colorScale" priority="2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1">
    <cfRule type="containsText" dxfId="642" priority="2258" operator="containsText" text="Vencido">
      <formula>NOT(ISERROR(SEARCH(("Vencido"),(AG81))))</formula>
    </cfRule>
  </conditionalFormatting>
  <conditionalFormatting sqref="AM79">
    <cfRule type="colorScale" priority="22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1">
    <cfRule type="colorScale" priority="2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41" priority="2233" operator="containsText" text="Vencido">
      <formula>NOT(ISERROR(SEARCH(("Vencido"),(BD80))))</formula>
    </cfRule>
  </conditionalFormatting>
  <conditionalFormatting sqref="BD80:BE80">
    <cfRule type="colorScale" priority="22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640" priority="2231" operator="containsText" text="Vencido">
      <formula>NOT(ISERROR(SEARCH(("Vencido"),(AT80))))</formula>
    </cfRule>
  </conditionalFormatting>
  <conditionalFormatting sqref="AY79">
    <cfRule type="containsText" dxfId="639" priority="2229" operator="containsText" text="Vencido">
      <formula>NOT(ISERROR(SEARCH(("Vencido"),(AY79))))</formula>
    </cfRule>
  </conditionalFormatting>
  <conditionalFormatting sqref="AY79">
    <cfRule type="colorScale" priority="22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0:AS80 AZ80:BC80 AU80:AX80">
    <cfRule type="containsText" dxfId="638" priority="2225" operator="containsText" text="Vencido">
      <formula>NOT(ISERROR(SEARCH(("Vencido"),(AQ80))))</formula>
    </cfRule>
  </conditionalFormatting>
  <conditionalFormatting sqref="AQ80:AS80 AZ80:BC80 AU80:AX80">
    <cfRule type="colorScale" priority="2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0:AS80 AZ80:BC80 AU80:AX80">
    <cfRule type="containsText" dxfId="637" priority="2223" operator="containsText" text="Vencido">
      <formula>NOT(ISERROR(SEARCH(("Vencido"),(AQ80))))</formula>
    </cfRule>
  </conditionalFormatting>
  <conditionalFormatting sqref="BH81:BI81 W81 AH81:AK81 U81 AA81 AC81 AE81 Y81">
    <cfRule type="colorScale" priority="2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:AP81">
    <cfRule type="containsText" dxfId="636" priority="2209" operator="containsText" text="Vencido">
      <formula>NOT(ISERROR(SEARCH(("Vencido"),(AM81))))</formula>
    </cfRule>
  </conditionalFormatting>
  <conditionalFormatting sqref="AM81:AP81">
    <cfRule type="colorScale" priority="2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1:AP81">
    <cfRule type="containsText" dxfId="635" priority="2207" operator="containsText" text="Vencido">
      <formula>NOT(ISERROR(SEARCH(("Vencido"),(AN81))))</formula>
    </cfRule>
  </conditionalFormatting>
  <conditionalFormatting sqref="AN81:AP81">
    <cfRule type="colorScale" priority="22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">
    <cfRule type="containsText" dxfId="634" priority="2205" operator="containsText" text="Vencido">
      <formula>NOT(ISERROR(SEARCH(("Vencido"),(AM81))))</formula>
    </cfRule>
  </conditionalFormatting>
  <conditionalFormatting sqref="AM81">
    <cfRule type="colorScale" priority="22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1:BE81">
    <cfRule type="containsText" dxfId="633" priority="2203" operator="containsText" text="Vencido">
      <formula>NOT(ISERROR(SEARCH(("Vencido"),(AQ81))))</formula>
    </cfRule>
  </conditionalFormatting>
  <conditionalFormatting sqref="AM85">
    <cfRule type="colorScale" priority="22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632" priority="2201" operator="containsText" text="Vencido">
      <formula>NOT(ISERROR(SEARCH(("Vencido"),(AM85))))</formula>
    </cfRule>
  </conditionalFormatting>
  <conditionalFormatting sqref="BH81">
    <cfRule type="colorScale" priority="22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1">
    <cfRule type="containsText" dxfId="631" priority="2199" operator="containsText" text="Vencido">
      <formula>NOT(ISERROR(SEARCH(("Vencido"),(BI81))))</formula>
    </cfRule>
  </conditionalFormatting>
  <conditionalFormatting sqref="AQ81:BE81">
    <cfRule type="containsText" dxfId="630" priority="2197" operator="containsText" text="Vencido">
      <formula>NOT(ISERROR(SEARCH(("Vencido"),(AQ81))))</formula>
    </cfRule>
  </conditionalFormatting>
  <conditionalFormatting sqref="AQ81:BE81">
    <cfRule type="colorScale" priority="21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ntainsText" dxfId="629" priority="2195" operator="containsText" text="Vencido">
      <formula>NOT(ISERROR(SEARCH(("Vencido"),(AN85))))</formula>
    </cfRule>
  </conditionalFormatting>
  <conditionalFormatting sqref="BC85:BF85">
    <cfRule type="containsText" dxfId="628" priority="2194" operator="containsText" text="Vencido">
      <formula>NOT(ISERROR(SEARCH(("Vencido"),(BC85))))</formula>
    </cfRule>
  </conditionalFormatting>
  <conditionalFormatting sqref="BC85:BF85">
    <cfRule type="colorScale" priority="21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27" priority="2192" operator="containsText" text="Vencido">
      <formula>NOT(ISERROR(SEARCH(("Vencido"),(BD80))))</formula>
    </cfRule>
  </conditionalFormatting>
  <conditionalFormatting sqref="AT80">
    <cfRule type="colorScale" priority="21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26" priority="2184" operator="containsText" text="Vencido">
      <formula>NOT(ISERROR(SEARCH(("Vencido"),(BH80))))</formula>
    </cfRule>
  </conditionalFormatting>
  <conditionalFormatting sqref="BI80">
    <cfRule type="colorScale" priority="21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lorScale" priority="21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ntainsText" dxfId="625" priority="2179" operator="containsText" text="Vencido">
      <formula>NOT(ISERROR(SEARCH(("Vencido"),(AM80))))</formula>
    </cfRule>
  </conditionalFormatting>
  <conditionalFormatting sqref="AQ82:BF82">
    <cfRule type="containsText" dxfId="624" priority="2177" operator="containsText" text="Vencido">
      <formula>NOT(ISERROR(SEARCH(("Vencido"),(AQ82))))</formula>
    </cfRule>
  </conditionalFormatting>
  <conditionalFormatting sqref="AE82">
    <cfRule type="colorScale" priority="21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2:BF82">
    <cfRule type="containsText" dxfId="623" priority="2175" operator="containsText" text="Vencido">
      <formula>NOT(ISERROR(SEARCH(("Vencido"),(AQ82))))</formula>
    </cfRule>
  </conditionalFormatting>
  <conditionalFormatting sqref="AQ82:BF82">
    <cfRule type="colorScale" priority="21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622" priority="2173" operator="containsText" text="Vencido">
      <formula>NOT(ISERROR(SEARCH(("Vencido"),(U82))))</formula>
    </cfRule>
  </conditionalFormatting>
  <conditionalFormatting sqref="AQ82:BF82">
    <cfRule type="colorScale" priority="21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ntainsText" dxfId="621" priority="2171" operator="containsText" text="Vencido">
      <formula>NOT(ISERROR(SEARCH(("Vencido"),(W82))))</formula>
    </cfRule>
  </conditionalFormatting>
  <conditionalFormatting sqref="U82">
    <cfRule type="colorScale" priority="21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620" priority="2166" operator="containsText" text="Vencido">
      <formula>NOT(ISERROR(SEARCH(("Vencido"),(AY80))))</formula>
    </cfRule>
  </conditionalFormatting>
  <conditionalFormatting sqref="BH80">
    <cfRule type="colorScale" priority="21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19" priority="2164" operator="containsText" text="Vencido">
      <formula>NOT(ISERROR(SEARCH(("Vencido"),(BH80))))</formula>
    </cfRule>
  </conditionalFormatting>
  <conditionalFormatting sqref="AY80">
    <cfRule type="colorScale" priority="21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618" priority="2162" operator="containsText" text="Vencido">
      <formula>NOT(ISERROR(SEARCH(("Vencido"),(AY80))))</formula>
    </cfRule>
  </conditionalFormatting>
  <conditionalFormatting sqref="AF80">
    <cfRule type="colorScale" priority="21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617" priority="2156" operator="containsText" text="Vencido">
      <formula>NOT(ISERROR(SEARCH(("Vencido"),(AF80))))</formula>
    </cfRule>
  </conditionalFormatting>
  <conditionalFormatting sqref="BF80">
    <cfRule type="colorScale" priority="21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0">
    <cfRule type="containsText" dxfId="616" priority="2154" operator="containsText" text="Vencido">
      <formula>NOT(ISERROR(SEARCH(("Vencido"),(BF80))))</formula>
    </cfRule>
  </conditionalFormatting>
  <conditionalFormatting sqref="BF80">
    <cfRule type="colorScale" priority="21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615" priority="2149" operator="containsText" text="Vencido">
      <formula>NOT(ISERROR(SEARCH(("Vencido"),(BD80))))</formula>
    </cfRule>
  </conditionalFormatting>
  <conditionalFormatting sqref="AQ80:AS80 AZ80:BC80 AU80:AX80">
    <cfRule type="colorScale" priority="21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K80">
    <cfRule type="containsText" dxfId="614" priority="2126" operator="containsText" text="Vencido">
      <formula>NOT(ISERROR(SEARCH(("Vencido"),(AH80))))</formula>
    </cfRule>
  </conditionalFormatting>
  <conditionalFormatting sqref="AH80:AK80">
    <cfRule type="colorScale" priority="21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containsText" dxfId="613" priority="2124" operator="containsText" text="Vencido">
      <formula>NOT(ISERROR(SEARCH(("Vencido"),(AM80))))</formula>
    </cfRule>
  </conditionalFormatting>
  <conditionalFormatting sqref="AM80">
    <cfRule type="colorScale" priority="21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612" priority="2120" operator="containsText" text="Vencido">
      <formula>NOT(ISERROR(SEARCH(("Vencido"),(Y82))))</formula>
    </cfRule>
  </conditionalFormatting>
  <conditionalFormatting sqref="W82">
    <cfRule type="colorScale" priority="21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611" priority="2118" operator="containsText" text="Vencido">
      <formula>NOT(ISERROR(SEARCH(("Vencido"),(BI80))))</formula>
    </cfRule>
  </conditionalFormatting>
  <conditionalFormatting sqref="BI80">
    <cfRule type="colorScale" priority="21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610" priority="2116" operator="containsText" text="Vencido">
      <formula>NOT(ISERROR(SEARCH(("Vencido"),(AN80))))</formula>
    </cfRule>
  </conditionalFormatting>
  <conditionalFormatting sqref="BI80">
    <cfRule type="containsText" dxfId="609" priority="2108" operator="containsText" text="Vencido">
      <formula>NOT(ISERROR(SEARCH(("Vencido"),(BI80))))</formula>
    </cfRule>
  </conditionalFormatting>
  <conditionalFormatting sqref="BI80">
    <cfRule type="colorScale" priority="21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608" priority="2106" operator="containsText" text="Vencido">
      <formula>NOT(ISERROR(SEARCH(("Vencido"),(BH80))))</formula>
    </cfRule>
  </conditionalFormatting>
  <conditionalFormatting sqref="BH80">
    <cfRule type="colorScale" priority="21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607" priority="2098" operator="containsText" text="Vencido">
      <formula>NOT(ISERROR(SEARCH(("Vencido"),(BI80))))</formula>
    </cfRule>
  </conditionalFormatting>
  <conditionalFormatting sqref="BI80">
    <cfRule type="colorScale" priority="20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J80">
    <cfRule type="containsText" dxfId="606" priority="2096" operator="containsText" text="Vencido">
      <formula>NOT(ISERROR(SEARCH(("Vencido"),(AH80))))</formula>
    </cfRule>
  </conditionalFormatting>
  <conditionalFormatting sqref="AH80:AJ80">
    <cfRule type="colorScale" priority="20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605" priority="2094" operator="containsText" text="Vencido">
      <formula>NOT(ISERROR(SEARCH(("Vencido"),(AN80))))</formula>
    </cfRule>
  </conditionalFormatting>
  <conditionalFormatting sqref="AN80:AS80 AZ80:BC80 AU80:AX80">
    <cfRule type="colorScale" priority="20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lorScale" priority="20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604" priority="2084" operator="containsText" text="Vencido">
      <formula>NOT(ISERROR(SEARCH(("Vencido"),(U82))))</formula>
    </cfRule>
  </conditionalFormatting>
  <conditionalFormatting sqref="Y86">
    <cfRule type="colorScale" priority="20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603" priority="2073" operator="containsText" text="Vencido">
      <formula>NOT(ISERROR(SEARCH(("Vencido"),(AT80))))</formula>
    </cfRule>
  </conditionalFormatting>
  <conditionalFormatting sqref="BH85">
    <cfRule type="colorScale" priority="20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602" priority="2059" operator="containsText" text="Vencido">
      <formula>NOT(ISERROR(SEARCH(("Vencido"),(BH85))))</formula>
    </cfRule>
  </conditionalFormatting>
  <conditionalFormatting sqref="BH85">
    <cfRule type="colorScale" priority="20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lorScale" priority="20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601" priority="2056" operator="containsText" text="Vencido">
      <formula>NOT(ISERROR(SEARCH(("Vencido"),(BI85))))</formula>
    </cfRule>
  </conditionalFormatting>
  <conditionalFormatting sqref="AE82">
    <cfRule type="containsText" dxfId="600" priority="2045" operator="containsText" text="Vencido">
      <formula>NOT(ISERROR(SEARCH(("Vencido"),(AE82))))</formula>
    </cfRule>
  </conditionalFormatting>
  <conditionalFormatting sqref="AC82">
    <cfRule type="colorScale" priority="20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ntainsText" dxfId="599" priority="2043" operator="containsText" text="Vencido">
      <formula>NOT(ISERROR(SEARCH(("Vencido"),(AN85))))</formula>
    </cfRule>
  </conditionalFormatting>
  <conditionalFormatting sqref="AN85:AP85">
    <cfRule type="colorScale" priority="20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598" priority="2041" operator="containsText" text="Vencido">
      <formula>NOT(ISERROR(SEARCH(("Vencido"),(AC82))))</formula>
    </cfRule>
  </conditionalFormatting>
  <conditionalFormatting sqref="W82 U82 Y82 AA82 AC82 AN82:BF82 AG82:AK82 AE82 BH82:BI82">
    <cfRule type="colorScale" priority="20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597" priority="2039" operator="containsText" text="Vencido">
      <formula>NOT(ISERROR(SEARCH(("Vencido"),(AM85))))</formula>
    </cfRule>
  </conditionalFormatting>
  <conditionalFormatting sqref="AN85:AP85">
    <cfRule type="colorScale" priority="20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">
    <cfRule type="containsText" dxfId="596" priority="2037" operator="containsText" text="Vencido">
      <formula>NOT(ISERROR(SEARCH(("Vencido"),(U82))))</formula>
    </cfRule>
  </conditionalFormatting>
  <conditionalFormatting sqref="U82">
    <cfRule type="colorScale" priority="20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595" priority="2034" operator="containsText" text="Vencido">
      <formula>NOT(ISERROR(SEARCH(("Vencido"),(BI85))))</formula>
    </cfRule>
  </conditionalFormatting>
  <conditionalFormatting sqref="AH85:AK85">
    <cfRule type="colorScale" priority="20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lorScale" priority="20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94" priority="2028" operator="containsText" text="Vencido">
      <formula>NOT(ISERROR(SEARCH(("Vencido"),(AQ91))))</formula>
    </cfRule>
  </conditionalFormatting>
  <conditionalFormatting sqref="AQ91:BF91">
    <cfRule type="colorScale" priority="20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7:BF87 AG87:AK87 BH87:BI87">
    <cfRule type="containsText" dxfId="593" priority="2026" operator="containsText" text="Vencido">
      <formula>NOT(ISERROR(SEARCH(("Vencido"),(AG87))))</formula>
    </cfRule>
  </conditionalFormatting>
  <conditionalFormatting sqref="AN87:BF87 AG87:AK87 BH87:BI87">
    <cfRule type="colorScale" priority="20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2" priority="2024" operator="containsText" text="Vencido">
      <formula>NOT(ISERROR(SEARCH(("Vencido"),(AQ87))))</formula>
    </cfRule>
  </conditionalFormatting>
  <conditionalFormatting sqref="AQ87:BF87">
    <cfRule type="colorScale" priority="20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1" priority="2022" operator="containsText" text="Vencido">
      <formula>NOT(ISERROR(SEARCH(("Vencido"),(AQ87))))</formula>
    </cfRule>
  </conditionalFormatting>
  <conditionalFormatting sqref="AQ87:BF87">
    <cfRule type="colorScale" priority="20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7:BF87">
    <cfRule type="containsText" dxfId="590" priority="2020" operator="containsText" text="Vencido">
      <formula>NOT(ISERROR(SEARCH(("Vencido"),(AQ87))))</formula>
    </cfRule>
  </conditionalFormatting>
  <conditionalFormatting sqref="AQ87:BF87">
    <cfRule type="colorScale" priority="20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2">
    <cfRule type="containsText" dxfId="589" priority="2006" operator="containsText" text="Vencido">
      <formula>NOT(ISERROR(SEARCH(("Vencido"),(AA82))))</formula>
    </cfRule>
  </conditionalFormatting>
  <conditionalFormatting sqref="AE86">
    <cfRule type="colorScale" priority="20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88" priority="2004" operator="containsText" text="Vencido">
      <formula>NOT(ISERROR(SEARCH(("Vencido"),(U86))))</formula>
    </cfRule>
  </conditionalFormatting>
  <conditionalFormatting sqref="U86">
    <cfRule type="colorScale" priority="20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87" priority="2002" operator="containsText" text="Vencido">
      <formula>NOT(ISERROR(SEARCH(("Vencido"),(W86))))</formula>
    </cfRule>
  </conditionalFormatting>
  <conditionalFormatting sqref="W86">
    <cfRule type="colorScale" priority="20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586" priority="2000" operator="containsText" text="Vencido">
      <formula>NOT(ISERROR(SEARCH(("Vencido"),(Y86))))</formula>
    </cfRule>
  </conditionalFormatting>
  <conditionalFormatting sqref="Y86">
    <cfRule type="colorScale" priority="19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585" priority="1984" operator="containsText" text="Vencido">
      <formula>NOT(ISERROR(SEARCH(("Vencido"),(AE87))))</formula>
    </cfRule>
  </conditionalFormatting>
  <conditionalFormatting sqref="AE87">
    <cfRule type="colorScale" priority="19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584" priority="1982" operator="containsText" text="Vencido">
      <formula>NOT(ISERROR(SEARCH(("Vencido"),(U87))))</formula>
    </cfRule>
  </conditionalFormatting>
  <conditionalFormatting sqref="U87">
    <cfRule type="colorScale" priority="19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4">
    <cfRule type="containsText" dxfId="583" priority="1980" operator="containsText" text="Vencido">
      <formula>NOT(ISERROR(SEARCH(("Vencido"),(AF84))))</formula>
    </cfRule>
  </conditionalFormatting>
  <conditionalFormatting sqref="AF84">
    <cfRule type="colorScale" priority="19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4">
    <cfRule type="containsText" dxfId="582" priority="1976" operator="containsText" text="Vencido">
      <formula>NOT(ISERROR(SEARCH(("Vencido"),(AO84))))</formula>
    </cfRule>
  </conditionalFormatting>
  <conditionalFormatting sqref="AO84">
    <cfRule type="colorScale" priority="19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4">
    <cfRule type="containsText" dxfId="581" priority="1974" operator="containsText" text="Vencido">
      <formula>NOT(ISERROR(SEARCH(("Vencido"),(BH84))))</formula>
    </cfRule>
  </conditionalFormatting>
  <conditionalFormatting sqref="BH84">
    <cfRule type="colorScale" priority="19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4">
    <cfRule type="containsText" dxfId="580" priority="1972" operator="containsText" text="Vencido">
      <formula>NOT(ISERROR(SEARCH(("Vencido"),(BI84))))</formula>
    </cfRule>
  </conditionalFormatting>
  <conditionalFormatting sqref="BI84">
    <cfRule type="colorScale" priority="19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5:AK85 AE85 AC85 AA85 Y85 W85 U85 BH85:BI85">
    <cfRule type="containsText" dxfId="579" priority="1969" operator="containsText" text="Vencido">
      <formula>NOT(ISERROR(SEARCH(("Vencido"),(U85))))</formula>
    </cfRule>
  </conditionalFormatting>
  <conditionalFormatting sqref="AG85:AK85 AE85 AC85 AA85 Y85 W85 U85 BH85:BI85">
    <cfRule type="colorScale" priority="19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578" priority="1967" operator="containsText" text="Vencido">
      <formula>NOT(ISERROR(SEARCH(("Vencido"),(AM85))))</formula>
    </cfRule>
  </conditionalFormatting>
  <conditionalFormatting sqref="AM85">
    <cfRule type="colorScale" priority="19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 BC85:BF85">
    <cfRule type="containsText" dxfId="577" priority="1965" operator="containsText" text="Vencido">
      <formula>NOT(ISERROR(SEARCH(("Vencido"),(AN85))))</formula>
    </cfRule>
  </conditionalFormatting>
  <conditionalFormatting sqref="AN85:AP85 BC85:BF85">
    <cfRule type="colorScale" priority="19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6" priority="1963" operator="containsText" text="Vencido">
      <formula>NOT(ISERROR(SEARCH(("Vencido"),(AF85))))</formula>
    </cfRule>
  </conditionalFormatting>
  <conditionalFormatting sqref="AF85">
    <cfRule type="colorScale" priority="19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5" priority="1961" operator="containsText" text="Vencido">
      <formula>NOT(ISERROR(SEARCH(("Vencido"),(AF85))))</formula>
    </cfRule>
  </conditionalFormatting>
  <conditionalFormatting sqref="AN85:AP85">
    <cfRule type="containsText" dxfId="574" priority="1956" operator="containsText" text="Vencido">
      <formula>NOT(ISERROR(SEARCH(("Vencido"),(AN85))))</formula>
    </cfRule>
  </conditionalFormatting>
  <conditionalFormatting sqref="BI85">
    <cfRule type="colorScale" priority="19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5:AK85">
    <cfRule type="containsText" dxfId="573" priority="1952" operator="containsText" text="Vencido">
      <formula>NOT(ISERROR(SEARCH(("Vencido"),(AH85))))</formula>
    </cfRule>
  </conditionalFormatting>
  <conditionalFormatting sqref="BC85:BF85">
    <cfRule type="containsText" dxfId="572" priority="1948" operator="containsText" text="Vencido">
      <formula>NOT(ISERROR(SEARCH(("Vencido"),(BC85))))</formula>
    </cfRule>
  </conditionalFormatting>
  <conditionalFormatting sqref="BC85:BF85">
    <cfRule type="colorScale" priority="19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5">
    <cfRule type="containsText" dxfId="571" priority="1946" operator="containsText" text="Vencido">
      <formula>NOT(ISERROR(SEARCH(("Vencido"),(AF85))))</formula>
    </cfRule>
  </conditionalFormatting>
  <conditionalFormatting sqref="AF85">
    <cfRule type="colorScale" priority="19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70" priority="1941" operator="containsText" text="Vencido">
      <formula>NOT(ISERROR(SEARCH(("Vencido"),(AQ85))))</formula>
    </cfRule>
  </conditionalFormatting>
  <conditionalFormatting sqref="AQ85:AX85">
    <cfRule type="colorScale" priority="19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69" priority="1939" operator="containsText" text="Vencido">
      <formula>NOT(ISERROR(SEARCH(("Vencido"),(AQ85))))</formula>
    </cfRule>
  </conditionalFormatting>
  <conditionalFormatting sqref="AQ85:AX85">
    <cfRule type="colorScale" priority="19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AX85">
    <cfRule type="containsText" dxfId="568" priority="1937" operator="containsText" text="Vencido">
      <formula>NOT(ISERROR(SEARCH(("Vencido"),(AQ85))))</formula>
    </cfRule>
  </conditionalFormatting>
  <conditionalFormatting sqref="AQ85:AX85">
    <cfRule type="colorScale" priority="19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567" priority="1935" operator="containsText" text="Vencido">
      <formula>NOT(ISERROR(SEARCH(("Vencido"),(AZ85))))</formula>
    </cfRule>
  </conditionalFormatting>
  <conditionalFormatting sqref="AZ85:BB85">
    <cfRule type="colorScale" priority="19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566" priority="1933" operator="containsText" text="Vencido">
      <formula>NOT(ISERROR(SEARCH(("Vencido"),(AZ85))))</formula>
    </cfRule>
  </conditionalFormatting>
  <conditionalFormatting sqref="AY85">
    <cfRule type="containsText" dxfId="565" priority="1927" operator="containsText" text="Vencido">
      <formula>NOT(ISERROR(SEARCH(("Vencido"),(AY85))))</formula>
    </cfRule>
  </conditionalFormatting>
  <conditionalFormatting sqref="AY85">
    <cfRule type="colorScale" priority="19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564" priority="1921" operator="containsText" text="Vencido">
      <formula>NOT(ISERROR(SEARCH(("Vencido"),(AQ86))))</formula>
    </cfRule>
  </conditionalFormatting>
  <conditionalFormatting sqref="AQ86:BF86">
    <cfRule type="colorScale" priority="19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63" priority="1915" operator="containsText" text="Vencido">
      <formula>NOT(ISERROR(SEARCH(("Vencido"),(U86))))</formula>
    </cfRule>
  </conditionalFormatting>
  <conditionalFormatting sqref="U86">
    <cfRule type="colorScale" priority="19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62" priority="1913" operator="containsText" text="Vencido">
      <formula>NOT(ISERROR(SEARCH(("Vencido"),(W86))))</formula>
    </cfRule>
  </conditionalFormatting>
  <conditionalFormatting sqref="W86">
    <cfRule type="colorScale" priority="19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561" priority="1909" operator="containsText" text="Vencido">
      <formula>NOT(ISERROR(SEARCH(("Vencido"),(AA86))))</formula>
    </cfRule>
  </conditionalFormatting>
  <conditionalFormatting sqref="AA86">
    <cfRule type="colorScale" priority="19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560" priority="1907" operator="containsText" text="Vencido">
      <formula>NOT(ISERROR(SEARCH(("Vencido"),(AC86))))</formula>
    </cfRule>
  </conditionalFormatting>
  <conditionalFormatting sqref="AC86">
    <cfRule type="colorScale" priority="19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559" priority="1905" operator="containsText" text="Vencido">
      <formula>NOT(ISERROR(SEARCH(("Vencido"),(AE86))))</formula>
    </cfRule>
  </conditionalFormatting>
  <conditionalFormatting sqref="AE86">
    <cfRule type="colorScale" priority="19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6">
    <cfRule type="containsText" dxfId="558" priority="1903" operator="containsText" text="Vencido">
      <formula>NOT(ISERROR(SEARCH(("Vencido"),(U86))))</formula>
    </cfRule>
  </conditionalFormatting>
  <conditionalFormatting sqref="U86">
    <cfRule type="colorScale" priority="19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6">
    <cfRule type="containsText" dxfId="557" priority="1901" operator="containsText" text="Vencido">
      <formula>NOT(ISERROR(SEARCH(("Vencido"),(W86))))</formula>
    </cfRule>
  </conditionalFormatting>
  <conditionalFormatting sqref="W86">
    <cfRule type="colorScale" priority="19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556" priority="1899" operator="containsText" text="Vencido">
      <formula>NOT(ISERROR(SEARCH(("Vencido"),(Y86))))</formula>
    </cfRule>
  </conditionalFormatting>
  <conditionalFormatting sqref="Y86">
    <cfRule type="colorScale" priority="18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555" priority="1897" operator="containsText" text="Vencido">
      <formula>NOT(ISERROR(SEARCH(("Vencido"),(AA86))))</formula>
    </cfRule>
  </conditionalFormatting>
  <conditionalFormatting sqref="AA86">
    <cfRule type="colorScale" priority="18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554" priority="1895" operator="containsText" text="Vencido">
      <formula>NOT(ISERROR(SEARCH(("Vencido"),(AC86))))</formula>
    </cfRule>
  </conditionalFormatting>
  <conditionalFormatting sqref="AC86">
    <cfRule type="colorScale" priority="18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553" priority="1893" operator="containsText" text="Vencido">
      <formula>NOT(ISERROR(SEARCH(("Vencido"),(AE86))))</formula>
    </cfRule>
  </conditionalFormatting>
  <conditionalFormatting sqref="AE86">
    <cfRule type="colorScale" priority="18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lorScale" priority="18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1">
    <cfRule type="containsText" dxfId="552" priority="1882" operator="containsText" text="Vencido">
      <formula>NOT(ISERROR(SEARCH(("Vencido"),(AC91))))</formula>
    </cfRule>
  </conditionalFormatting>
  <conditionalFormatting sqref="AC87">
    <cfRule type="containsText" dxfId="551" priority="1862" operator="containsText" text="Vencido">
      <formula>NOT(ISERROR(SEARCH(("Vencido"),(AC87))))</formula>
    </cfRule>
  </conditionalFormatting>
  <conditionalFormatting sqref="AC87">
    <cfRule type="colorScale" priority="18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550" priority="1860" operator="containsText" text="Vencido">
      <formula>NOT(ISERROR(SEARCH(("Vencido"),(AE87))))</formula>
    </cfRule>
  </conditionalFormatting>
  <conditionalFormatting sqref="AE87">
    <cfRule type="colorScale" priority="18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549" priority="1858" operator="containsText" text="Vencido">
      <formula>NOT(ISERROR(SEARCH(("Vencido"),(U87))))</formula>
    </cfRule>
  </conditionalFormatting>
  <conditionalFormatting sqref="U87">
    <cfRule type="colorScale" priority="18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548" priority="1856" operator="containsText" text="Vencido">
      <formula>NOT(ISERROR(SEARCH(("Vencido"),(W87))))</formula>
    </cfRule>
  </conditionalFormatting>
  <conditionalFormatting sqref="W87">
    <cfRule type="colorScale" priority="18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547" priority="1854" operator="containsText" text="Vencido">
      <formula>NOT(ISERROR(SEARCH(("Vencido"),(Y87))))</formula>
    </cfRule>
  </conditionalFormatting>
  <conditionalFormatting sqref="Y87">
    <cfRule type="colorScale" priority="18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546" priority="1852" operator="containsText" text="Vencido">
      <formula>NOT(ISERROR(SEARCH(("Vencido"),(AA87))))</formula>
    </cfRule>
  </conditionalFormatting>
  <conditionalFormatting sqref="AA87">
    <cfRule type="colorScale" priority="18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545" priority="1850" operator="containsText" text="Vencido">
      <formula>NOT(ISERROR(SEARCH(("Vencido"),(AC87))))</formula>
    </cfRule>
  </conditionalFormatting>
  <conditionalFormatting sqref="AC87">
    <cfRule type="colorScale" priority="18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containsText" dxfId="544" priority="1848" operator="containsText" text="Vencido">
      <formula>NOT(ISERROR(SEARCH(("Vencido"),(AM93))))</formula>
    </cfRule>
  </conditionalFormatting>
  <conditionalFormatting sqref="BH93">
    <cfRule type="colorScale" priority="18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8 Y88 AE88 AC88 AA88 U88 AG88:AK88">
    <cfRule type="containsText" dxfId="543" priority="1846" operator="containsText" text="Vencido">
      <formula>NOT(ISERROR(SEARCH(("Vencido"),(U88))))</formula>
    </cfRule>
  </conditionalFormatting>
  <conditionalFormatting sqref="Y88 W88 AE88 AC88 AA88 U88 AG88:AK88">
    <cfRule type="colorScale" priority="18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542" priority="1844" operator="containsText" text="Vencido">
      <formula>NOT(ISERROR(SEARCH(("Vencido"),(W87))))</formula>
    </cfRule>
  </conditionalFormatting>
  <conditionalFormatting sqref="W87">
    <cfRule type="colorScale" priority="18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541" priority="1842" operator="containsText" text="Vencido">
      <formula>NOT(ISERROR(SEARCH(("Vencido"),(Y87))))</formula>
    </cfRule>
  </conditionalFormatting>
  <conditionalFormatting sqref="Y87">
    <cfRule type="colorScale" priority="18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540" priority="1840" operator="containsText" text="Vencido">
      <formula>NOT(ISERROR(SEARCH(("Vencido"),(AA87))))</formula>
    </cfRule>
  </conditionalFormatting>
  <conditionalFormatting sqref="AA87">
    <cfRule type="colorScale" priority="18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539" priority="1838" operator="containsText" text="Vencido">
      <formula>NOT(ISERROR(SEARCH(("Vencido"),(AC87))))</formula>
    </cfRule>
  </conditionalFormatting>
  <conditionalFormatting sqref="AE87">
    <cfRule type="colorScale" priority="18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3">
    <cfRule type="containsText" dxfId="538" priority="1807" operator="containsText" text="Vencido">
      <formula>NOT(ISERROR(SEARCH(("Vencido"),(BH93))))</formula>
    </cfRule>
  </conditionalFormatting>
  <conditionalFormatting sqref="BI93">
    <cfRule type="colorScale" priority="18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8">
    <cfRule type="containsText" dxfId="537" priority="1805" operator="containsText" text="Vencido">
      <formula>NOT(ISERROR(SEARCH(("Vencido"),(AM88))))</formula>
    </cfRule>
  </conditionalFormatting>
  <conditionalFormatting sqref="AM88">
    <cfRule type="colorScale" priority="18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8:BF88">
    <cfRule type="containsText" dxfId="536" priority="1803" operator="containsText" text="Vencido">
      <formula>NOT(ISERROR(SEARCH(("Vencido"),(AN88))))</formula>
    </cfRule>
  </conditionalFormatting>
  <conditionalFormatting sqref="AN88:BF88">
    <cfRule type="colorScale" priority="18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8">
    <cfRule type="containsText" dxfId="535" priority="1801" operator="containsText" text="Vencido">
      <formula>NOT(ISERROR(SEARCH(("Vencido"),(AF88))))</formula>
    </cfRule>
  </conditionalFormatting>
  <conditionalFormatting sqref="AF88">
    <cfRule type="colorScale" priority="18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8">
    <cfRule type="containsText" dxfId="534" priority="1799" operator="containsText" text="Vencido">
      <formula>NOT(ISERROR(SEARCH(("Vencido"),(BH88))))</formula>
    </cfRule>
  </conditionalFormatting>
  <conditionalFormatting sqref="BH88">
    <cfRule type="colorScale" priority="17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8">
    <cfRule type="containsText" dxfId="533" priority="1797" operator="containsText" text="Vencido">
      <formula>NOT(ISERROR(SEARCH(("Vencido"),(BI88))))</formula>
    </cfRule>
  </conditionalFormatting>
  <conditionalFormatting sqref="BI88">
    <cfRule type="colorScale" priority="17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V89">
    <cfRule type="containsText" dxfId="532" priority="1789" operator="containsText" text="Vencido">
      <formula>NOT(ISERROR(SEARCH(("Vencido"),(AV89))))</formula>
    </cfRule>
  </conditionalFormatting>
  <conditionalFormatting sqref="AV89">
    <cfRule type="colorScale" priority="17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0:BF90 AE90:AK90 U90 W90 Y90 AA90 AC90 BH90:BI90">
    <cfRule type="containsText" dxfId="531" priority="1785" operator="containsText" text="Vencido">
      <formula>NOT(ISERROR(SEARCH(("Vencido"),(U90))))</formula>
    </cfRule>
  </conditionalFormatting>
  <conditionalFormatting sqref="AM90:BF90 AE90:AK90 U90 W90 Y90 AA90 AC90 BH90:BI90">
    <cfRule type="colorScale" priority="17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90 AN90:BD90">
    <cfRule type="containsText" dxfId="530" priority="1783" operator="containsText" text="Vencido">
      <formula>NOT(ISERROR(SEARCH(("Vencido"),(AN90))))</formula>
    </cfRule>
  </conditionalFormatting>
  <conditionalFormatting sqref="AN90:BD90 BF90">
    <cfRule type="colorScale" priority="17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0">
    <cfRule type="containsText" dxfId="529" priority="1781" operator="containsText" text="Vencido">
      <formula>NOT(ISERROR(SEARCH(("Vencido"),(BH90))))</formula>
    </cfRule>
  </conditionalFormatting>
  <conditionalFormatting sqref="BH90">
    <cfRule type="colorScale" priority="17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0">
    <cfRule type="containsText" dxfId="528" priority="1779" operator="containsText" text="Vencido">
      <formula>NOT(ISERROR(SEARCH(("Vencido"),(BI90))))</formula>
    </cfRule>
  </conditionalFormatting>
  <conditionalFormatting sqref="BI90">
    <cfRule type="colorScale" priority="17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1:BF91 AG91:AK91 BH91:BI91">
    <cfRule type="containsText" dxfId="527" priority="1775" operator="containsText" text="Vencido">
      <formula>NOT(ISERROR(SEARCH(("Vencido"),(AG91))))</formula>
    </cfRule>
  </conditionalFormatting>
  <conditionalFormatting sqref="AN91:BF91 AG91:AK91 BH91:BI91">
    <cfRule type="colorScale" priority="17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26" priority="1773" operator="containsText" text="Vencido">
      <formula>NOT(ISERROR(SEARCH(("Vencido"),(AQ91))))</formula>
    </cfRule>
  </conditionalFormatting>
  <conditionalFormatting sqref="AQ91:BF91">
    <cfRule type="colorScale" priority="17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1:BF91">
    <cfRule type="containsText" dxfId="525" priority="1771" operator="containsText" text="Vencido">
      <formula>NOT(ISERROR(SEARCH(("Vencido"),(AQ91))))</formula>
    </cfRule>
  </conditionalFormatting>
  <conditionalFormatting sqref="AE91">
    <cfRule type="colorScale" priority="17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1">
    <cfRule type="containsText" dxfId="524" priority="1769" operator="containsText" text="Vencido">
      <formula>NOT(ISERROR(SEARCH(("Vencido"),(U91))))</formula>
    </cfRule>
  </conditionalFormatting>
  <conditionalFormatting sqref="U91">
    <cfRule type="colorScale" priority="17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1">
    <cfRule type="containsText" dxfId="523" priority="1761" operator="containsText" text="Vencido">
      <formula>NOT(ISERROR(SEARCH(("Vencido"),(AC91))))</formula>
    </cfRule>
  </conditionalFormatting>
  <conditionalFormatting sqref="AG97:AK97 AE97 AC97 AA97 Y97 W97 U97">
    <cfRule type="colorScale" priority="17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2:BF92">
    <cfRule type="containsText" dxfId="522" priority="1747" operator="containsText" text="Vencido">
      <formula>NOT(ISERROR(SEARCH(("Vencido"),(AN92))))</formula>
    </cfRule>
  </conditionalFormatting>
  <conditionalFormatting sqref="AN92:BF92">
    <cfRule type="colorScale" priority="17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2">
    <cfRule type="containsText" dxfId="521" priority="1745" operator="containsText" text="Vencido">
      <formula>NOT(ISERROR(SEARCH(("Vencido"),(BH92))))</formula>
    </cfRule>
  </conditionalFormatting>
  <conditionalFormatting sqref="BH92">
    <cfRule type="colorScale" priority="17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2">
    <cfRule type="containsText" dxfId="520" priority="1743" operator="containsText" text="Vencido">
      <formula>NOT(ISERROR(SEARCH(("Vencido"),(BI92))))</formula>
    </cfRule>
  </conditionalFormatting>
  <conditionalFormatting sqref="BI92">
    <cfRule type="colorScale" priority="17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93">
    <cfRule type="containsText" dxfId="519" priority="1721" operator="containsText" text="Vencido">
      <formula>NOT(ISERROR(SEARCH(("Vencido"),(BF93))))</formula>
    </cfRule>
  </conditionalFormatting>
  <conditionalFormatting sqref="AF93">
    <cfRule type="colorScale" priority="17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5:BF95 U95 W95 Y95 AA95 AC95 AK95 AE95 AG95:AI95 BH95:BI95">
    <cfRule type="containsText" dxfId="518" priority="1717" operator="containsText" text="Vencido">
      <formula>NOT(ISERROR(SEARCH(("Vencido"),(U95))))</formula>
    </cfRule>
  </conditionalFormatting>
  <conditionalFormatting sqref="AN95:BF95 U95 W95 Y95 AA95 AC95 AK95 AE95 AG95:AI95 BH95:BI95">
    <cfRule type="colorScale" priority="17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4 W94 Y94 AA94 AC94 AN94:BF94 AK94 AE94 AG94:AI94 BH94:BI94">
    <cfRule type="containsText" dxfId="517" priority="1715" operator="containsText" text="Vencido">
      <formula>NOT(ISERROR(SEARCH(("Vencido"),(U94))))</formula>
    </cfRule>
  </conditionalFormatting>
  <conditionalFormatting sqref="U94 W94 Y94 AA94 AC94 AN94:BF94 AK94 AE94 AG94:AI94 BH94:BI94">
    <cfRule type="colorScale" priority="17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516" priority="1703" operator="containsText" text="Vencido">
      <formula>NOT(ISERROR(SEARCH(("Vencido"),(AQ96))))</formula>
    </cfRule>
  </conditionalFormatting>
  <conditionalFormatting sqref="AQ96:BF96">
    <cfRule type="colorScale" priority="17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15" priority="1701" operator="containsText" text="Vencido">
      <formula>NOT(ISERROR(SEARCH(("Vencido"),(U96))))</formula>
    </cfRule>
  </conditionalFormatting>
  <conditionalFormatting sqref="U96">
    <cfRule type="colorScale" priority="17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14" priority="1699" operator="containsText" text="Vencido">
      <formula>NOT(ISERROR(SEARCH(("Vencido"),(W96))))</formula>
    </cfRule>
  </conditionalFormatting>
  <conditionalFormatting sqref="W96">
    <cfRule type="colorScale" priority="16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513" priority="1697" operator="containsText" text="Vencido">
      <formula>NOT(ISERROR(SEARCH(("Vencido"),(Y96))))</formula>
    </cfRule>
  </conditionalFormatting>
  <conditionalFormatting sqref="Y96">
    <cfRule type="colorScale" priority="16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512" priority="1695" operator="containsText" text="Vencido">
      <formula>NOT(ISERROR(SEARCH(("Vencido"),(AA96))))</formula>
    </cfRule>
  </conditionalFormatting>
  <conditionalFormatting sqref="AA96">
    <cfRule type="colorScale" priority="16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11" priority="1693" operator="containsText" text="Vencido">
      <formula>NOT(ISERROR(SEARCH(("Vencido"),(AC96))))</formula>
    </cfRule>
  </conditionalFormatting>
  <conditionalFormatting sqref="AC96">
    <cfRule type="colorScale" priority="16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10" priority="1691" operator="containsText" text="Vencido">
      <formula>NOT(ISERROR(SEARCH(("Vencido"),(AE96))))</formula>
    </cfRule>
  </conditionalFormatting>
  <conditionalFormatting sqref="AE96">
    <cfRule type="colorScale" priority="16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09" priority="1689" operator="containsText" text="Vencido">
      <formula>NOT(ISERROR(SEARCH(("Vencido"),(U96))))</formula>
    </cfRule>
  </conditionalFormatting>
  <conditionalFormatting sqref="U96">
    <cfRule type="colorScale" priority="16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08" priority="1687" operator="containsText" text="Vencido">
      <formula>NOT(ISERROR(SEARCH(("Vencido"),(W96))))</formula>
    </cfRule>
  </conditionalFormatting>
  <conditionalFormatting sqref="W96">
    <cfRule type="colorScale" priority="16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07" priority="1681" operator="containsText" text="Vencido">
      <formula>NOT(ISERROR(SEARCH(("Vencido"),(AC96))))</formula>
    </cfRule>
  </conditionalFormatting>
  <conditionalFormatting sqref="AC96">
    <cfRule type="colorScale" priority="16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06" priority="1679" operator="containsText" text="Vencido">
      <formula>NOT(ISERROR(SEARCH(("Vencido"),(AE96))))</formula>
    </cfRule>
  </conditionalFormatting>
  <conditionalFormatting sqref="AE96">
    <cfRule type="colorScale" priority="16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505" priority="1677" operator="containsText" text="Vencido">
      <formula>NOT(ISERROR(SEARCH(("Vencido"),(U96))))</formula>
    </cfRule>
  </conditionalFormatting>
  <conditionalFormatting sqref="U96">
    <cfRule type="colorScale" priority="16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504" priority="1675" operator="containsText" text="Vencido">
      <formula>NOT(ISERROR(SEARCH(("Vencido"),(W96))))</formula>
    </cfRule>
  </conditionalFormatting>
  <conditionalFormatting sqref="W96">
    <cfRule type="colorScale" priority="16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503" priority="1673" operator="containsText" text="Vencido">
      <formula>NOT(ISERROR(SEARCH(("Vencido"),(Y96))))</formula>
    </cfRule>
  </conditionalFormatting>
  <conditionalFormatting sqref="Y96">
    <cfRule type="colorScale" priority="16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502" priority="1671" operator="containsText" text="Vencido">
      <formula>NOT(ISERROR(SEARCH(("Vencido"),(AA96))))</formula>
    </cfRule>
  </conditionalFormatting>
  <conditionalFormatting sqref="AA96">
    <cfRule type="colorScale" priority="16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501" priority="1669" operator="containsText" text="Vencido">
      <formula>NOT(ISERROR(SEARCH(("Vencido"),(AC96))))</formula>
    </cfRule>
  </conditionalFormatting>
  <conditionalFormatting sqref="AC96">
    <cfRule type="colorScale" priority="16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500" priority="1667" operator="containsText" text="Vencido">
      <formula>NOT(ISERROR(SEARCH(("Vencido"),(AE96))))</formula>
    </cfRule>
  </conditionalFormatting>
  <conditionalFormatting sqref="AE96">
    <cfRule type="colorScale" priority="16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499" priority="1665" operator="containsText" text="Vencido">
      <formula>NOT(ISERROR(SEARCH(("Vencido"),(U96))))</formula>
    </cfRule>
  </conditionalFormatting>
  <conditionalFormatting sqref="U96">
    <cfRule type="colorScale" priority="16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498" priority="1663" operator="containsText" text="Vencido">
      <formula>NOT(ISERROR(SEARCH(("Vencido"),(W96))))</formula>
    </cfRule>
  </conditionalFormatting>
  <conditionalFormatting sqref="W96">
    <cfRule type="colorScale" priority="16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497" priority="1661" operator="containsText" text="Vencido">
      <formula>NOT(ISERROR(SEARCH(("Vencido"),(Y96))))</formula>
    </cfRule>
  </conditionalFormatting>
  <conditionalFormatting sqref="Y96">
    <cfRule type="colorScale" priority="16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496" priority="1659" operator="containsText" text="Vencido">
      <formula>NOT(ISERROR(SEARCH(("Vencido"),(AA96))))</formula>
    </cfRule>
  </conditionalFormatting>
  <conditionalFormatting sqref="AA96">
    <cfRule type="colorScale" priority="16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495" priority="1657" operator="containsText" text="Vencido">
      <formula>NOT(ISERROR(SEARCH(("Vencido"),(AC96))))</formula>
    </cfRule>
  </conditionalFormatting>
  <conditionalFormatting sqref="AC96">
    <cfRule type="colorScale" priority="16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494" priority="1655" operator="containsText" text="Vencido">
      <formula>NOT(ISERROR(SEARCH(("Vencido"),(AE96))))</formula>
    </cfRule>
  </conditionalFormatting>
  <conditionalFormatting sqref="AE96">
    <cfRule type="colorScale" priority="16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6">
    <cfRule type="containsText" dxfId="493" priority="1653" operator="containsText" text="Vencido">
      <formula>NOT(ISERROR(SEARCH(("Vencido"),(U96))))</formula>
    </cfRule>
  </conditionalFormatting>
  <conditionalFormatting sqref="U96">
    <cfRule type="colorScale" priority="16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6">
    <cfRule type="containsText" dxfId="492" priority="1651" operator="containsText" text="Vencido">
      <formula>NOT(ISERROR(SEARCH(("Vencido"),(W96))))</formula>
    </cfRule>
  </conditionalFormatting>
  <conditionalFormatting sqref="W96">
    <cfRule type="colorScale" priority="16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491" priority="1649" operator="containsText" text="Vencido">
      <formula>NOT(ISERROR(SEARCH(("Vencido"),(Y96))))</formula>
    </cfRule>
  </conditionalFormatting>
  <conditionalFormatting sqref="Y96">
    <cfRule type="colorScale" priority="16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490" priority="1647" operator="containsText" text="Vencido">
      <formula>NOT(ISERROR(SEARCH(("Vencido"),(AA96))))</formula>
    </cfRule>
  </conditionalFormatting>
  <conditionalFormatting sqref="AA96">
    <cfRule type="colorScale" priority="16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6">
    <cfRule type="containsText" dxfId="489" priority="1645" operator="containsText" text="Vencido">
      <formula>NOT(ISERROR(SEARCH(("Vencido"),(AC96))))</formula>
    </cfRule>
  </conditionalFormatting>
  <conditionalFormatting sqref="AC96">
    <cfRule type="colorScale" priority="16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6">
    <cfRule type="containsText" dxfId="488" priority="1643" operator="containsText" text="Vencido">
      <formula>NOT(ISERROR(SEARCH(("Vencido"),(AE96))))</formula>
    </cfRule>
  </conditionalFormatting>
  <conditionalFormatting sqref="AE96">
    <cfRule type="colorScale" priority="16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7">
    <cfRule type="colorScale" priority="16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7">
    <cfRule type="containsText" dxfId="487" priority="1639" operator="containsText" text="Vencido">
      <formula>NOT(ISERROR(SEARCH(("Vencido"),(BH97))))</formula>
    </cfRule>
  </conditionalFormatting>
  <conditionalFormatting sqref="BH97">
    <cfRule type="colorScale" priority="16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7">
    <cfRule type="containsText" dxfId="486" priority="1637" operator="containsText" text="Vencido">
      <formula>NOT(ISERROR(SEARCH(("Vencido"),(BI97))))</formula>
    </cfRule>
  </conditionalFormatting>
  <conditionalFormatting sqref="BI97">
    <cfRule type="colorScale" priority="16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2 U22 AA22 AC22 Y22 AE22:AK22">
    <cfRule type="containsText" dxfId="485" priority="1384" operator="containsText" text="Vencido">
      <formula>NOT(ISERROR(SEARCH(("Vencido"),(U22))))</formula>
    </cfRule>
  </conditionalFormatting>
  <conditionalFormatting sqref="AQ28:BF28">
    <cfRule type="colorScale" priority="13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">
    <cfRule type="containsText" dxfId="484" priority="1379" operator="containsText" text="Vencido">
      <formula>NOT(ISERROR(SEARCH(("Vencido"),(AN22))))</formula>
    </cfRule>
  </conditionalFormatting>
  <conditionalFormatting sqref="BI22">
    <cfRule type="containsText" dxfId="483" priority="1377" operator="containsText" text="Vencido">
      <formula>NOT(ISERROR(SEARCH(("Vencido"),(BI22))))</formula>
    </cfRule>
  </conditionalFormatting>
  <conditionalFormatting sqref="BH22">
    <cfRule type="colorScale" priority="13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:AX22 AZ22:BF22">
    <cfRule type="containsText" dxfId="482" priority="1375" operator="containsText" text="Vencido">
      <formula>NOT(ISERROR(SEARCH(("Vencido"),(AN22))))</formula>
    </cfRule>
  </conditionalFormatting>
  <conditionalFormatting sqref="AM22">
    <cfRule type="colorScale" priority="13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2">
    <cfRule type="containsText" dxfId="481" priority="1373" operator="containsText" text="Vencido">
      <formula>NOT(ISERROR(SEARCH(("Vencido"),(BH22))))</formula>
    </cfRule>
  </conditionalFormatting>
  <conditionalFormatting sqref="AN22:AX22 AZ22:BF22">
    <cfRule type="colorScale" priority="13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2">
    <cfRule type="containsText" dxfId="480" priority="1371" operator="containsText" text="Vencido">
      <formula>NOT(ISERROR(SEARCH(("Vencido"),(BI22))))</formula>
    </cfRule>
  </conditionalFormatting>
  <conditionalFormatting sqref="BH22">
    <cfRule type="colorScale" priority="13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lorScale" priority="13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ntainsText" dxfId="479" priority="1360" operator="containsText" text="Vencido">
      <formula>NOT(ISERROR(SEARCH(("Vencido"),(AF22))))</formula>
    </cfRule>
  </conditionalFormatting>
  <conditionalFormatting sqref="AF22">
    <cfRule type="colorScale" priority="13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3 AG23 U23 W23 Y23 AA23 AC23">
    <cfRule type="containsText" dxfId="478" priority="1358" operator="containsText" text="Vencido">
      <formula>NOT(ISERROR(SEARCH(("Vencido"),(U23))))</formula>
    </cfRule>
  </conditionalFormatting>
  <conditionalFormatting sqref="AE23 AG23 U23 W23 Y23 AA23 AC23">
    <cfRule type="colorScale" priority="13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3:BI23 AE23:AK23 AC23 AA23 Y23 U23 W23 AN23:BF23">
    <cfRule type="containsText" dxfId="477" priority="1356" operator="containsText" text="Vencido">
      <formula>NOT(ISERROR(SEARCH(("Vencido"),(U23))))</formula>
    </cfRule>
  </conditionalFormatting>
  <conditionalFormatting sqref="BH23:BI23 AE23:AK23 AC23 AA23 Y23 U23 W23 AN23:BF23">
    <cfRule type="colorScale" priority="1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4:BF24 AG24:AK24 BH24:BI24">
    <cfRule type="containsText" dxfId="476" priority="1354" operator="containsText" text="Vencido">
      <formula>NOT(ISERROR(SEARCH(("Vencido"),(AG24))))</formula>
    </cfRule>
  </conditionalFormatting>
  <conditionalFormatting sqref="AQ24:BF24">
    <cfRule type="containsText" dxfId="475" priority="1351" operator="containsText" text="Vencido">
      <formula>NOT(ISERROR(SEARCH(("Vencido"),(AQ24))))</formula>
    </cfRule>
  </conditionalFormatting>
  <conditionalFormatting sqref="AQ24:BF24">
    <cfRule type="colorScale" priority="13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4:BF24">
    <cfRule type="containsText" dxfId="474" priority="1349" operator="containsText" text="Vencido">
      <formula>NOT(ISERROR(SEARCH(("Vencido"),(AQ24))))</formula>
    </cfRule>
  </conditionalFormatting>
  <conditionalFormatting sqref="AQ24:BF24">
    <cfRule type="colorScale" priority="13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73" priority="1347" operator="containsText" text="Vencido">
      <formula>NOT(ISERROR(SEARCH(("Vencido"),(U24))))</formula>
    </cfRule>
  </conditionalFormatting>
  <conditionalFormatting sqref="AQ24:BF24">
    <cfRule type="colorScale" priority="13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72" priority="1345" operator="containsText" text="Vencido">
      <formula>NOT(ISERROR(SEARCH(("Vencido"),(W24))))</formula>
    </cfRule>
  </conditionalFormatting>
  <conditionalFormatting sqref="U24">
    <cfRule type="colorScale" priority="13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471" priority="1343" operator="containsText" text="Vencido">
      <formula>NOT(ISERROR(SEARCH(("Vencido"),(Y24))))</formula>
    </cfRule>
  </conditionalFormatting>
  <conditionalFormatting sqref="W24">
    <cfRule type="colorScale" priority="13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70" priority="1341" operator="containsText" text="Vencido">
      <formula>NOT(ISERROR(SEARCH(("Vencido"),(AA24))))</formula>
    </cfRule>
  </conditionalFormatting>
  <conditionalFormatting sqref="Y24">
    <cfRule type="colorScale" priority="13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69" priority="1339" operator="containsText" text="Vencido">
      <formula>NOT(ISERROR(SEARCH(("Vencido"),(AC24))))</formula>
    </cfRule>
  </conditionalFormatting>
  <conditionalFormatting sqref="AA24">
    <cfRule type="colorScale" priority="13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68" priority="1337" operator="containsText" text="Vencido">
      <formula>NOT(ISERROR(SEARCH(("Vencido"),(AE24))))</formula>
    </cfRule>
  </conditionalFormatting>
  <conditionalFormatting sqref="AC24">
    <cfRule type="colorScale" priority="13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67" priority="1335" operator="containsText" text="Vencido">
      <formula>NOT(ISERROR(SEARCH(("Vencido"),(U24))))</formula>
    </cfRule>
  </conditionalFormatting>
  <conditionalFormatting sqref="AE24">
    <cfRule type="colorScale" priority="13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lorScale" priority="13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3:AX23">
    <cfRule type="containsText" dxfId="466" priority="1332" operator="containsText" text="Vencido">
      <formula>NOT(ISERROR(SEARCH(("Vencido"),(AQ23))))</formula>
    </cfRule>
  </conditionalFormatting>
  <conditionalFormatting sqref="AQ23:AX23">
    <cfRule type="colorScale" priority="13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2">
    <cfRule type="containsText" dxfId="465" priority="1330" operator="containsText" text="Vencido">
      <formula>NOT(ISERROR(SEARCH(("Vencido"),(AY22))))</formula>
    </cfRule>
  </conditionalFormatting>
  <conditionalFormatting sqref="AY22">
    <cfRule type="colorScale" priority="1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3:AP23 AH23:AJ23 BH23:BI23 AY23:BF23">
    <cfRule type="containsText" dxfId="464" priority="1326" operator="containsText" text="Vencido">
      <formula>NOT(ISERROR(SEARCH(("Vencido"),(AH23))))</formula>
    </cfRule>
  </conditionalFormatting>
  <conditionalFormatting sqref="AY23:BF23">
    <cfRule type="containsText" dxfId="463" priority="1325" operator="containsText" text="Vencido">
      <formula>NOT(ISERROR(SEARCH(("Vencido"),(AY23))))</formula>
    </cfRule>
  </conditionalFormatting>
  <conditionalFormatting sqref="AN23:AP23 AH23:AJ23 BH23:BI23 AY23:BF23">
    <cfRule type="colorScale" priority="13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ntainsText" dxfId="462" priority="1323" operator="containsText" text="Vencido">
      <formula>NOT(ISERROR(SEARCH(("Vencido"),(AY23))))</formula>
    </cfRule>
  </conditionalFormatting>
  <conditionalFormatting sqref="AY23:BF23">
    <cfRule type="colorScale" priority="13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3:BF23">
    <cfRule type="containsText" dxfId="461" priority="1321" operator="containsText" text="Vencido">
      <formula>NOT(ISERROR(SEARCH(("Vencido"),(AY23))))</formula>
    </cfRule>
  </conditionalFormatting>
  <conditionalFormatting sqref="AY23:BF23">
    <cfRule type="colorScale" priority="13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23">
    <cfRule type="containsText" dxfId="460" priority="1319" operator="containsText" text="Vencido">
      <formula>NOT(ISERROR(SEARCH(("Vencido"),(AK23))))</formula>
    </cfRule>
  </conditionalFormatting>
  <conditionalFormatting sqref="AK23">
    <cfRule type="colorScale" priority="13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59" priority="1317" operator="containsText" text="Vencido">
      <formula>NOT(ISERROR(SEARCH(("Vencido"),(W24))))</formula>
    </cfRule>
  </conditionalFormatting>
  <conditionalFormatting sqref="U24">
    <cfRule type="colorScale" priority="13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lorScale" priority="1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58" priority="1304" operator="containsText" text="Vencido">
      <formula>NOT(ISERROR(SEARCH(("Vencido"),(AA24))))</formula>
    </cfRule>
  </conditionalFormatting>
  <conditionalFormatting sqref="AA24">
    <cfRule type="colorScale" priority="1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57" priority="1302" operator="containsText" text="Vencido">
      <formula>NOT(ISERROR(SEARCH(("Vencido"),(AC24))))</formula>
    </cfRule>
  </conditionalFormatting>
  <conditionalFormatting sqref="AE24">
    <cfRule type="colorScale" priority="1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56" priority="1298" operator="containsText" text="Vencido">
      <formula>NOT(ISERROR(SEARCH(("Vencido"),(U24))))</formula>
    </cfRule>
  </conditionalFormatting>
  <conditionalFormatting sqref="AA24">
    <cfRule type="colorScale" priority="12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55" priority="1278" operator="containsText" text="Vencido">
      <formula>NOT(ISERROR(SEARCH(("Vencido"),(AC24))))</formula>
    </cfRule>
  </conditionalFormatting>
  <conditionalFormatting sqref="AC24">
    <cfRule type="colorScale" priority="12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54" priority="1276" operator="containsText" text="Vencido">
      <formula>NOT(ISERROR(SEARCH(("Vencido"),(AE24))))</formula>
    </cfRule>
  </conditionalFormatting>
  <conditionalFormatting sqref="AE24">
    <cfRule type="colorScale" priority="12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453" priority="1274" operator="containsText" text="Vencido">
      <formula>NOT(ISERROR(SEARCH(("Vencido"),(U24))))</formula>
    </cfRule>
  </conditionalFormatting>
  <conditionalFormatting sqref="U24">
    <cfRule type="colorScale" priority="12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452" priority="1272" operator="containsText" text="Vencido">
      <formula>NOT(ISERROR(SEARCH(("Vencido"),(W24))))</formula>
    </cfRule>
  </conditionalFormatting>
  <conditionalFormatting sqref="W24">
    <cfRule type="colorScale" priority="12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451" priority="1270" operator="containsText" text="Vencido">
      <formula>NOT(ISERROR(SEARCH(("Vencido"),(Y24))))</formula>
    </cfRule>
  </conditionalFormatting>
  <conditionalFormatting sqref="Y24">
    <cfRule type="colorScale" priority="1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450" priority="1268" operator="containsText" text="Vencido">
      <formula>NOT(ISERROR(SEARCH(("Vencido"),(AA24))))</formula>
    </cfRule>
  </conditionalFormatting>
  <conditionalFormatting sqref="AA24">
    <cfRule type="colorScale" priority="1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449" priority="1266" operator="containsText" text="Vencido">
      <formula>NOT(ISERROR(SEARCH(("Vencido"),(AC24))))</formula>
    </cfRule>
  </conditionalFormatting>
  <conditionalFormatting sqref="AC24">
    <cfRule type="colorScale" priority="1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448" priority="1264" operator="containsText" text="Vencido">
      <formula>NOT(ISERROR(SEARCH(("Vencido"),(AE24))))</formula>
    </cfRule>
  </conditionalFormatting>
  <conditionalFormatting sqref="AE24">
    <cfRule type="colorScale" priority="12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6 Y26 AA26 U26 AC26 AE26:AK26">
    <cfRule type="containsText" dxfId="447" priority="1258" operator="containsText" text="Vencido">
      <formula>NOT(ISERROR(SEARCH(("Vencido"),(U26))))</formula>
    </cfRule>
  </conditionalFormatting>
  <conditionalFormatting sqref="Y26 W26 AA26 U26 AC26 AE26:AK26">
    <cfRule type="colorScale" priority="12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containsText" dxfId="446" priority="1256" operator="containsText" text="Vencido">
      <formula>NOT(ISERROR(SEARCH(("Vencido"),(AM26))))</formula>
    </cfRule>
  </conditionalFormatting>
  <conditionalFormatting sqref="AM26">
    <cfRule type="colorScale" priority="12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containsText" dxfId="445" priority="1254" operator="containsText" text="Vencido">
      <formula>NOT(ISERROR(SEARCH(("Vencido"),(AM26))))</formula>
    </cfRule>
  </conditionalFormatting>
  <conditionalFormatting sqref="AM26">
    <cfRule type="colorScale" priority="12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4" priority="1252" operator="containsText" text="Vencido">
      <formula>NOT(ISERROR(SEARCH(("Vencido"),(AN26))))</formula>
    </cfRule>
  </conditionalFormatting>
  <conditionalFormatting sqref="AN26:BF26">
    <cfRule type="colorScale" priority="12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3" priority="1250" operator="containsText" text="Vencido">
      <formula>NOT(ISERROR(SEARCH(("Vencido"),(AN26))))</formula>
    </cfRule>
  </conditionalFormatting>
  <conditionalFormatting sqref="AN26:BF26">
    <cfRule type="colorScale" priority="12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 AF26">
    <cfRule type="containsText" dxfId="442" priority="1248" operator="containsText" text="Vencido">
      <formula>NOT(ISERROR(SEARCH(("Vencido"),(AF26))))</formula>
    </cfRule>
  </conditionalFormatting>
  <conditionalFormatting sqref="AN26:BF26 AF26">
    <cfRule type="colorScale" priority="12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441" priority="1246" operator="containsText" text="Vencido">
      <formula>NOT(ISERROR(SEARCH(("Vencido"),(AN26))))</formula>
    </cfRule>
  </conditionalFormatting>
  <conditionalFormatting sqref="AN26:BF26">
    <cfRule type="colorScale" priority="12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40" priority="1244" operator="containsText" text="Vencido">
      <formula>NOT(ISERROR(SEARCH(("Vencido"),(BI26))))</formula>
    </cfRule>
  </conditionalFormatting>
  <conditionalFormatting sqref="BI26">
    <cfRule type="colorScale" priority="12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9" priority="1242" operator="containsText" text="Vencido">
      <formula>NOT(ISERROR(SEARCH(("Vencido"),(BH26))))</formula>
    </cfRule>
  </conditionalFormatting>
  <conditionalFormatting sqref="BH26">
    <cfRule type="colorScale" priority="12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8" priority="1240" operator="containsText" text="Vencido">
      <formula>NOT(ISERROR(SEARCH(("Vencido"),(BH26))))</formula>
    </cfRule>
  </conditionalFormatting>
  <conditionalFormatting sqref="BH26">
    <cfRule type="colorScale" priority="12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7" priority="1238" operator="containsText" text="Vencido">
      <formula>NOT(ISERROR(SEARCH(("Vencido"),(BH26))))</formula>
    </cfRule>
  </conditionalFormatting>
  <conditionalFormatting sqref="BH26">
    <cfRule type="colorScale" priority="12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6" priority="1236" operator="containsText" text="Vencido">
      <formula>NOT(ISERROR(SEARCH(("Vencido"),(BH26))))</formula>
    </cfRule>
  </conditionalFormatting>
  <conditionalFormatting sqref="BH26">
    <cfRule type="colorScale" priority="12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35" priority="1230" operator="containsText" text="Vencido">
      <formula>NOT(ISERROR(SEARCH(("Vencido"),(BI26))))</formula>
    </cfRule>
  </conditionalFormatting>
  <conditionalFormatting sqref="BI26">
    <cfRule type="colorScale" priority="12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26:AK26">
    <cfRule type="containsText" dxfId="434" priority="1228" operator="containsText" text="Vencido">
      <formula>NOT(ISERROR(SEARCH(("Vencido"),(AH26))))</formula>
    </cfRule>
  </conditionalFormatting>
  <conditionalFormatting sqref="AH26:AK26">
    <cfRule type="colorScale" priority="12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 AF26">
    <cfRule type="containsText" dxfId="433" priority="1226" operator="containsText" text="Vencido">
      <formula>NOT(ISERROR(SEARCH(("Vencido"),(AF26))))</formula>
    </cfRule>
  </conditionalFormatting>
  <conditionalFormatting sqref="AN26:BF26 AF26">
    <cfRule type="colorScale" priority="12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432" priority="1222" operator="containsText" text="Vencido">
      <formula>NOT(ISERROR(SEARCH(("Vencido"),(BH26))))</formula>
    </cfRule>
  </conditionalFormatting>
  <conditionalFormatting sqref="BH26">
    <cfRule type="colorScale" priority="12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431" priority="1218" operator="containsText" text="Vencido">
      <formula>NOT(ISERROR(SEARCH(("Vencido"),(BI26))))</formula>
    </cfRule>
  </conditionalFormatting>
  <conditionalFormatting sqref="BI26">
    <cfRule type="colorScale" priority="12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 W28 Y28 AA28 AC28 AN28:BF28 AG28:AK28 AE28 BH28:BI28">
    <cfRule type="containsText" dxfId="430" priority="1200" operator="containsText" text="Vencido">
      <formula>NOT(ISERROR(SEARCH(("Vencido"),(U28))))</formula>
    </cfRule>
  </conditionalFormatting>
  <conditionalFormatting sqref="W28 U28 Y28 AA28 AC28 AN28:BF28 AG28:AK28 AE28 BH28:BI28">
    <cfRule type="colorScale" priority="11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 AA28 AE28">
    <cfRule type="containsText" dxfId="429" priority="1198" operator="containsText" text="Vencido">
      <formula>NOT(ISERROR(SEARCH(("Vencido"),(Y28))))</formula>
    </cfRule>
  </conditionalFormatting>
  <conditionalFormatting sqref="U28">
    <cfRule type="colorScale" priority="11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428" priority="1194" operator="containsText" text="Vencido">
      <formula>NOT(ISERROR(SEARCH(("Vencido"),(W28))))</formula>
    </cfRule>
  </conditionalFormatting>
  <conditionalFormatting sqref="Y28">
    <cfRule type="colorScale" priority="11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427" priority="1190" operator="containsText" text="Vencido">
      <formula>NOT(ISERROR(SEARCH(("Vencido"),(AA28))))</formula>
    </cfRule>
  </conditionalFormatting>
  <conditionalFormatting sqref="AC28">
    <cfRule type="colorScale" priority="11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8">
    <cfRule type="containsText" dxfId="426" priority="1172" operator="containsText" text="Vencido">
      <formula>NOT(ISERROR(SEARCH(("Vencido"),(AE28))))</formula>
    </cfRule>
  </conditionalFormatting>
  <conditionalFormatting sqref="AE28">
    <cfRule type="colorScale" priority="11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425" priority="1170" operator="containsText" text="Vencido">
      <formula>NOT(ISERROR(SEARCH(("Vencido"),(U28))))</formula>
    </cfRule>
  </conditionalFormatting>
  <conditionalFormatting sqref="U28">
    <cfRule type="colorScale" priority="11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424" priority="1168" operator="containsText" text="Vencido">
      <formula>NOT(ISERROR(SEARCH(("Vencido"),(W28))))</formula>
    </cfRule>
  </conditionalFormatting>
  <conditionalFormatting sqref="W28">
    <cfRule type="colorScale" priority="11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423" priority="1166" operator="containsText" text="Vencido">
      <formula>NOT(ISERROR(SEARCH(("Vencido"),(Y28))))</formula>
    </cfRule>
  </conditionalFormatting>
  <conditionalFormatting sqref="Y28">
    <cfRule type="colorScale" priority="11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422" priority="1164" operator="containsText" text="Vencido">
      <formula>NOT(ISERROR(SEARCH(("Vencido"),(AA28))))</formula>
    </cfRule>
  </conditionalFormatting>
  <conditionalFormatting sqref="AA28">
    <cfRule type="colorScale" priority="11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421" priority="1162" operator="containsText" text="Vencido">
      <formula>NOT(ISERROR(SEARCH(("Vencido"),(AC28))))</formula>
    </cfRule>
  </conditionalFormatting>
  <conditionalFormatting sqref="AC28">
    <cfRule type="colorScale" priority="11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8">
    <cfRule type="containsText" dxfId="420" priority="1160" operator="containsText" text="Vencido">
      <formula>NOT(ISERROR(SEARCH(("Vencido"),(AE28))))</formula>
    </cfRule>
  </conditionalFormatting>
  <conditionalFormatting sqref="AE28">
    <cfRule type="colorScale" priority="11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419" priority="1158" operator="containsText" text="Vencido">
      <formula>NOT(ISERROR(SEARCH(("Vencido"),(AQ28))))</formula>
    </cfRule>
  </conditionalFormatting>
  <conditionalFormatting sqref="AQ28:BF28">
    <cfRule type="colorScale" priority="11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:BF8">
    <cfRule type="containsText" dxfId="418" priority="595" operator="containsText" text="Vencido">
      <formula>NOT(ISERROR(SEARCH(("Vencido"),(AN8))))</formula>
    </cfRule>
  </conditionalFormatting>
  <conditionalFormatting sqref="AM8">
    <cfRule type="colorScale" priority="5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">
    <cfRule type="containsText" dxfId="417" priority="593" operator="containsText" text="Vencido">
      <formula>NOT(ISERROR(SEARCH(("Vencido"),(AF8))))</formula>
    </cfRule>
  </conditionalFormatting>
  <conditionalFormatting sqref="AN8:BF8">
    <cfRule type="colorScale" priority="5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">
    <cfRule type="containsText" dxfId="416" priority="591" operator="containsText" text="Vencido">
      <formula>NOT(ISERROR(SEARCH(("Vencido"),(BH8))))</formula>
    </cfRule>
  </conditionalFormatting>
  <conditionalFormatting sqref="BH6:BI6 U6 W6 Y6 AA6 AC6 AE6:AK6">
    <cfRule type="containsText" dxfId="415" priority="578" operator="containsText" text="Vencido">
      <formula>NOT(ISERROR(SEARCH(("Vencido"),(U6))))</formula>
    </cfRule>
  </conditionalFormatting>
  <conditionalFormatting sqref="BH6:BI6 U6 W6 Y6 AA6 AC6 AE6:AK6">
    <cfRule type="colorScale" priority="5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6:AO6">
    <cfRule type="containsText" dxfId="414" priority="576" operator="containsText" text="Vencido">
      <formula>NOT(ISERROR(SEARCH(("Vencido"),(AN6))))</formula>
    </cfRule>
  </conditionalFormatting>
  <conditionalFormatting sqref="AN6:AO6">
    <cfRule type="colorScale" priority="5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6:BF6">
    <cfRule type="containsText" dxfId="413" priority="574" operator="containsText" text="Vencido">
      <formula>NOT(ISERROR(SEARCH(("Vencido"),(BC6))))</formula>
    </cfRule>
  </conditionalFormatting>
  <conditionalFormatting sqref="BC6:BF6">
    <cfRule type="colorScale" priority="5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6:BB6">
    <cfRule type="containsText" dxfId="412" priority="572" operator="containsText" text="Vencido">
      <formula>NOT(ISERROR(SEARCH(("Vencido"),(AQ6))))</formula>
    </cfRule>
  </conditionalFormatting>
  <conditionalFormatting sqref="AQ6:BB6">
    <cfRule type="colorScale" priority="5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7:AK7 AN7:BF7 BH7:BI7">
    <cfRule type="containsText" dxfId="411" priority="567" operator="containsText" text="Vencido">
      <formula>NOT(ISERROR(SEARCH(("Vencido"),(AG7))))</formula>
    </cfRule>
  </conditionalFormatting>
  <conditionalFormatting sqref="AG7:AK7 AN7:BF7 BH7:BI7">
    <cfRule type="colorScale" priority="5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10" priority="565" operator="containsText" text="Vencido">
      <formula>NOT(ISERROR(SEARCH(("Vencido"),(AQ7))))</formula>
    </cfRule>
  </conditionalFormatting>
  <conditionalFormatting sqref="AQ7:BF7">
    <cfRule type="colorScale" priority="5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09" priority="563" operator="containsText" text="Vencido">
      <formula>NOT(ISERROR(SEARCH(("Vencido"),(AQ7))))</formula>
    </cfRule>
  </conditionalFormatting>
  <conditionalFormatting sqref="AQ7:BF7">
    <cfRule type="colorScale" priority="5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7:BF7">
    <cfRule type="containsText" dxfId="408" priority="561" operator="containsText" text="Vencido">
      <formula>NOT(ISERROR(SEARCH(("Vencido"),(AQ7))))</formula>
    </cfRule>
  </conditionalFormatting>
  <conditionalFormatting sqref="AQ7:BF7">
    <cfRule type="colorScale" priority="5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407" priority="559" operator="containsText" text="Vencido">
      <formula>NOT(ISERROR(SEARCH(("Vencido"),(U7))))</formula>
    </cfRule>
  </conditionalFormatting>
  <conditionalFormatting sqref="U7">
    <cfRule type="colorScale" priority="5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406" priority="557" operator="containsText" text="Vencido">
      <formula>NOT(ISERROR(SEARCH(("Vencido"),(W7))))</formula>
    </cfRule>
  </conditionalFormatting>
  <conditionalFormatting sqref="W7">
    <cfRule type="colorScale" priority="5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405" priority="555" operator="containsText" text="Vencido">
      <formula>NOT(ISERROR(SEARCH(("Vencido"),(Y7))))</formula>
    </cfRule>
  </conditionalFormatting>
  <conditionalFormatting sqref="Y7">
    <cfRule type="colorScale" priority="5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404" priority="553" operator="containsText" text="Vencido">
      <formula>NOT(ISERROR(SEARCH(("Vencido"),(AA7))))</formula>
    </cfRule>
  </conditionalFormatting>
  <conditionalFormatting sqref="AA7">
    <cfRule type="colorScale" priority="5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403" priority="551" operator="containsText" text="Vencido">
      <formula>NOT(ISERROR(SEARCH(("Vencido"),(AC7))))</formula>
    </cfRule>
  </conditionalFormatting>
  <conditionalFormatting sqref="AC7">
    <cfRule type="colorScale" priority="5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402" priority="549" operator="containsText" text="Vencido">
      <formula>NOT(ISERROR(SEARCH(("Vencido"),(AE7))))</formula>
    </cfRule>
  </conditionalFormatting>
  <conditionalFormatting sqref="AE7">
    <cfRule type="colorScale" priority="5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401" priority="547" operator="containsText" text="Vencido">
      <formula>NOT(ISERROR(SEARCH(("Vencido"),(U7))))</formula>
    </cfRule>
  </conditionalFormatting>
  <conditionalFormatting sqref="U7">
    <cfRule type="colorScale" priority="5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400" priority="545" operator="containsText" text="Vencido">
      <formula>NOT(ISERROR(SEARCH(("Vencido"),(W7))))</formula>
    </cfRule>
  </conditionalFormatting>
  <conditionalFormatting sqref="W7">
    <cfRule type="colorScale" priority="5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99" priority="543" operator="containsText" text="Vencido">
      <formula>NOT(ISERROR(SEARCH(("Vencido"),(Y7))))</formula>
    </cfRule>
  </conditionalFormatting>
  <conditionalFormatting sqref="Y7">
    <cfRule type="colorScale" priority="5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98" priority="541" operator="containsText" text="Vencido">
      <formula>NOT(ISERROR(SEARCH(("Vencido"),(AA7))))</formula>
    </cfRule>
  </conditionalFormatting>
  <conditionalFormatting sqref="AA7">
    <cfRule type="colorScale" priority="5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397" priority="539" operator="containsText" text="Vencido">
      <formula>NOT(ISERROR(SEARCH(("Vencido"),(AC7))))</formula>
    </cfRule>
  </conditionalFormatting>
  <conditionalFormatting sqref="AC7">
    <cfRule type="colorScale" priority="5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396" priority="537" operator="containsText" text="Vencido">
      <formula>NOT(ISERROR(SEARCH(("Vencido"),(AE7))))</formula>
    </cfRule>
  </conditionalFormatting>
  <conditionalFormatting sqref="AE7">
    <cfRule type="colorScale" priority="5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95" priority="535" operator="containsText" text="Vencido">
      <formula>NOT(ISERROR(SEARCH(("Vencido"),(U7))))</formula>
    </cfRule>
  </conditionalFormatting>
  <conditionalFormatting sqref="U7">
    <cfRule type="colorScale" priority="5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94" priority="533" operator="containsText" text="Vencido">
      <formula>NOT(ISERROR(SEARCH(("Vencido"),(W7))))</formula>
    </cfRule>
  </conditionalFormatting>
  <conditionalFormatting sqref="W7">
    <cfRule type="colorScale" priority="5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93" priority="531" operator="containsText" text="Vencido">
      <formula>NOT(ISERROR(SEARCH(("Vencido"),(Y7))))</formula>
    </cfRule>
  </conditionalFormatting>
  <conditionalFormatting sqref="Y7">
    <cfRule type="colorScale" priority="5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92" priority="529" operator="containsText" text="Vencido">
      <formula>NOT(ISERROR(SEARCH(("Vencido"),(AA7))))</formula>
    </cfRule>
  </conditionalFormatting>
  <conditionalFormatting sqref="AA7">
    <cfRule type="colorScale" priority="5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391" priority="527" operator="containsText" text="Vencido">
      <formula>NOT(ISERROR(SEARCH(("Vencido"),(AC7))))</formula>
    </cfRule>
  </conditionalFormatting>
  <conditionalFormatting sqref="AC7">
    <cfRule type="colorScale" priority="5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390" priority="525" operator="containsText" text="Vencido">
      <formula>NOT(ISERROR(SEARCH(("Vencido"),(AE7))))</formula>
    </cfRule>
  </conditionalFormatting>
  <conditionalFormatting sqref="AE7">
    <cfRule type="colorScale" priority="5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89" priority="523" operator="containsText" text="Vencido">
      <formula>NOT(ISERROR(SEARCH(("Vencido"),(U7))))</formula>
    </cfRule>
  </conditionalFormatting>
  <conditionalFormatting sqref="U7">
    <cfRule type="colorScale" priority="5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88" priority="521" operator="containsText" text="Vencido">
      <formula>NOT(ISERROR(SEARCH(("Vencido"),(W7))))</formula>
    </cfRule>
  </conditionalFormatting>
  <conditionalFormatting sqref="W7">
    <cfRule type="colorScale" priority="5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87" priority="519" operator="containsText" text="Vencido">
      <formula>NOT(ISERROR(SEARCH(("Vencido"),(Y7))))</formula>
    </cfRule>
  </conditionalFormatting>
  <conditionalFormatting sqref="Y7">
    <cfRule type="colorScale" priority="5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86" priority="517" operator="containsText" text="Vencido">
      <formula>NOT(ISERROR(SEARCH(("Vencido"),(AA7))))</formula>
    </cfRule>
  </conditionalFormatting>
  <conditionalFormatting sqref="AA7">
    <cfRule type="colorScale" priority="5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7">
    <cfRule type="containsText" dxfId="385" priority="511" operator="containsText" text="Vencido">
      <formula>NOT(ISERROR(SEARCH(("Vencido"),(U7))))</formula>
    </cfRule>
  </conditionalFormatting>
  <conditionalFormatting sqref="U7">
    <cfRule type="colorScale" priority="5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7">
    <cfRule type="containsText" dxfId="384" priority="509" operator="containsText" text="Vencido">
      <formula>NOT(ISERROR(SEARCH(("Vencido"),(W7))))</formula>
    </cfRule>
  </conditionalFormatting>
  <conditionalFormatting sqref="W7">
    <cfRule type="colorScale" priority="5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7">
    <cfRule type="containsText" dxfId="383" priority="507" operator="containsText" text="Vencido">
      <formula>NOT(ISERROR(SEARCH(("Vencido"),(Y7))))</formula>
    </cfRule>
  </conditionalFormatting>
  <conditionalFormatting sqref="Y7">
    <cfRule type="colorScale" priority="5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7">
    <cfRule type="containsText" dxfId="382" priority="505" operator="containsText" text="Vencido">
      <formula>NOT(ISERROR(SEARCH(("Vencido"),(AA7))))</formula>
    </cfRule>
  </conditionalFormatting>
  <conditionalFormatting sqref="AA7">
    <cfRule type="colorScale" priority="5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 Y8 AE8 AC8 AA8 U8 AG8:AK8">
    <cfRule type="containsText" dxfId="381" priority="498" operator="containsText" text="Vencido">
      <formula>NOT(ISERROR(SEARCH(("Vencido"),(U8))))</formula>
    </cfRule>
  </conditionalFormatting>
  <conditionalFormatting sqref="W8 Y8 AE8 AC8 AA8 U8 AG8:AK8">
    <cfRule type="colorScale" priority="4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">
    <cfRule type="containsText" dxfId="380" priority="496" operator="containsText" text="Vencido">
      <formula>NOT(ISERROR(SEARCH(("Vencido"),(AM8))))</formula>
    </cfRule>
  </conditionalFormatting>
  <conditionalFormatting sqref="BH8">
    <cfRule type="colorScale" priority="4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">
    <cfRule type="containsText" dxfId="379" priority="494" operator="containsText" text="Vencido">
      <formula>NOT(ISERROR(SEARCH(("Vencido"),(BI8))))</formula>
    </cfRule>
  </conditionalFormatting>
  <conditionalFormatting sqref="BI8">
    <cfRule type="colorScale" priority="4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 AA10 AC10 U10 AE10:AK10">
    <cfRule type="containsText" dxfId="378" priority="476" operator="containsText" text="Vencido">
      <formula>NOT(ISERROR(SEARCH(("Vencido"),(U10))))</formula>
    </cfRule>
  </conditionalFormatting>
  <conditionalFormatting sqref="Y10 AA10 AC10 U10 AE10:AK10">
    <cfRule type="colorScale" priority="4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:AP10">
    <cfRule type="containsText" dxfId="377" priority="474" operator="containsText" text="Vencido">
      <formula>NOT(ISERROR(SEARCH(("Vencido"),(AN10))))</formula>
    </cfRule>
  </conditionalFormatting>
  <conditionalFormatting sqref="AN10:AP10">
    <cfRule type="colorScale" priority="4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 AP10">
    <cfRule type="containsText" dxfId="376" priority="472" operator="containsText" text="Vencido">
      <formula>NOT(ISERROR(SEARCH(("Vencido"),(AN10))))</formula>
    </cfRule>
  </conditionalFormatting>
  <conditionalFormatting sqref="AP10 AN10">
    <cfRule type="colorScale" priority="4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0">
    <cfRule type="containsText" dxfId="375" priority="470" operator="containsText" text="Vencido">
      <formula>NOT(ISERROR(SEARCH(("Vencido"),(AF10))))</formula>
    </cfRule>
  </conditionalFormatting>
  <conditionalFormatting sqref="AF10">
    <cfRule type="colorScale" priority="4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">
    <cfRule type="containsText" dxfId="374" priority="468" operator="containsText" text="Vencido">
      <formula>NOT(ISERROR(SEARCH(("Vencido"),(AO10))))</formula>
    </cfRule>
  </conditionalFormatting>
  <conditionalFormatting sqref="AO10">
    <cfRule type="colorScale" priority="4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">
    <cfRule type="containsText" dxfId="373" priority="466" operator="containsText" text="Vencido">
      <formula>NOT(ISERROR(SEARCH(("Vencido"),(BH10))))</formula>
    </cfRule>
  </conditionalFormatting>
  <conditionalFormatting sqref="BH10">
    <cfRule type="colorScale" priority="4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">
    <cfRule type="containsText" dxfId="372" priority="464" operator="containsText" text="Vencido">
      <formula>NOT(ISERROR(SEARCH(("Vencido"),(BH10))))</formula>
    </cfRule>
  </conditionalFormatting>
  <conditionalFormatting sqref="BH10">
    <cfRule type="colorScale" priority="4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">
    <cfRule type="containsText" dxfId="371" priority="462" operator="containsText" text="Vencido">
      <formula>NOT(ISERROR(SEARCH(("Vencido"),(BI10))))</formula>
    </cfRule>
  </conditionalFormatting>
  <conditionalFormatting sqref="BI10">
    <cfRule type="colorScale" priority="4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">
    <cfRule type="containsText" dxfId="370" priority="460" operator="containsText" text="Vencido">
      <formula>NOT(ISERROR(SEARCH(("Vencido"),(BI10))))</formula>
    </cfRule>
  </conditionalFormatting>
  <conditionalFormatting sqref="BI10">
    <cfRule type="colorScale" priority="4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:BF10">
    <cfRule type="containsText" dxfId="369" priority="458" operator="containsText" text="Vencido">
      <formula>NOT(ISERROR(SEARCH(("Vencido"),(AQ10))))</formula>
    </cfRule>
  </conditionalFormatting>
  <conditionalFormatting sqref="AQ10:BF10">
    <cfRule type="colorScale" priority="4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:BF10">
    <cfRule type="containsText" dxfId="368" priority="456" operator="containsText" text="Vencido">
      <formula>NOT(ISERROR(SEARCH(("Vencido"),(AQ10))))</formula>
    </cfRule>
  </conditionalFormatting>
  <conditionalFormatting sqref="AQ10:BF10">
    <cfRule type="colorScale" priority="4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1 AA11 AC11 Y11 W11 AE11:AK11">
    <cfRule type="containsText" dxfId="367" priority="452" operator="containsText" text="Vencido">
      <formula>NOT(ISERROR(SEARCH(("Vencido"),(U11))))</formula>
    </cfRule>
  </conditionalFormatting>
  <conditionalFormatting sqref="U11 AA11 AC11 Y11 W11 AE11:AK11">
    <cfRule type="colorScale" priority="4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1">
    <cfRule type="containsText" dxfId="366" priority="450" operator="containsText" text="Vencido">
      <formula>NOT(ISERROR(SEARCH(("Vencido"),(AO11))))</formula>
    </cfRule>
  </conditionalFormatting>
  <conditionalFormatting sqref="AO11">
    <cfRule type="colorScale" priority="4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1 AP11:BF11">
    <cfRule type="containsText" dxfId="365" priority="448" operator="containsText" text="Vencido">
      <formula>NOT(ISERROR(SEARCH(("Vencido"),(AN11))))</formula>
    </cfRule>
  </conditionalFormatting>
  <conditionalFormatting sqref="AP11:BF11 AN11">
    <cfRule type="colorScale" priority="4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1">
    <cfRule type="containsText" dxfId="364" priority="446" operator="containsText" text="Vencido">
      <formula>NOT(ISERROR(SEARCH(("Vencido"),(AO11))))</formula>
    </cfRule>
  </conditionalFormatting>
  <conditionalFormatting sqref="AO11">
    <cfRule type="colorScale" priority="4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1">
    <cfRule type="containsText" dxfId="363" priority="444" operator="containsText" text="Vencido">
      <formula>NOT(ISERROR(SEARCH(("Vencido"),(BH11))))</formula>
    </cfRule>
  </conditionalFormatting>
  <conditionalFormatting sqref="BH11">
    <cfRule type="colorScale" priority="4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1">
    <cfRule type="containsText" dxfId="362" priority="442" operator="containsText" text="Vencido">
      <formula>NOT(ISERROR(SEARCH(("Vencido"),(BI11))))</formula>
    </cfRule>
  </conditionalFormatting>
  <conditionalFormatting sqref="BI11">
    <cfRule type="colorScale" priority="4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2">
    <cfRule type="containsText" dxfId="361" priority="434" operator="containsText" text="Vencido">
      <formula>NOT(ISERROR(SEARCH(("Vencido"),(BH12))))</formula>
    </cfRule>
  </conditionalFormatting>
  <conditionalFormatting sqref="BH12">
    <cfRule type="colorScale" priority="4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3:AP13 AS13 BF13">
    <cfRule type="containsText" dxfId="360" priority="424" operator="containsText" text="Vencido">
      <formula>NOT(ISERROR(SEARCH(("Vencido"),(AN13))))</formula>
    </cfRule>
  </conditionalFormatting>
  <conditionalFormatting sqref="AN13:AP13 AS13 BF13">
    <cfRule type="colorScale" priority="4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3">
    <cfRule type="containsText" dxfId="359" priority="422" operator="containsText" text="Vencido">
      <formula>NOT(ISERROR(SEARCH(("Vencido"),(BH13))))</formula>
    </cfRule>
  </conditionalFormatting>
  <conditionalFormatting sqref="BH13">
    <cfRule type="colorScale" priority="4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3">
    <cfRule type="containsText" dxfId="358" priority="420" operator="containsText" text="Vencido">
      <formula>NOT(ISERROR(SEARCH(("Vencido"),(BI13))))</formula>
    </cfRule>
  </conditionalFormatting>
  <conditionalFormatting sqref="BI13">
    <cfRule type="colorScale" priority="4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3:AK13 BH13:BI13 AN13:AP13 AS13 BF13">
    <cfRule type="containsText" dxfId="357" priority="418" operator="containsText" text="Vencido">
      <formula>NOT(ISERROR(SEARCH(("Vencido"),(AH13))))</formula>
    </cfRule>
  </conditionalFormatting>
  <conditionalFormatting sqref="AH13:AK13 BH13:BI13 AN13:AP13 AS13 BF13">
    <cfRule type="colorScale" priority="4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containsText" dxfId="356" priority="416" operator="containsText" text="Vencido">
      <formula>NOT(ISERROR(SEARCH(("Vencido"),(AM13))))</formula>
    </cfRule>
  </conditionalFormatting>
  <conditionalFormatting sqref="AM13">
    <cfRule type="colorScale" priority="4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3">
    <cfRule type="containsText" dxfId="355" priority="409" operator="containsText" text="Vencido">
      <formula>NOT(ISERROR(SEARCH(("Vencido"),(BH13))))</formula>
    </cfRule>
  </conditionalFormatting>
  <conditionalFormatting sqref="BH13">
    <cfRule type="colorScale" priority="4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3">
    <cfRule type="containsText" dxfId="354" priority="407" operator="containsText" text="Vencido">
      <formula>NOT(ISERROR(SEARCH(("Vencido"),(BI13))))</formula>
    </cfRule>
  </conditionalFormatting>
  <conditionalFormatting sqref="BI13">
    <cfRule type="colorScale" priority="4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13">
    <cfRule type="containsText" dxfId="353" priority="405" operator="containsText" text="Vencido">
      <formula>NOT(ISERROR(SEARCH(("Vencido"),(AK13))))</formula>
    </cfRule>
  </conditionalFormatting>
  <conditionalFormatting sqref="AK13">
    <cfRule type="colorScale" priority="4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13">
    <cfRule type="containsText" dxfId="352" priority="403" operator="containsText" text="Vencido">
      <formula>NOT(ISERROR(SEARCH(("Vencido"),(BF13))))</formula>
    </cfRule>
  </conditionalFormatting>
  <conditionalFormatting sqref="BF13">
    <cfRule type="colorScale" priority="4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13">
    <cfRule type="containsText" dxfId="351" priority="401" operator="containsText" text="Vencido">
      <formula>NOT(ISERROR(SEARCH(("Vencido"),(AT13))))</formula>
    </cfRule>
  </conditionalFormatting>
  <conditionalFormatting sqref="AT13">
    <cfRule type="colorScale" priority="4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13">
    <cfRule type="containsText" dxfId="350" priority="399" operator="containsText" text="Vencido">
      <formula>NOT(ISERROR(SEARCH(("Vencido"),(AT13))))</formula>
    </cfRule>
  </conditionalFormatting>
  <conditionalFormatting sqref="AT13">
    <cfRule type="colorScale" priority="3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3">
    <cfRule type="containsText" dxfId="349" priority="397" operator="containsText" text="Vencido">
      <formula>NOT(ISERROR(SEARCH(("Vencido"),(AQ13))))</formula>
    </cfRule>
  </conditionalFormatting>
  <conditionalFormatting sqref="AQ13">
    <cfRule type="colorScale" priority="3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3">
    <cfRule type="containsText" dxfId="348" priority="395" operator="containsText" text="Vencido">
      <formula>NOT(ISERROR(SEARCH(("Vencido"),(AQ13))))</formula>
    </cfRule>
  </conditionalFormatting>
  <conditionalFormatting sqref="AQ13">
    <cfRule type="colorScale" priority="3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R13">
    <cfRule type="containsText" dxfId="347" priority="393" operator="containsText" text="Vencido">
      <formula>NOT(ISERROR(SEARCH(("Vencido"),(AR13))))</formula>
    </cfRule>
  </conditionalFormatting>
  <conditionalFormatting sqref="AR13">
    <cfRule type="colorScale" priority="3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R13">
    <cfRule type="containsText" dxfId="346" priority="391" operator="containsText" text="Vencido">
      <formula>NOT(ISERROR(SEARCH(("Vencido"),(AR13))))</formula>
    </cfRule>
  </conditionalFormatting>
  <conditionalFormatting sqref="AR13">
    <cfRule type="colorScale" priority="3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ntainsText" dxfId="345" priority="389" operator="containsText" text="Vencido">
      <formula>NOT(ISERROR(SEARCH(("Vencido"),(AU13))))</formula>
    </cfRule>
  </conditionalFormatting>
  <conditionalFormatting sqref="AZ13:BE13">
    <cfRule type="containsText" dxfId="344" priority="385" operator="containsText" text="Vencido">
      <formula>NOT(ISERROR(SEARCH(("Vencido"),(AZ13))))</formula>
    </cfRule>
  </conditionalFormatting>
  <conditionalFormatting sqref="AZ13:BE13">
    <cfRule type="colorScale" priority="3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13:BE13">
    <cfRule type="containsText" dxfId="343" priority="383" operator="containsText" text="Vencido">
      <formula>NOT(ISERROR(SEARCH(("Vencido"),(AZ13))))</formula>
    </cfRule>
  </conditionalFormatting>
  <conditionalFormatting sqref="AZ13:BE13">
    <cfRule type="colorScale" priority="3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4">
    <cfRule type="containsText" dxfId="342" priority="372" operator="containsText" text="Vencido">
      <formula>NOT(ISERROR(SEARCH(("Vencido"),(BH14))))</formula>
    </cfRule>
  </conditionalFormatting>
  <conditionalFormatting sqref="BH14">
    <cfRule type="colorScale" priority="3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4">
    <cfRule type="containsText" dxfId="341" priority="370" operator="containsText" text="Vencido">
      <formula>NOT(ISERROR(SEARCH(("Vencido"),(BI14))))</formula>
    </cfRule>
  </conditionalFormatting>
  <conditionalFormatting sqref="BI14">
    <cfRule type="colorScale" priority="3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5 AG15:AK15 U15 AA15 AC15 AE15 Y15">
    <cfRule type="containsText" dxfId="340" priority="363" operator="containsText" text="Vencido">
      <formula>NOT(ISERROR(SEARCH(("Vencido"),(U15))))</formula>
    </cfRule>
  </conditionalFormatting>
  <conditionalFormatting sqref="AG15:AK15 W15 U15 AA15 AC15 AE15 Y15">
    <cfRule type="colorScale" priority="3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5:BF15">
    <cfRule type="containsText" dxfId="339" priority="361" operator="containsText" text="Vencido">
      <formula>NOT(ISERROR(SEARCH(("Vencido"),(AN15))))</formula>
    </cfRule>
  </conditionalFormatting>
  <conditionalFormatting sqref="AN15:BF15">
    <cfRule type="colorScale" priority="3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5">
    <cfRule type="containsText" dxfId="338" priority="359" operator="containsText" text="Vencido">
      <formula>NOT(ISERROR(SEARCH(("Vencido"),(AF15))))</formula>
    </cfRule>
  </conditionalFormatting>
  <conditionalFormatting sqref="AF15">
    <cfRule type="colorScale" priority="3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17:AK17 AN17 AQ17:BF17 BH17:BI17">
    <cfRule type="containsText" dxfId="337" priority="349" operator="containsText" text="Vencido">
      <formula>NOT(ISERROR(SEARCH(("Vencido"),(AG17))))</formula>
    </cfRule>
  </conditionalFormatting>
  <conditionalFormatting sqref="AG17:AK17 AN17 AQ17:BF17 BH17:BI17">
    <cfRule type="colorScale" priority="3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8 Y18 W18 AA18 AC18 U18 AG18:AK18 AM18">
    <cfRule type="containsText" dxfId="336" priority="326" operator="containsText" text="Vencido">
      <formula>NOT(ISERROR(SEARCH(("Vencido"),(U18))))</formula>
    </cfRule>
  </conditionalFormatting>
  <conditionalFormatting sqref="Y18 AE18 W18 AA18 AC18 U18 AG18:AK18 AM18">
    <cfRule type="colorScale" priority="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:BF18">
    <cfRule type="containsText" dxfId="335" priority="324" operator="containsText" text="Vencido">
      <formula>NOT(ISERROR(SEARCH(("Vencido"),(AM18))))</formula>
    </cfRule>
  </conditionalFormatting>
  <conditionalFormatting sqref="AM18:BF18">
    <cfRule type="colorScale" priority="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containsText" dxfId="334" priority="322" operator="containsText" text="Vencido">
      <formula>NOT(ISERROR(SEARCH(("Vencido"),(AM18))))</formula>
    </cfRule>
  </conditionalFormatting>
  <conditionalFormatting sqref="AN18:BF18 AF18">
    <cfRule type="colorScale" priority="3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BF18">
    <cfRule type="containsText" dxfId="333" priority="318" operator="containsText" text="Vencido">
      <formula>NOT(ISERROR(SEARCH(("Vencido"),(AN18))))</formula>
    </cfRule>
  </conditionalFormatting>
  <conditionalFormatting sqref="AN18:BF18">
    <cfRule type="colorScale" priority="3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8">
    <cfRule type="containsText" dxfId="332" priority="316" operator="containsText" text="Vencido">
      <formula>NOT(ISERROR(SEARCH(("Vencido"),(BH18))))</formula>
    </cfRule>
  </conditionalFormatting>
  <conditionalFormatting sqref="BH18">
    <cfRule type="colorScale" priority="3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Y18">
    <cfRule type="containsText" dxfId="331" priority="296" operator="containsText" text="Vencido">
      <formula>NOT(ISERROR(SEARCH(("Vencido"),(AQ18))))</formula>
    </cfRule>
  </conditionalFormatting>
  <conditionalFormatting sqref="AQ18:AY18">
    <cfRule type="colorScale" priority="2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AO18 AE18:AK18 AC18 AA18 Y18 W18">
    <cfRule type="containsText" dxfId="330" priority="294" operator="containsText" text="Vencido">
      <formula>NOT(ISERROR(SEARCH(("Vencido"),(W18))))</formula>
    </cfRule>
  </conditionalFormatting>
  <conditionalFormatting sqref="AN18:AO18 AE18:AK18 AC18 AA18 Y18 W18">
    <cfRule type="colorScale" priority="2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containsText" dxfId="329" priority="292" operator="containsText" text="Vencido">
      <formula>NOT(ISERROR(SEARCH(("Vencido"),(AM18))))</formula>
    </cfRule>
  </conditionalFormatting>
  <conditionalFormatting sqref="AM18">
    <cfRule type="colorScale" priority="2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18:BB18 BH18:BI18">
    <cfRule type="containsText" dxfId="328" priority="287" operator="containsText" text="Vencido">
      <formula>NOT(ISERROR(SEARCH(("Vencido"),(AZ18))))</formula>
    </cfRule>
  </conditionalFormatting>
  <conditionalFormatting sqref="AZ18:BB18 BH18:BI18">
    <cfRule type="colorScale" priority="2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18:BF18">
    <cfRule type="containsText" dxfId="327" priority="285" operator="containsText" text="Vencido">
      <formula>NOT(ISERROR(SEARCH(("Vencido"),(BC18))))</formula>
    </cfRule>
  </conditionalFormatting>
  <conditionalFormatting sqref="BC18:BF18">
    <cfRule type="colorScale" priority="2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0 U20 AA20 AC20 Y20 AE20:AK20">
    <cfRule type="containsText" dxfId="326" priority="276" operator="containsText" text="Vencido">
      <formula>NOT(ISERROR(SEARCH(("Vencido"),(U20))))</formula>
    </cfRule>
  </conditionalFormatting>
  <conditionalFormatting sqref="W20 U20 AA20 AC20 Y20 AE20:AK20">
    <cfRule type="colorScale" priority="2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0">
    <cfRule type="containsText" dxfId="325" priority="274" operator="containsText" text="Vencido">
      <formula>NOT(ISERROR(SEARCH(("Vencido"),(AO20))))</formula>
    </cfRule>
  </conditionalFormatting>
  <conditionalFormatting sqref="AO20">
    <cfRule type="colorScale" priority="2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0 AP20:BF20">
    <cfRule type="containsText" dxfId="324" priority="272" operator="containsText" text="Vencido">
      <formula>NOT(ISERROR(SEARCH(("Vencido"),(AN20))))</formula>
    </cfRule>
  </conditionalFormatting>
  <conditionalFormatting sqref="AP20:BF20 AN20">
    <cfRule type="colorScale" priority="2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0">
    <cfRule type="containsText" dxfId="323" priority="270" operator="containsText" text="Vencido">
      <formula>NOT(ISERROR(SEARCH(("Vencido"),(AO20))))</formula>
    </cfRule>
  </conditionalFormatting>
  <conditionalFormatting sqref="AO20">
    <cfRule type="colorScale" priority="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0">
    <cfRule type="containsText" dxfId="322" priority="268" operator="containsText" text="Vencido">
      <formula>NOT(ISERROR(SEARCH(("Vencido"),(BH20))))</formula>
    </cfRule>
  </conditionalFormatting>
  <conditionalFormatting sqref="BH20">
    <cfRule type="colorScale" priority="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0">
    <cfRule type="containsText" dxfId="321" priority="266" operator="containsText" text="Vencido">
      <formula>NOT(ISERROR(SEARCH(("Vencido"),(BI20))))</formula>
    </cfRule>
  </conditionalFormatting>
  <conditionalFormatting sqref="BI20">
    <cfRule type="colorScale" priority="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320" priority="259" operator="containsText" text="Vencido">
      <formula>NOT(ISERROR(SEARCH(("Vencido"),(AQ21))))</formula>
    </cfRule>
  </conditionalFormatting>
  <conditionalFormatting sqref="AQ21:BF21">
    <cfRule type="colorScale" priority="25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319" priority="257" operator="containsText" text="Vencido">
      <formula>NOT(ISERROR(SEARCH(("Vencido"),(AQ21))))</formula>
    </cfRule>
  </conditionalFormatting>
  <conditionalFormatting sqref="AQ21:BF21">
    <cfRule type="colorScale" priority="25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18" priority="255" operator="containsText" text="Vencido">
      <formula>NOT(ISERROR(SEARCH(("Vencido"),(U21))))</formula>
    </cfRule>
  </conditionalFormatting>
  <conditionalFormatting sqref="U21">
    <cfRule type="colorScale" priority="2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17" priority="253" operator="containsText" text="Vencido">
      <formula>NOT(ISERROR(SEARCH(("Vencido"),(W21))))</formula>
    </cfRule>
  </conditionalFormatting>
  <conditionalFormatting sqref="W21">
    <cfRule type="colorScale" priority="2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16" priority="251" operator="containsText" text="Vencido">
      <formula>NOT(ISERROR(SEARCH(("Vencido"),(Y21))))</formula>
    </cfRule>
  </conditionalFormatting>
  <conditionalFormatting sqref="Y21">
    <cfRule type="colorScale" priority="2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15" priority="249" operator="containsText" text="Vencido">
      <formula>NOT(ISERROR(SEARCH(("Vencido"),(AA21))))</formula>
    </cfRule>
  </conditionalFormatting>
  <conditionalFormatting sqref="AA21">
    <cfRule type="colorScale" priority="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14" priority="247" operator="containsText" text="Vencido">
      <formula>NOT(ISERROR(SEARCH(("Vencido"),(AC21))))</formula>
    </cfRule>
  </conditionalFormatting>
  <conditionalFormatting sqref="AC21">
    <cfRule type="colorScale" priority="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13" priority="245" operator="containsText" text="Vencido">
      <formula>NOT(ISERROR(SEARCH(("Vencido"),(AE21))))</formula>
    </cfRule>
  </conditionalFormatting>
  <conditionalFormatting sqref="AE21">
    <cfRule type="colorScale" priority="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12" priority="243" operator="containsText" text="Vencido">
      <formula>NOT(ISERROR(SEARCH(("Vencido"),(U21))))</formula>
    </cfRule>
  </conditionalFormatting>
  <conditionalFormatting sqref="U21">
    <cfRule type="colorScale" priority="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11" priority="241" operator="containsText" text="Vencido">
      <formula>NOT(ISERROR(SEARCH(("Vencido"),(W21))))</formula>
    </cfRule>
  </conditionalFormatting>
  <conditionalFormatting sqref="W21">
    <cfRule type="colorScale" priority="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10" priority="239" operator="containsText" text="Vencido">
      <formula>NOT(ISERROR(SEARCH(("Vencido"),(Y21))))</formula>
    </cfRule>
  </conditionalFormatting>
  <conditionalFormatting sqref="Y21">
    <cfRule type="colorScale" priority="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09" priority="237" operator="containsText" text="Vencido">
      <formula>NOT(ISERROR(SEARCH(("Vencido"),(AA21))))</formula>
    </cfRule>
  </conditionalFormatting>
  <conditionalFormatting sqref="AA21">
    <cfRule type="colorScale" priority="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08" priority="235" operator="containsText" text="Vencido">
      <formula>NOT(ISERROR(SEARCH(("Vencido"),(AC21))))</formula>
    </cfRule>
  </conditionalFormatting>
  <conditionalFormatting sqref="AC21">
    <cfRule type="colorScale" priority="2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07" priority="233" operator="containsText" text="Vencido">
      <formula>NOT(ISERROR(SEARCH(("Vencido"),(AE21))))</formula>
    </cfRule>
  </conditionalFormatting>
  <conditionalFormatting sqref="AE21">
    <cfRule type="colorScale" priority="2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306" priority="231" operator="containsText" text="Vencido">
      <formula>NOT(ISERROR(SEARCH(("Vencido"),(U21))))</formula>
    </cfRule>
  </conditionalFormatting>
  <conditionalFormatting sqref="U21">
    <cfRule type="colorScale" priority="2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305" priority="229" operator="containsText" text="Vencido">
      <formula>NOT(ISERROR(SEARCH(("Vencido"),(W21))))</formula>
    </cfRule>
  </conditionalFormatting>
  <conditionalFormatting sqref="W21">
    <cfRule type="colorScale" priority="2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04" priority="227" operator="containsText" text="Vencido">
      <formula>NOT(ISERROR(SEARCH(("Vencido"),(Y21))))</formula>
    </cfRule>
  </conditionalFormatting>
  <conditionalFormatting sqref="Y21">
    <cfRule type="colorScale" priority="2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303" priority="225" operator="containsText" text="Vencido">
      <formula>NOT(ISERROR(SEARCH(("Vencido"),(AA21))))</formula>
    </cfRule>
  </conditionalFormatting>
  <conditionalFormatting sqref="AA21">
    <cfRule type="colorScale" priority="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302" priority="223" operator="containsText" text="Vencido">
      <formula>NOT(ISERROR(SEARCH(("Vencido"),(AC21))))</formula>
    </cfRule>
  </conditionalFormatting>
  <conditionalFormatting sqref="AC21">
    <cfRule type="colorScale" priority="2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301" priority="209" operator="containsText" text="Vencido">
      <formula>NOT(ISERROR(SEARCH(("Vencido"),(AE21))))</formula>
    </cfRule>
  </conditionalFormatting>
  <conditionalFormatting sqref="AE21">
    <cfRule type="colorScale" priority="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3:AP4 AQ4:BF4 U4 W4 Y3:Y4 AA3:AA4 AC4 AK3:AK4 AE3:AE4 AG4:AI4 AC30:AC77 AA30:AA77 Y30:Y77 U30:U77 W30:W77 AE30:AK77 AM30:BF77 BH30:BI77 BH3:BI4">
    <cfRule type="containsText" dxfId="300" priority="5328" operator="containsText" text="Vencido">
      <formula>NOT(ISERROR(SEARCH(("Vencido"),(U3))))</formula>
    </cfRule>
  </conditionalFormatting>
  <conditionalFormatting sqref="AN3:AP4 AQ4:BF4 U4 W4 Y3:Y4 AA3:AA4 AC4 AK3:AK4 AE3:AE4 AG4:AI4 AC30:AC77 AA30:AA77 Y30:Y77 U30:U77 W30:W77 AE30:AK77 AM30:BF77 BH30:BI77 BH3:BI4">
    <cfRule type="colorScale" priority="53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3:BF3">
    <cfRule type="containsText" dxfId="299" priority="5326" operator="containsText" text="Vencido">
      <formula>NOT(ISERROR(SEARCH(("Vencido"),(AQ3))))</formula>
    </cfRule>
  </conditionalFormatting>
  <conditionalFormatting sqref="AQ3:BF3">
    <cfRule type="colorScale" priority="53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3 U3 AC3 AG3:AI3">
    <cfRule type="containsText" dxfId="298" priority="5324" operator="containsText" text="Vencido">
      <formula>NOT(ISERROR(SEARCH(("Vencido"),(U3))))</formula>
    </cfRule>
  </conditionalFormatting>
  <conditionalFormatting sqref="W3 U3 AC3 AG3:AI3">
    <cfRule type="colorScale" priority="53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17">
    <cfRule type="containsText" dxfId="297" priority="4531" operator="containsText" text="Vencido">
      <formula>NOT(ISERROR(SEARCH(("Vencido"),(BJ117))))</formula>
    </cfRule>
  </conditionalFormatting>
  <conditionalFormatting sqref="BJ117">
    <cfRule type="colorScale" priority="45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296" priority="3464" operator="containsText" text="Vencido">
      <formula>NOT(ISERROR(SEARCH(("Vencido"),(AE101))))</formula>
    </cfRule>
  </conditionalFormatting>
  <conditionalFormatting sqref="AE101">
    <cfRule type="colorScale" priority="34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95" priority="3462" operator="containsText" text="Vencido">
      <formula>NOT(ISERROR(SEARCH(("Vencido"),(U101))))</formula>
    </cfRule>
  </conditionalFormatting>
  <conditionalFormatting sqref="U101">
    <cfRule type="colorScale" priority="34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3:BE103">
    <cfRule type="containsText" dxfId="294" priority="3458" operator="containsText" text="Vencido">
      <formula>NOT(ISERROR(SEARCH(("Vencido"),(AQ103))))</formula>
    </cfRule>
  </conditionalFormatting>
  <conditionalFormatting sqref="AQ103:BE103">
    <cfRule type="colorScale" priority="34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2 AP102:BF102 BH102:BI102 U102 W102 Y102 AE102 AG102:AK102 AA102 AC102">
    <cfRule type="containsText" dxfId="293" priority="3456" operator="containsText" text="Vencido">
      <formula>NOT(ISERROR(SEARCH(("Vencido"),(U102))))</formula>
    </cfRule>
  </conditionalFormatting>
  <conditionalFormatting sqref="AP102:BF102 AN102 BH102:BI102 U102 W102 Y102 AE102 AG102:AK102 AA102 AC102">
    <cfRule type="colorScale" priority="34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2">
    <cfRule type="containsText" dxfId="292" priority="3454" operator="containsText" text="Vencido">
      <formula>NOT(ISERROR(SEARCH(("Vencido"),(AO102))))</formula>
    </cfRule>
  </conditionalFormatting>
  <conditionalFormatting sqref="AO102">
    <cfRule type="colorScale" priority="34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102">
    <cfRule type="containsText" dxfId="291" priority="3452" operator="containsText" text="Vencido">
      <formula>NOT(ISERROR(SEARCH(("Vencido"),(AO102))))</formula>
    </cfRule>
  </conditionalFormatting>
  <conditionalFormatting sqref="AO102">
    <cfRule type="colorScale" priority="34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102">
    <cfRule type="containsText" dxfId="290" priority="3450" operator="containsText" text="Vencido">
      <formula>NOT(ISERROR(SEARCH(("Vencido"),(AF102))))</formula>
    </cfRule>
  </conditionalFormatting>
  <conditionalFormatting sqref="AF102">
    <cfRule type="colorScale" priority="34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2 AH102:AK102 AN102:AP102">
    <cfRule type="containsText" dxfId="289" priority="3448" operator="containsText" text="Vencido">
      <formula>NOT(ISERROR(SEARCH(("Vencido"),(AH102))))</formula>
    </cfRule>
  </conditionalFormatting>
  <conditionalFormatting sqref="AH102:AK102 AX102 AN102:AP102">
    <cfRule type="colorScale" priority="34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9 AP99:BF99 AE99:AK99 BH99:BI99 U99 W99 Y99 AA99 AC99">
    <cfRule type="containsText" dxfId="288" priority="3427" operator="containsText" text="Vencido">
      <formula>NOT(ISERROR(SEARCH(("Vencido"),(U99))))</formula>
    </cfRule>
  </conditionalFormatting>
  <conditionalFormatting sqref="AP99:BF99 AN99 AE99:AK99 BH99:BI99 U99 W99 Y99 AA99 AC99">
    <cfRule type="colorScale" priority="34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9">
    <cfRule type="containsText" dxfId="287" priority="3425" operator="containsText" text="Vencido">
      <formula>NOT(ISERROR(SEARCH(("Vencido"),(AO99))))</formula>
    </cfRule>
  </conditionalFormatting>
  <conditionalFormatting sqref="AO99">
    <cfRule type="colorScale" priority="34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9">
    <cfRule type="containsText" dxfId="286" priority="3423" operator="containsText" text="Vencido">
      <formula>NOT(ISERROR(SEARCH(("Vencido"),(AO99))))</formula>
    </cfRule>
  </conditionalFormatting>
  <conditionalFormatting sqref="AO99">
    <cfRule type="colorScale" priority="34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9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{A8AFF615-5A8A-4876-9570-354D866C3545}</x14:id>
        </ext>
      </extLst>
    </cfRule>
  </conditionalFormatting>
  <conditionalFormatting sqref="U100">
    <cfRule type="containsText" dxfId="285" priority="3412" operator="containsText" text="Vencido">
      <formula>NOT(ISERROR(SEARCH(("Vencido"),(U100))))</formula>
    </cfRule>
  </conditionalFormatting>
  <conditionalFormatting sqref="U100">
    <cfRule type="colorScale" priority="34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0">
    <cfRule type="containsText" dxfId="284" priority="3410" operator="containsText" text="Vencido">
      <formula>NOT(ISERROR(SEARCH(("Vencido"),(W100))))</formula>
    </cfRule>
  </conditionalFormatting>
  <conditionalFormatting sqref="W100">
    <cfRule type="colorScale" priority="34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0">
    <cfRule type="containsText" dxfId="283" priority="3408" operator="containsText" text="Vencido">
      <formula>NOT(ISERROR(SEARCH(("Vencido"),(Y100))))</formula>
    </cfRule>
  </conditionalFormatting>
  <conditionalFormatting sqref="Y100">
    <cfRule type="colorScale" priority="34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0">
    <cfRule type="containsText" dxfId="282" priority="3406" operator="containsText" text="Vencido">
      <formula>NOT(ISERROR(SEARCH(("Vencido"),(AA100))))</formula>
    </cfRule>
  </conditionalFormatting>
  <conditionalFormatting sqref="AA100">
    <cfRule type="colorScale" priority="34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0">
    <cfRule type="containsText" dxfId="281" priority="3404" operator="containsText" text="Vencido">
      <formula>NOT(ISERROR(SEARCH(("Vencido"),(AC100))))</formula>
    </cfRule>
  </conditionalFormatting>
  <conditionalFormatting sqref="AC100">
    <cfRule type="colorScale" priority="34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0">
    <cfRule type="containsText" dxfId="280" priority="3402" operator="containsText" text="Vencido">
      <formula>NOT(ISERROR(SEARCH(("Vencido"),(AE100))))</formula>
    </cfRule>
  </conditionalFormatting>
  <conditionalFormatting sqref="AE100">
    <cfRule type="colorScale" priority="34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BF100">
    <cfRule type="containsText" dxfId="279" priority="3400" operator="containsText" text="Vencido">
      <formula>NOT(ISERROR(SEARCH(("Vencido"),(AQ100))))</formula>
    </cfRule>
  </conditionalFormatting>
  <conditionalFormatting sqref="AQ100:BF100">
    <cfRule type="colorScale" priority="33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0:BF100">
    <cfRule type="containsText" dxfId="278" priority="3398" operator="containsText" text="Vencido">
      <formula>NOT(ISERROR(SEARCH(("Vencido"),(AQ100))))</formula>
    </cfRule>
  </conditionalFormatting>
  <conditionalFormatting sqref="AQ100:BF100">
    <cfRule type="colorScale" priority="33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0">
    <cfRule type="containsText" dxfId="277" priority="3396" operator="containsText" text="Vencido">
      <formula>NOT(ISERROR(SEARCH(("Vencido"),(U100))))</formula>
    </cfRule>
  </conditionalFormatting>
  <conditionalFormatting sqref="U100">
    <cfRule type="colorScale" priority="33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0">
    <cfRule type="containsText" dxfId="276" priority="3394" operator="containsText" text="Vencido">
      <formula>NOT(ISERROR(SEARCH(("Vencido"),(W100))))</formula>
    </cfRule>
  </conditionalFormatting>
  <conditionalFormatting sqref="W100">
    <cfRule type="colorScale" priority="33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0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{0B530B60-5C22-4552-838B-D8FACCE60009}</x14:id>
        </ext>
      </extLst>
    </cfRule>
  </conditionalFormatting>
  <conditionalFormatting sqref="BH100">
    <cfRule type="containsText" dxfId="275" priority="3383" operator="containsText" text="Vencido">
      <formula>NOT(ISERROR(SEARCH(("Vencido"),(BH100))))</formula>
    </cfRule>
  </conditionalFormatting>
  <conditionalFormatting sqref="BH100">
    <cfRule type="colorScale" priority="33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0">
    <cfRule type="containsText" dxfId="274" priority="3381" operator="containsText" text="Vencido">
      <formula>NOT(ISERROR(SEARCH(("Vencido"),(BI100))))</formula>
    </cfRule>
  </conditionalFormatting>
  <conditionalFormatting sqref="BI100">
    <cfRule type="colorScale" priority="33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1:BF101">
    <cfRule type="containsText" dxfId="273" priority="3356" operator="containsText" text="Vencido">
      <formula>NOT(ISERROR(SEARCH(("Vencido"),(AQ101))))</formula>
    </cfRule>
  </conditionalFormatting>
  <conditionalFormatting sqref="AQ101:BF101">
    <cfRule type="colorScale" priority="3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72" priority="3354" operator="containsText" text="Vencido">
      <formula>NOT(ISERROR(SEARCH(("Vencido"),(U101))))</formula>
    </cfRule>
  </conditionalFormatting>
  <conditionalFormatting sqref="U101">
    <cfRule type="colorScale" priority="33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271" priority="3352" operator="containsText" text="Vencido">
      <formula>NOT(ISERROR(SEARCH(("Vencido"),(W101))))</formula>
    </cfRule>
  </conditionalFormatting>
  <conditionalFormatting sqref="W101">
    <cfRule type="colorScale" priority="33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1">
    <cfRule type="containsText" dxfId="270" priority="3350" operator="containsText" text="Vencido">
      <formula>NOT(ISERROR(SEARCH(("Vencido"),(Y101))))</formula>
    </cfRule>
  </conditionalFormatting>
  <conditionalFormatting sqref="Y101">
    <cfRule type="colorScale" priority="33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01">
    <cfRule type="containsText" dxfId="269" priority="3348" operator="containsText" text="Vencido">
      <formula>NOT(ISERROR(SEARCH(("Vencido"),(AA101))))</formula>
    </cfRule>
  </conditionalFormatting>
  <conditionalFormatting sqref="AA101">
    <cfRule type="colorScale" priority="33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01">
    <cfRule type="containsText" dxfId="268" priority="3346" operator="containsText" text="Vencido">
      <formula>NOT(ISERROR(SEARCH(("Vencido"),(AC101))))</formula>
    </cfRule>
  </conditionalFormatting>
  <conditionalFormatting sqref="AC101">
    <cfRule type="colorScale" priority="33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1">
    <cfRule type="containsText" dxfId="267" priority="3344" operator="containsText" text="Vencido">
      <formula>NOT(ISERROR(SEARCH(("Vencido"),(AE101))))</formula>
    </cfRule>
  </conditionalFormatting>
  <conditionalFormatting sqref="AE101">
    <cfRule type="colorScale" priority="334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1">
    <cfRule type="containsText" dxfId="266" priority="3342" operator="containsText" text="Vencido">
      <formula>NOT(ISERROR(SEARCH(("Vencido"),(U101))))</formula>
    </cfRule>
  </conditionalFormatting>
  <conditionalFormatting sqref="U101">
    <cfRule type="colorScale" priority="334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01">
    <cfRule type="containsText" dxfId="265" priority="3340" operator="containsText" text="Vencido">
      <formula>NOT(ISERROR(SEARCH(("Vencido"),(W101))))</formula>
    </cfRule>
  </conditionalFormatting>
  <conditionalFormatting sqref="W101">
    <cfRule type="colorScale" priority="33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1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{54964A39-2420-4B1B-A680-12A1194159F4}</x14:id>
        </ext>
      </extLst>
    </cfRule>
  </conditionalFormatting>
  <conditionalFormatting sqref="BH101">
    <cfRule type="containsText" dxfId="264" priority="3297" operator="containsText" text="Vencido">
      <formula>NOT(ISERROR(SEARCH(("Vencido"),(BH101))))</formula>
    </cfRule>
  </conditionalFormatting>
  <conditionalFormatting sqref="BH101">
    <cfRule type="colorScale" priority="32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1">
    <cfRule type="containsText" dxfId="263" priority="3295" operator="containsText" text="Vencido">
      <formula>NOT(ISERROR(SEARCH(("Vencido"),(BI101))))</formula>
    </cfRule>
  </conditionalFormatting>
  <conditionalFormatting sqref="BI101">
    <cfRule type="colorScale" priority="32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103">
    <cfRule type="containsText" dxfId="262" priority="3293" operator="containsText" text="Vencido">
      <formula>NOT(ISERROR(SEARCH(("Vencido"),(BF103))))</formula>
    </cfRule>
  </conditionalFormatting>
  <conditionalFormatting sqref="BF103">
    <cfRule type="colorScale" priority="32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4 AX104 AG104:AK104">
    <cfRule type="containsText" dxfId="261" priority="3291" operator="containsText" text="Vencido">
      <formula>NOT(ISERROR(SEARCH(("Vencido"),(AG104))))</formula>
    </cfRule>
  </conditionalFormatting>
  <conditionalFormatting sqref="AX104 AN104 AG104:AK104">
    <cfRule type="colorScale" priority="32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AW104 AY104:BF104">
    <cfRule type="containsText" dxfId="260" priority="3289" operator="containsText" text="Vencido">
      <formula>NOT(ISERROR(SEARCH(("Vencido"),(AQ104))))</formula>
    </cfRule>
  </conditionalFormatting>
  <conditionalFormatting sqref="AQ104:AW104 AY104:BF104">
    <cfRule type="colorScale" priority="32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4">
    <cfRule type="containsText" dxfId="259" priority="3287" operator="containsText" text="Vencido">
      <formula>NOT(ISERROR(SEARCH(("Vencido"),(AX104))))</formula>
    </cfRule>
  </conditionalFormatting>
  <conditionalFormatting sqref="AX104">
    <cfRule type="colorScale" priority="32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4:BF104">
    <cfRule type="containsText" dxfId="258" priority="3285" operator="containsText" text="Vencido">
      <formula>NOT(ISERROR(SEARCH(("Vencido"),(AQ104))))</formula>
    </cfRule>
  </conditionalFormatting>
  <conditionalFormatting sqref="AQ104:BF104">
    <cfRule type="colorScale" priority="32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AW102 AY102:BF102">
    <cfRule type="containsText" dxfId="257" priority="3283" operator="containsText" text="Vencido">
      <formula>NOT(ISERROR(SEARCH(("Vencido"),(AQ102))))</formula>
    </cfRule>
  </conditionalFormatting>
  <conditionalFormatting sqref="AQ102:AW102 AY102:BF102">
    <cfRule type="colorScale" priority="32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2">
    <cfRule type="containsText" dxfId="256" priority="3281" operator="containsText" text="Vencido">
      <formula>NOT(ISERROR(SEARCH(("Vencido"),(AX102))))</formula>
    </cfRule>
  </conditionalFormatting>
  <conditionalFormatting sqref="AX102">
    <cfRule type="colorScale" priority="32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5" priority="3279" operator="containsText" text="Vencido">
      <formula>NOT(ISERROR(SEARCH(("Vencido"),(AQ102))))</formula>
    </cfRule>
  </conditionalFormatting>
  <conditionalFormatting sqref="AQ102:BF102">
    <cfRule type="colorScale" priority="32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4" priority="3277" operator="containsText" text="Vencido">
      <formula>NOT(ISERROR(SEARCH(("Vencido"),(AQ102))))</formula>
    </cfRule>
  </conditionalFormatting>
  <conditionalFormatting sqref="AQ102:BF102">
    <cfRule type="colorScale" priority="32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2:BF102">
    <cfRule type="containsText" dxfId="253" priority="3275" operator="containsText" text="Vencido">
      <formula>NOT(ISERROR(SEARCH(("Vencido"),(AQ102))))</formula>
    </cfRule>
  </conditionalFormatting>
  <conditionalFormatting sqref="AQ102:BF102">
    <cfRule type="colorScale" priority="327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2">
    <cfRule type="containsText" dxfId="252" priority="3273" operator="containsText" text="Vencido">
      <formula>NOT(ISERROR(SEARCH(("Vencido"),(BH102))))</formula>
    </cfRule>
  </conditionalFormatting>
  <conditionalFormatting sqref="BH102">
    <cfRule type="colorScale" priority="32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2">
    <cfRule type="containsText" dxfId="251" priority="3271" operator="containsText" text="Vencido">
      <formula>NOT(ISERROR(SEARCH(("Vencido"),(BI102))))</formula>
    </cfRule>
  </conditionalFormatting>
  <conditionalFormatting sqref="BI102">
    <cfRule type="colorScale" priority="32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2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{016378CB-C3A4-4904-BE27-097307BFE8FE}</x14:id>
        </ext>
      </extLst>
    </cfRule>
  </conditionalFormatting>
  <conditionalFormatting sqref="AE103:AK103 W103 Y103 AA103 AC103 U103">
    <cfRule type="containsText" dxfId="250" priority="3268" operator="containsText" text="Vencido">
      <formula>NOT(ISERROR(SEARCH(("Vencido"),(U103))))</formula>
    </cfRule>
  </conditionalFormatting>
  <conditionalFormatting sqref="AE103:AK103 W103 Y103 AA103 AC103 U103">
    <cfRule type="colorScale" priority="32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03:AP103">
    <cfRule type="containsText" dxfId="249" priority="3266" operator="containsText" text="Vencido">
      <formula>NOT(ISERROR(SEARCH(("Vencido"),(AN103))))</formula>
    </cfRule>
  </conditionalFormatting>
  <conditionalFormatting sqref="AN103:AP103">
    <cfRule type="colorScale" priority="32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containsText" dxfId="248" priority="3264" operator="containsText" text="Vencido">
      <formula>NOT(ISERROR(SEARCH(("Vencido"),(AM103))))</formula>
    </cfRule>
  </conditionalFormatting>
  <conditionalFormatting sqref="AM103">
    <cfRule type="colorScale" priority="32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containsText" dxfId="247" priority="3262" operator="containsText" text="Vencido">
      <formula>NOT(ISERROR(SEARCH(("Vencido"),(AM103))))</formula>
    </cfRule>
  </conditionalFormatting>
  <conditionalFormatting sqref="AM103">
    <cfRule type="colorScale" priority="32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3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{2F17A199-543E-4D54-B545-4386E2C3EF8D}</x14:id>
        </ext>
      </extLst>
    </cfRule>
  </conditionalFormatting>
  <conditionalFormatting sqref="AC104">
    <cfRule type="containsText" dxfId="246" priority="3241" operator="containsText" text="Vencido">
      <formula>NOT(ISERROR(SEARCH(("Vencido"),(AC104))))</formula>
    </cfRule>
  </conditionalFormatting>
  <conditionalFormatting sqref="AC104">
    <cfRule type="colorScale" priority="32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4">
    <cfRule type="containsText" dxfId="245" priority="3239" operator="containsText" text="Vencido">
      <formula>NOT(ISERROR(SEARCH(("Vencido"),(AE104))))</formula>
    </cfRule>
  </conditionalFormatting>
  <conditionalFormatting sqref="AE104">
    <cfRule type="colorScale" priority="3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04 W104 U104 Y104 AA104 AC104">
    <cfRule type="containsText" dxfId="244" priority="3237" operator="containsText" text="Vencido">
      <formula>NOT(ISERROR(SEARCH(("Vencido"),(U104))))</formula>
    </cfRule>
  </conditionalFormatting>
  <conditionalFormatting sqref="W104 AE104 U104 Y104 AA104 AC104">
    <cfRule type="colorScale" priority="3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4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{7DD6E9C1-027A-47C0-9F6C-6D84219CC810}</x14:id>
        </ext>
      </extLst>
    </cfRule>
  </conditionalFormatting>
  <conditionalFormatting sqref="BI104">
    <cfRule type="containsText" dxfId="243" priority="3232" operator="containsText" text="Vencido">
      <formula>NOT(ISERROR(SEARCH(("Vencido"),(BI104))))</formula>
    </cfRule>
  </conditionalFormatting>
  <conditionalFormatting sqref="BI104">
    <cfRule type="colorScale" priority="32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05:AI105 AX105 U105 W105 AC105 AK105 AN105:AP105">
    <cfRule type="containsText" dxfId="242" priority="3230" operator="containsText" text="Vencido">
      <formula>NOT(ISERROR(SEARCH(("Vencido"),(U105))))</formula>
    </cfRule>
  </conditionalFormatting>
  <conditionalFormatting sqref="AH105:AI105 AX105 U105 W105 AC105 AK105 AN105:AP105">
    <cfRule type="colorScale" priority="32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05:AW105 AY105:BF105">
    <cfRule type="containsText" dxfId="241" priority="3228" operator="containsText" text="Vencido">
      <formula>NOT(ISERROR(SEARCH(("Vencido"),(AQ105))))</formula>
    </cfRule>
  </conditionalFormatting>
  <conditionalFormatting sqref="AQ105:AW105 AY105:BF105">
    <cfRule type="colorScale" priority="32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05 AA105 AE105 AG105">
    <cfRule type="containsText" dxfId="240" priority="3226" operator="containsText" text="Vencido">
      <formula>NOT(ISERROR(SEARCH(("Vencido"),(Y105))))</formula>
    </cfRule>
  </conditionalFormatting>
  <conditionalFormatting sqref="Y105 AA105 AE105 AG105">
    <cfRule type="colorScale" priority="32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05">
    <cfRule type="containsText" dxfId="239" priority="3224" operator="containsText" text="Vencido">
      <formula>NOT(ISERROR(SEARCH(("Vencido"),(AX105))))</formula>
    </cfRule>
  </conditionalFormatting>
  <conditionalFormatting sqref="AX105">
    <cfRule type="colorScale" priority="32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05 W105 AC105">
    <cfRule type="containsText" dxfId="238" priority="3222" operator="containsText" text="Vencido">
      <formula>NOT(ISERROR(SEARCH(("Vencido"),(U105))))</formula>
    </cfRule>
  </conditionalFormatting>
  <conditionalFormatting sqref="U105 W105 AC105">
    <cfRule type="colorScale" priority="32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05">
    <cfRule type="containsText" dxfId="237" priority="3220" operator="containsText" text="Vencido">
      <formula>NOT(ISERROR(SEARCH(("Vencido"),(BH105))))</formula>
    </cfRule>
  </conditionalFormatting>
  <conditionalFormatting sqref="BH105">
    <cfRule type="colorScale" priority="32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05">
    <cfRule type="containsText" dxfId="236" priority="3218" operator="containsText" text="Vencido">
      <formula>NOT(ISERROR(SEARCH(("Vencido"),(BI105))))</formula>
    </cfRule>
  </conditionalFormatting>
  <conditionalFormatting sqref="BI105">
    <cfRule type="colorScale" priority="32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05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{6D6AF148-0222-4F13-90FB-F42D4271EDA6}</x14:id>
        </ext>
      </extLst>
    </cfRule>
  </conditionalFormatting>
  <conditionalFormatting sqref="AM3:AM4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{4671131A-1608-46C5-8B2A-715F590AABA8}</x14:id>
        </ext>
      </extLst>
    </cfRule>
  </conditionalFormatting>
  <conditionalFormatting sqref="AY80">
    <cfRule type="colorScale" priority="22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79:BI79 W79 AN79:AX79 AZ79:BF79 AG79:AK79 Y79 AA79 AE79 U79 AC79">
    <cfRule type="containsText" dxfId="235" priority="2262" operator="containsText" text="Vencido">
      <formula>NOT(ISERROR(SEARCH(("Vencido"),(U79))))</formula>
    </cfRule>
  </conditionalFormatting>
  <conditionalFormatting sqref="AM79">
    <cfRule type="containsText" dxfId="234" priority="2261" operator="containsText" text="Vencido">
      <formula>NOT(ISERROR(SEARCH(("Vencido"),(AM79))))</formula>
    </cfRule>
  </conditionalFormatting>
  <conditionalFormatting sqref="AN78 AP78:BF78 BH78:BI78 AC78 U78 AA78 Y78 AE78:AK78">
    <cfRule type="containsText" dxfId="233" priority="2249" operator="containsText" text="Vencido">
      <formula>NOT(ISERROR(SEARCH(("Vencido"),(U78))))</formula>
    </cfRule>
  </conditionalFormatting>
  <conditionalFormatting sqref="AP78:BF78 AN78 BH78:BI78 AC78 U78 AA78 Y78 AE78:AK78">
    <cfRule type="colorScale" priority="22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78">
    <cfRule type="containsText" dxfId="232" priority="2247" operator="containsText" text="Vencido">
      <formula>NOT(ISERROR(SEARCH(("Vencido"),(AO78))))</formula>
    </cfRule>
  </conditionalFormatting>
  <conditionalFormatting sqref="AO78">
    <cfRule type="colorScale" priority="22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78">
    <cfRule type="containsText" dxfId="231" priority="2245" operator="containsText" text="Vencido">
      <formula>NOT(ISERROR(SEARCH(("Vencido"),(AO78))))</formula>
    </cfRule>
  </conditionalFormatting>
  <conditionalFormatting sqref="AO78">
    <cfRule type="colorScale" priority="22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:BI80 W80 AG80:AK80 U80 AA80 AC80 AE80 Y80">
    <cfRule type="colorScale" priority="22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30" priority="2239" operator="containsText" text="Vencido">
      <formula>NOT(ISERROR(SEARCH(("Vencido"),(BD80))))</formula>
    </cfRule>
  </conditionalFormatting>
  <conditionalFormatting sqref="BD80:BE80">
    <cfRule type="colorScale" priority="22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29" priority="2237" operator="containsText" text="Vencido">
      <formula>NOT(ISERROR(SEARCH(("Vencido"),(BD80))))</formula>
    </cfRule>
  </conditionalFormatting>
  <conditionalFormatting sqref="BD80:BE80">
    <cfRule type="colorScale" priority="22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ntainsText" dxfId="228" priority="2235" operator="containsText" text="Vencido">
      <formula>NOT(ISERROR(SEARCH(("Vencido"),(BD80))))</formula>
    </cfRule>
  </conditionalFormatting>
  <conditionalFormatting sqref="BD80:BE80">
    <cfRule type="colorScale" priority="22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lorScale" priority="22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27" priority="2226" operator="containsText" text="Vencido">
      <formula>NOT(ISERROR(SEARCH(("Vencido"),(AY80))))</formula>
    </cfRule>
  </conditionalFormatting>
  <conditionalFormatting sqref="BH81">
    <cfRule type="containsText" dxfId="226" priority="2212" operator="containsText" text="Vencido">
      <formula>NOT(ISERROR(SEARCH(("Vencido"),(BH81))))</formula>
    </cfRule>
  </conditionalFormatting>
  <conditionalFormatting sqref="AQ81:BE81">
    <cfRule type="colorScale" priority="22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1">
    <cfRule type="colorScale" priority="219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:BI80 W80 AG80:AK80 U80 AA80 AC80 AE80 Y80">
    <cfRule type="containsText" dxfId="225" priority="2182" operator="containsText" text="Vencido">
      <formula>NOT(ISERROR(SEARCH(("Vencido"),(U80))))</formula>
    </cfRule>
  </conditionalFormatting>
  <conditionalFormatting sqref="AN80:AP80">
    <cfRule type="colorScale" priority="21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lorScale" priority="21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224" priority="2168" operator="containsText" text="Vencido">
      <formula>NOT(ISERROR(SEARCH(("Vencido"),(AE87))))</formula>
    </cfRule>
  </conditionalFormatting>
  <conditionalFormatting sqref="AC87">
    <cfRule type="colorScale" priority="21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223" priority="2160" operator="containsText" text="Vencido">
      <formula>NOT(ISERROR(SEARCH(("Vencido"),(AF80))))</formula>
    </cfRule>
  </conditionalFormatting>
  <conditionalFormatting sqref="AF80">
    <cfRule type="colorScale" priority="21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0">
    <cfRule type="containsText" dxfId="222" priority="2158" operator="containsText" text="Vencido">
      <formula>NOT(ISERROR(SEARCH(("Vencido"),(AF80))))</formula>
    </cfRule>
  </conditionalFormatting>
  <conditionalFormatting sqref="AF80">
    <cfRule type="colorScale" priority="21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0">
    <cfRule type="containsText" dxfId="221" priority="2152" operator="containsText" text="Vencido">
      <formula>NOT(ISERROR(SEARCH(("Vencido"),(BF80))))</formula>
    </cfRule>
  </conditionalFormatting>
  <conditionalFormatting sqref="BD80:BE80">
    <cfRule type="colorScale" priority="21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D80:BE80">
    <cfRule type="colorScale" priority="21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220" priority="2148" operator="containsText" text="Vencido">
      <formula>NOT(ISERROR(SEARCH(("Vencido"),(Y82))))</formula>
    </cfRule>
  </conditionalFormatting>
  <conditionalFormatting sqref="Y82">
    <cfRule type="colorScale" priority="21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2">
    <cfRule type="containsText" dxfId="219" priority="2146" operator="containsText" text="Vencido">
      <formula>NOT(ISERROR(SEARCH(("Vencido"),(AA82))))</formula>
    </cfRule>
  </conditionalFormatting>
  <conditionalFormatting sqref="AA82">
    <cfRule type="colorScale" priority="214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2 W82 Y82 AA82 AC82 AN82:BF82 AG82:AK82 AE82 BH82:BI82">
    <cfRule type="containsText" dxfId="218" priority="2144" operator="containsText" text="Vencido">
      <formula>NOT(ISERROR(SEARCH(("Vencido"),(U82))))</formula>
    </cfRule>
  </conditionalFormatting>
  <conditionalFormatting sqref="BH81:BI81 W81 AH81:AK81 U81 AA81 AC81 AE81 Y81">
    <cfRule type="containsText" dxfId="217" priority="2137" operator="containsText" text="Vencido">
      <formula>NOT(ISERROR(SEARCH(("Vencido"),(U81))))</formula>
    </cfRule>
  </conditionalFormatting>
  <conditionalFormatting sqref="AM78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{98C0B238-EF33-4F0A-9B09-511D2CAE3130}</x14:id>
        </ext>
      </extLst>
    </cfRule>
  </conditionalFormatting>
  <conditionalFormatting sqref="W78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{A1ADB20B-FEA8-4D3D-B55F-F715F62935AB}</x14:id>
        </ext>
      </extLst>
    </cfRule>
  </conditionalFormatting>
  <conditionalFormatting sqref="AM79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{FB24F1F9-8233-49C4-9419-E90106700031}</x14:id>
        </ext>
      </extLst>
    </cfRule>
  </conditionalFormatting>
  <conditionalFormatting sqref="AN80:AP80">
    <cfRule type="containsText" dxfId="216" priority="2127" operator="containsText" text="Vencido">
      <formula>NOT(ISERROR(SEARCH(("Vencido"),(AN80))))</formula>
    </cfRule>
  </conditionalFormatting>
  <conditionalFormatting sqref="AN80:AS80 AZ80:BC80 AU80:AX80">
    <cfRule type="containsText" dxfId="215" priority="2122" operator="containsText" text="Vencido">
      <formula>NOT(ISERROR(SEARCH(("Vencido"),(AN80))))</formula>
    </cfRule>
  </conditionalFormatting>
  <conditionalFormatting sqref="AN80:AS80 AZ80:BC80 AU80:AX80">
    <cfRule type="colorScale" priority="21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lorScale" priority="21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214" priority="2114" operator="containsText" text="Vencido">
      <formula>NOT(ISERROR(SEARCH(("Vencido"),(BH80))))</formula>
    </cfRule>
  </conditionalFormatting>
  <conditionalFormatting sqref="BH80">
    <cfRule type="colorScale" priority="21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80:AJ80">
    <cfRule type="containsText" dxfId="213" priority="2112" operator="containsText" text="Vencido">
      <formula>NOT(ISERROR(SEARCH(("Vencido"),(AH80))))</formula>
    </cfRule>
  </conditionalFormatting>
  <conditionalFormatting sqref="AH80:AJ80">
    <cfRule type="colorScale" priority="21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0:AS80 AZ80:BC80 AU80:AX80">
    <cfRule type="containsText" dxfId="212" priority="2110" operator="containsText" text="Vencido">
      <formula>NOT(ISERROR(SEARCH(("Vencido"),(AN80))))</formula>
    </cfRule>
  </conditionalFormatting>
  <conditionalFormatting sqref="AN80:AS80 AZ80:BC80 AU80:AX80">
    <cfRule type="colorScale" priority="21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ntainsText" dxfId="211" priority="2104" operator="containsText" text="Vencido">
      <formula>NOT(ISERROR(SEARCH(("Vencido"),(BH80))))</formula>
    </cfRule>
  </conditionalFormatting>
  <conditionalFormatting sqref="BH80">
    <cfRule type="colorScale" priority="21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0">
    <cfRule type="colorScale" priority="21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0">
    <cfRule type="containsText" dxfId="210" priority="2101" operator="containsText" text="Vencido">
      <formula>NOT(ISERROR(SEARCH(("Vencido"),(BI80))))</formula>
    </cfRule>
  </conditionalFormatting>
  <conditionalFormatting sqref="BI80">
    <cfRule type="containsText" dxfId="209" priority="2100" operator="containsText" text="Vencido">
      <formula>NOT(ISERROR(SEARCH(("Vencido"),(BI80))))</formula>
    </cfRule>
  </conditionalFormatting>
  <conditionalFormatting sqref="BI80">
    <cfRule type="colorScale" priority="20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0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{16B8E12F-FD06-40B4-9F72-6437506528DF}</x14:id>
        </ext>
      </extLst>
    </cfRule>
  </conditionalFormatting>
  <conditionalFormatting sqref="AY80">
    <cfRule type="containsText" dxfId="208" priority="2091" operator="containsText" text="Vencido">
      <formula>NOT(ISERROR(SEARCH(("Vencido"),(AY80))))</formula>
    </cfRule>
  </conditionalFormatting>
  <conditionalFormatting sqref="AY80">
    <cfRule type="colorScale" priority="20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07" priority="2089" operator="containsText" text="Vencido">
      <formula>NOT(ISERROR(SEARCH(("Vencido"),(AY80))))</formula>
    </cfRule>
  </conditionalFormatting>
  <conditionalFormatting sqref="AY80">
    <cfRule type="colorScale" priority="20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0">
    <cfRule type="containsText" dxfId="206" priority="2087" operator="containsText" text="Vencido">
      <formula>NOT(ISERROR(SEARCH(("Vencido"),(AY80))))</formula>
    </cfRule>
  </conditionalFormatting>
  <conditionalFormatting sqref="AY80">
    <cfRule type="colorScale" priority="20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2">
    <cfRule type="containsText" dxfId="205" priority="2083" operator="containsText" text="Vencido">
      <formula>NOT(ISERROR(SEARCH(("Vencido"),(W82))))</formula>
    </cfRule>
  </conditionalFormatting>
  <conditionalFormatting sqref="U82">
    <cfRule type="colorScale" priority="20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">
    <cfRule type="containsText" dxfId="204" priority="2081" operator="containsText" text="Vencido">
      <formula>NOT(ISERROR(SEARCH(("Vencido"),(Y82))))</formula>
    </cfRule>
  </conditionalFormatting>
  <conditionalFormatting sqref="W82">
    <cfRule type="colorScale" priority="20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2">
    <cfRule type="containsText" dxfId="203" priority="2079" operator="containsText" text="Vencido">
      <formula>NOT(ISERROR(SEARCH(("Vencido"),(AE82))))</formula>
    </cfRule>
  </conditionalFormatting>
  <conditionalFormatting sqref="AC82">
    <cfRule type="colorScale" priority="20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6">
    <cfRule type="containsText" dxfId="202" priority="2077" operator="containsText" text="Vencido">
      <formula>NOT(ISERROR(SEARCH(("Vencido"),(Y86))))</formula>
    </cfRule>
  </conditionalFormatting>
  <conditionalFormatting sqref="AE82">
    <cfRule type="colorScale" priority="207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6">
    <cfRule type="containsText" dxfId="201" priority="2075" operator="containsText" text="Vencido">
      <formula>NOT(ISERROR(SEARCH(("Vencido"),(AA86))))</formula>
    </cfRule>
  </conditionalFormatting>
  <conditionalFormatting sqref="AA86">
    <cfRule type="colorScale" priority="207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200" priority="2071" operator="containsText" text="Vencido">
      <formula>NOT(ISERROR(SEARCH(("Vencido"),(AT80))))</formula>
    </cfRule>
  </conditionalFormatting>
  <conditionalFormatting sqref="AT80">
    <cfRule type="colorScale" priority="207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9" priority="2069" operator="containsText" text="Vencido">
      <formula>NOT(ISERROR(SEARCH(("Vencido"),(AT80))))</formula>
    </cfRule>
  </conditionalFormatting>
  <conditionalFormatting sqref="AT80">
    <cfRule type="colorScale" priority="20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8" priority="2067" operator="containsText" text="Vencido">
      <formula>NOT(ISERROR(SEARCH(("Vencido"),(AT80))))</formula>
    </cfRule>
  </conditionalFormatting>
  <conditionalFormatting sqref="AT80">
    <cfRule type="colorScale" priority="20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T80">
    <cfRule type="containsText" dxfId="197" priority="2065" operator="containsText" text="Vencido">
      <formula>NOT(ISERROR(SEARCH(("Vencido"),(AT80))))</formula>
    </cfRule>
  </conditionalFormatting>
  <conditionalFormatting sqref="AT80">
    <cfRule type="colorScale" priority="20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5:AP85">
    <cfRule type="colorScale" priority="20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2 AA82 AE82">
    <cfRule type="containsText" dxfId="196" priority="2062" operator="containsText" text="Vencido">
      <formula>NOT(ISERROR(SEARCH(("Vencido"),(Y82))))</formula>
    </cfRule>
  </conditionalFormatting>
  <conditionalFormatting sqref="AA82 Y82 AE82">
    <cfRule type="colorScale" priority="206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lorScale" priority="20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5">
    <cfRule type="containsText" dxfId="195" priority="2054" operator="containsText" text="Vencido">
      <formula>NOT(ISERROR(SEARCH(("Vencido"),(BI85))))</formula>
    </cfRule>
  </conditionalFormatting>
  <conditionalFormatting sqref="BC85:BF85">
    <cfRule type="colorScale" priority="20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2">
    <cfRule type="containsText" dxfId="194" priority="2052" operator="containsText" text="Vencido">
      <formula>NOT(ISERROR(SEARCH(("Vencido"),(AE82))))</formula>
    </cfRule>
  </conditionalFormatting>
  <conditionalFormatting sqref="AE82">
    <cfRule type="colorScale" priority="20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2:BF82">
    <cfRule type="containsText" dxfId="193" priority="2050" operator="containsText" text="Vencido">
      <formula>NOT(ISERROR(SEARCH(("Vencido"),(AQ82))))</formula>
    </cfRule>
  </conditionalFormatting>
  <conditionalFormatting sqref="AQ82:BF82">
    <cfRule type="colorScale" priority="204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192" priority="2048" operator="containsText" text="Vencido">
      <formula>NOT(ISERROR(SEARCH(("Vencido"),(BH85))))</formula>
    </cfRule>
  </conditionalFormatting>
  <conditionalFormatting sqref="BI85">
    <cfRule type="colorScale" priority="204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1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{0A1DB32C-F4E8-4F24-A2A3-644E546672A5}</x14:id>
        </ext>
      </extLst>
    </cfRule>
  </conditionalFormatting>
  <conditionalFormatting sqref="W82">
    <cfRule type="containsText" dxfId="191" priority="2035" operator="containsText" text="Vencido">
      <formula>NOT(ISERROR(SEARCH(("Vencido"),(W82))))</formula>
    </cfRule>
  </conditionalFormatting>
  <conditionalFormatting sqref="AA82">
    <cfRule type="containsText" dxfId="190" priority="2032" operator="containsText" text="Vencido">
      <formula>NOT(ISERROR(SEARCH(("Vencido"),(AA82))))</formula>
    </cfRule>
  </conditionalFormatting>
  <conditionalFormatting sqref="AA82">
    <cfRule type="colorScale" priority="20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189" priority="2030" operator="containsText" text="Vencido">
      <formula>NOT(ISERROR(SEARCH(("Vencido"),(AC82))))</formula>
    </cfRule>
  </conditionalFormatting>
  <conditionalFormatting sqref="U87">
    <cfRule type="containsText" dxfId="188" priority="2018" operator="containsText" text="Vencido">
      <formula>NOT(ISERROR(SEARCH(("Vencido"),(U87))))</formula>
    </cfRule>
  </conditionalFormatting>
  <conditionalFormatting sqref="U87">
    <cfRule type="colorScale" priority="20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187" priority="2016" operator="containsText" text="Vencido">
      <formula>NOT(ISERROR(SEARCH(("Vencido"),(W87))))</formula>
    </cfRule>
  </conditionalFormatting>
  <conditionalFormatting sqref="AA82">
    <cfRule type="colorScale" priority="20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2">
    <cfRule type="containsText" dxfId="186" priority="2014" operator="containsText" text="Vencido">
      <formula>NOT(ISERROR(SEARCH(("Vencido"),(AC82))))</formula>
    </cfRule>
  </conditionalFormatting>
  <conditionalFormatting sqref="AC82">
    <cfRule type="colorScale" priority="20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84:AK84 U84 W84 Y84 AA84 AC84 AE84">
    <cfRule type="containsText" dxfId="185" priority="2012" operator="containsText" text="Vencido">
      <formula>NOT(ISERROR(SEARCH(("Vencido"),(U84))))</formula>
    </cfRule>
  </conditionalFormatting>
  <conditionalFormatting sqref="AG84:AK84 U84 W84 Y84 AA84 AC84 AE84">
    <cfRule type="colorScale" priority="20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4">
    <cfRule type="containsText" dxfId="184" priority="2010" operator="containsText" text="Vencido">
      <formula>NOT(ISERROR(SEARCH(("Vencido"),(AO84))))</formula>
    </cfRule>
  </conditionalFormatting>
  <conditionalFormatting sqref="AO84">
    <cfRule type="colorScale" priority="20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6">
    <cfRule type="containsText" dxfId="183" priority="2008" operator="containsText" text="Vencido">
      <formula>NOT(ISERROR(SEARCH(("Vencido"),(AC86))))</formula>
    </cfRule>
  </conditionalFormatting>
  <conditionalFormatting sqref="Y82">
    <cfRule type="colorScale" priority="20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2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{908899D8-2FFF-4C3A-9A54-07C442778F90}</x14:id>
        </ext>
      </extLst>
    </cfRule>
  </conditionalFormatting>
  <conditionalFormatting sqref="W83 AG83:AK83 U83 AA83 AC83 AE83 Y83">
    <cfRule type="containsText" dxfId="182" priority="1997" operator="containsText" text="Vencido">
      <formula>NOT(ISERROR(SEARCH(("Vencido"),(U83))))</formula>
    </cfRule>
  </conditionalFormatting>
  <conditionalFormatting sqref="AG83:AK83 W83 U83 AA83 AC83 AE83 Y83">
    <cfRule type="colorScale" priority="199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3">
    <cfRule type="containsText" dxfId="181" priority="1995" operator="containsText" text="Vencido">
      <formula>NOT(ISERROR(SEARCH(("Vencido"),(AO83))))</formula>
    </cfRule>
  </conditionalFormatting>
  <conditionalFormatting sqref="AO83">
    <cfRule type="colorScale" priority="199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3 AF83 AP83:BF83">
    <cfRule type="containsText" dxfId="180" priority="1993" operator="containsText" text="Vencido">
      <formula>NOT(ISERROR(SEARCH(("Vencido"),(AF83))))</formula>
    </cfRule>
  </conditionalFormatting>
  <conditionalFormatting sqref="AN83 AF83 AP83:BF83">
    <cfRule type="colorScale" priority="199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83">
    <cfRule type="containsText" dxfId="179" priority="1991" operator="containsText" text="Vencido">
      <formula>NOT(ISERROR(SEARCH(("Vencido"),(AO83))))</formula>
    </cfRule>
  </conditionalFormatting>
  <conditionalFormatting sqref="AO83">
    <cfRule type="colorScale" priority="19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3">
    <cfRule type="containsText" dxfId="178" priority="1989" operator="containsText" text="Vencido">
      <formula>NOT(ISERROR(SEARCH(("Vencido"),(BH83))))</formula>
    </cfRule>
  </conditionalFormatting>
  <conditionalFormatting sqref="BH83">
    <cfRule type="colorScale" priority="19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83">
    <cfRule type="containsText" dxfId="177" priority="1987" operator="containsText" text="Vencido">
      <formula>NOT(ISERROR(SEARCH(("Vencido"),(BI83))))</formula>
    </cfRule>
  </conditionalFormatting>
  <conditionalFormatting sqref="BI83">
    <cfRule type="colorScale" priority="19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3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{D2348D17-DDCA-4EE6-B03D-6D11EB2B8964}</x14:id>
        </ext>
      </extLst>
    </cfRule>
  </conditionalFormatting>
  <conditionalFormatting sqref="AN84 AP84:BF84">
    <cfRule type="containsText" dxfId="176" priority="1979" operator="containsText" text="Vencido">
      <formula>NOT(ISERROR(SEARCH(("Vencido"),(AN84))))</formula>
    </cfRule>
  </conditionalFormatting>
  <conditionalFormatting sqref="AP84:BF84 AN84">
    <cfRule type="colorScale" priority="19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4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{D78E6A59-84F6-4103-8D2A-8C4FC0DDC6B6}</x14:id>
        </ext>
      </extLst>
    </cfRule>
  </conditionalFormatting>
  <conditionalFormatting sqref="AH85:AK85">
    <cfRule type="containsText" dxfId="175" priority="1960" operator="containsText" text="Vencido">
      <formula>NOT(ISERROR(SEARCH(("Vencido"),(AH85))))</formula>
    </cfRule>
  </conditionalFormatting>
  <conditionalFormatting sqref="AH85:AK85">
    <cfRule type="colorScale" priority="195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ntainsText" dxfId="174" priority="1958" operator="containsText" text="Vencido">
      <formula>NOT(ISERROR(SEARCH(("Vencido"),(AM85))))</formula>
    </cfRule>
  </conditionalFormatting>
  <conditionalFormatting sqref="AM85">
    <cfRule type="colorScale" priority="19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85">
    <cfRule type="containsText" dxfId="173" priority="1955" operator="containsText" text="Vencido">
      <formula>NOT(ISERROR(SEARCH(("Vencido"),(BH85))))</formula>
    </cfRule>
  </conditionalFormatting>
  <conditionalFormatting sqref="BH85">
    <cfRule type="colorScale" priority="19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colorScale" priority="19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5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{E2168EE7-BB27-4764-9C15-7BAF56FE14A1}</x14:id>
        </ext>
      </extLst>
    </cfRule>
  </conditionalFormatting>
  <conditionalFormatting sqref="BC85:BF85">
    <cfRule type="containsText" dxfId="172" priority="1949" operator="containsText" text="Vencido">
      <formula>NOT(ISERROR(SEARCH(("Vencido"),(BC85))))</formula>
    </cfRule>
  </conditionalFormatting>
  <conditionalFormatting sqref="AF85">
    <cfRule type="colorScale" priority="19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5:BB85">
    <cfRule type="containsText" dxfId="171" priority="1943" operator="containsText" text="Vencido">
      <formula>NOT(ISERROR(SEARCH(("Vencido"),(AQ85))))</formula>
    </cfRule>
  </conditionalFormatting>
  <conditionalFormatting sqref="AQ85:BB85">
    <cfRule type="colorScale" priority="19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lorScale" priority="19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Z85:BB85">
    <cfRule type="containsText" dxfId="170" priority="1931" operator="containsText" text="Vencido">
      <formula>NOT(ISERROR(SEARCH(("Vencido"),(AZ85))))</formula>
    </cfRule>
  </conditionalFormatting>
  <conditionalFormatting sqref="AZ85:BB85">
    <cfRule type="colorScale" priority="19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5">
    <cfRule type="containsText" dxfId="169" priority="1929" operator="containsText" text="Vencido">
      <formula>NOT(ISERROR(SEARCH(("Vencido"),(AY85))))</formula>
    </cfRule>
  </conditionalFormatting>
  <conditionalFormatting sqref="AY85">
    <cfRule type="colorScale" priority="19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85">
    <cfRule type="containsText" dxfId="168" priority="1925" operator="containsText" text="Vencido">
      <formula>NOT(ISERROR(SEARCH(("Vencido"),(AY85))))</formula>
    </cfRule>
  </conditionalFormatting>
  <conditionalFormatting sqref="AY85">
    <cfRule type="colorScale" priority="19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86:BF86 AG86:AK86 BH86:BI86">
    <cfRule type="containsText" dxfId="167" priority="1923" operator="containsText" text="Vencido">
      <formula>NOT(ISERROR(SEARCH(("Vencido"),(AG86))))</formula>
    </cfRule>
  </conditionalFormatting>
  <conditionalFormatting sqref="AN86:BF86 AG86:AK86 BH86:BI86">
    <cfRule type="colorScale" priority="192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lorScale" priority="19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166" priority="1919" operator="containsText" text="Vencido">
      <formula>NOT(ISERROR(SEARCH(("Vencido"),(AQ86))))</formula>
    </cfRule>
  </conditionalFormatting>
  <conditionalFormatting sqref="AQ86:BF86">
    <cfRule type="colorScale" priority="19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86:BF86">
    <cfRule type="containsText" dxfId="165" priority="1917" operator="containsText" text="Vencido">
      <formula>NOT(ISERROR(SEARCH(("Vencido"),(AQ86))))</formula>
    </cfRule>
  </conditionalFormatting>
  <conditionalFormatting sqref="AC86">
    <cfRule type="colorScale" priority="19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6">
    <cfRule type="containsText" dxfId="164" priority="1910" operator="containsText" text="Vencido">
      <formula>NOT(ISERROR(SEARCH(("Vencido"),(AE86))))</formula>
    </cfRule>
  </conditionalFormatting>
  <conditionalFormatting sqref="AM86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{5380A937-85D8-456F-897B-A1BEE3059FE1}</x14:id>
        </ext>
      </extLst>
    </cfRule>
  </conditionalFormatting>
  <conditionalFormatting sqref="U91">
    <cfRule type="containsText" dxfId="163" priority="1890" operator="containsText" text="Vencido">
      <formula>NOT(ISERROR(SEARCH(("Vencido"),(U91))))</formula>
    </cfRule>
  </conditionalFormatting>
  <conditionalFormatting sqref="U91">
    <cfRule type="colorScale" priority="18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1">
    <cfRule type="containsText" dxfId="162" priority="1888" operator="containsText" text="Vencido">
      <formula>NOT(ISERROR(SEARCH(("Vencido"),(W91))))</formula>
    </cfRule>
  </conditionalFormatting>
  <conditionalFormatting sqref="W91">
    <cfRule type="colorScale" priority="18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1">
    <cfRule type="containsText" dxfId="161" priority="1886" operator="containsText" text="Vencido">
      <formula>NOT(ISERROR(SEARCH(("Vencido"),(Y91))))</formula>
    </cfRule>
  </conditionalFormatting>
  <conditionalFormatting sqref="Y91">
    <cfRule type="colorScale" priority="18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ntainsText" dxfId="160" priority="1884" operator="containsText" text="Vencido">
      <formula>NOT(ISERROR(SEARCH(("Vencido"),(AA91))))</formula>
    </cfRule>
  </conditionalFormatting>
  <conditionalFormatting sqref="AC91">
    <cfRule type="colorScale" priority="18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1">
    <cfRule type="containsText" dxfId="159" priority="1880" operator="containsText" text="Vencido">
      <formula>NOT(ISERROR(SEARCH(("Vencido"),(AE91))))</formula>
    </cfRule>
  </conditionalFormatting>
  <conditionalFormatting sqref="W87">
    <cfRule type="colorScale" priority="18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158" priority="1878" operator="containsText" text="Vencido">
      <formula>NOT(ISERROR(SEARCH(("Vencido"),(Y87))))</formula>
    </cfRule>
  </conditionalFormatting>
  <conditionalFormatting sqref="Y87">
    <cfRule type="colorScale" priority="18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157" priority="1876" operator="containsText" text="Vencido">
      <formula>NOT(ISERROR(SEARCH(("Vencido"),(AA87))))</formula>
    </cfRule>
  </conditionalFormatting>
  <conditionalFormatting sqref="AA87">
    <cfRule type="colorScale" priority="18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87">
    <cfRule type="containsText" dxfId="156" priority="1874" operator="containsText" text="Vencido">
      <formula>NOT(ISERROR(SEARCH(("Vencido"),(AC87))))</formula>
    </cfRule>
  </conditionalFormatting>
  <conditionalFormatting sqref="AC87">
    <cfRule type="colorScale" priority="18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87">
    <cfRule type="containsText" dxfId="155" priority="1872" operator="containsText" text="Vencido">
      <formula>NOT(ISERROR(SEARCH(("Vencido"),(AE87))))</formula>
    </cfRule>
  </conditionalFormatting>
  <conditionalFormatting sqref="AE87">
    <cfRule type="colorScale" priority="187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87">
    <cfRule type="containsText" dxfId="154" priority="1870" operator="containsText" text="Vencido">
      <formula>NOT(ISERROR(SEARCH(("Vencido"),(U87))))</formula>
    </cfRule>
  </conditionalFormatting>
  <conditionalFormatting sqref="U87">
    <cfRule type="colorScale" priority="186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87">
    <cfRule type="containsText" dxfId="153" priority="1868" operator="containsText" text="Vencido">
      <formula>NOT(ISERROR(SEARCH(("Vencido"),(W87))))</formula>
    </cfRule>
  </conditionalFormatting>
  <conditionalFormatting sqref="W87">
    <cfRule type="colorScale" priority="18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87">
    <cfRule type="containsText" dxfId="152" priority="1866" operator="containsText" text="Vencido">
      <formula>NOT(ISERROR(SEARCH(("Vencido"),(Y87))))</formula>
    </cfRule>
  </conditionalFormatting>
  <conditionalFormatting sqref="Y87">
    <cfRule type="colorScale" priority="18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87">
    <cfRule type="containsText" dxfId="151" priority="1864" operator="containsText" text="Vencido">
      <formula>NOT(ISERROR(SEARCH(("Vencido"),(AA87))))</formula>
    </cfRule>
  </conditionalFormatting>
  <conditionalFormatting sqref="AA87">
    <cfRule type="colorScale" priority="186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7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{D0F6BD4C-E2D2-45F1-8B8C-F9F37F65F3B1}</x14:id>
        </ext>
      </extLst>
    </cfRule>
  </conditionalFormatting>
  <conditionalFormatting sqref="AF81">
    <cfRule type="containsText" dxfId="150" priority="1827" operator="containsText" text="Vencido">
      <formula>NOT(ISERROR(SEARCH(("Vencido"),(AF81))))</formula>
    </cfRule>
  </conditionalFormatting>
  <conditionalFormatting sqref="AF81">
    <cfRule type="colorScale" priority="18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81">
    <cfRule type="containsText" dxfId="149" priority="1825" operator="containsText" text="Vencido">
      <formula>NOT(ISERROR(SEARCH(("Vencido"),(AF81))))</formula>
    </cfRule>
  </conditionalFormatting>
  <conditionalFormatting sqref="AF81">
    <cfRule type="colorScale" priority="18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1">
    <cfRule type="containsText" dxfId="148" priority="1811" operator="containsText" text="Vencido">
      <formula>NOT(ISERROR(SEARCH(("Vencido"),(BF81))))</formula>
    </cfRule>
  </conditionalFormatting>
  <conditionalFormatting sqref="BF81">
    <cfRule type="colorScale" priority="18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F81">
    <cfRule type="containsText" dxfId="147" priority="1809" operator="containsText" text="Vencido">
      <formula>NOT(ISERROR(SEARCH(("Vencido"),(BF81))))</formula>
    </cfRule>
  </conditionalFormatting>
  <conditionalFormatting sqref="BF81">
    <cfRule type="colorScale" priority="18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8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{F15140A5-F76C-4E90-ACE1-614F536A4237}</x14:id>
        </ext>
      </extLst>
    </cfRule>
  </conditionalFormatting>
  <conditionalFormatting sqref="AN89:AU89 AW89:BF89 W89 Y89 AA89 AE89:AK89 U89 AC89 BH89:BI89">
    <cfRule type="containsText" dxfId="146" priority="1794" operator="containsText" text="Vencido">
      <formula>NOT(ISERROR(SEARCH(("Vencido"),(U89))))</formula>
    </cfRule>
  </conditionalFormatting>
  <conditionalFormatting sqref="AN89:AU89 AW89:BF89 W89 Y89 AA89 AE89:AK89 U89 AC89 BH89:BI89">
    <cfRule type="colorScale" priority="17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9">
    <cfRule type="containsText" dxfId="145" priority="1792" operator="containsText" text="Vencido">
      <formula>NOT(ISERROR(SEARCH(("Vencido"),(AM89))))</formula>
    </cfRule>
  </conditionalFormatting>
  <conditionalFormatting sqref="AM89">
    <cfRule type="colorScale" priority="17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V89">
    <cfRule type="containsText" dxfId="144" priority="1790" operator="containsText" text="Vencido">
      <formula>NOT(ISERROR(SEARCH(("Vencido"),(AV89))))</formula>
    </cfRule>
  </conditionalFormatting>
  <conditionalFormatting sqref="AV89">
    <cfRule type="colorScale" priority="17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89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{02AD84D0-6B87-4853-BD59-CFA87357C3A2}</x14:id>
        </ext>
      </extLst>
    </cfRule>
  </conditionalFormatting>
  <conditionalFormatting sqref="AG90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{8AC9C044-E546-4388-944A-D614B7669DAA}</x14:id>
        </ext>
      </extLst>
    </cfRule>
  </conditionalFormatting>
  <conditionalFormatting sqref="AM90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{14E373C8-2580-4154-8442-7B4EC3F2EEB4}</x14:id>
        </ext>
      </extLst>
    </cfRule>
  </conditionalFormatting>
  <conditionalFormatting sqref="W91">
    <cfRule type="containsText" dxfId="143" priority="1767" operator="containsText" text="Vencido">
      <formula>NOT(ISERROR(SEARCH(("Vencido"),(W91))))</formula>
    </cfRule>
  </conditionalFormatting>
  <conditionalFormatting sqref="W91">
    <cfRule type="colorScale" priority="17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1">
    <cfRule type="containsText" dxfId="142" priority="1765" operator="containsText" text="Vencido">
      <formula>NOT(ISERROR(SEARCH(("Vencido"),(Y91))))</formula>
    </cfRule>
  </conditionalFormatting>
  <conditionalFormatting sqref="Y91">
    <cfRule type="colorScale" priority="17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1">
    <cfRule type="containsText" dxfId="141" priority="1763" operator="containsText" text="Vencido">
      <formula>NOT(ISERROR(SEARCH(("Vencido"),(AA91))))</formula>
    </cfRule>
  </conditionalFormatting>
  <conditionalFormatting sqref="AA91">
    <cfRule type="colorScale" priority="17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G97:AK97 AE97 AC97 AA97 Y97 W97 U97">
    <cfRule type="containsText" dxfId="140" priority="1760" operator="containsText" text="Vencido">
      <formula>NOT(ISERROR(SEARCH(("Vencido"),(U97))))</formula>
    </cfRule>
  </conditionalFormatting>
  <conditionalFormatting sqref="AN97:BF97">
    <cfRule type="containsText" dxfId="139" priority="1758" operator="containsText" text="Vencido">
      <formula>NOT(ISERROR(SEARCH(("Vencido"),(AN97))))</formula>
    </cfRule>
  </conditionalFormatting>
  <conditionalFormatting sqref="AN97:BF97">
    <cfRule type="colorScale" priority="175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7">
    <cfRule type="containsText" dxfId="138" priority="1756" operator="containsText" text="Vencido">
      <formula>NOT(ISERROR(SEARCH(("Vencido"),(AF97))))</formula>
    </cfRule>
  </conditionalFormatting>
  <conditionalFormatting sqref="AF97">
    <cfRule type="colorScale" priority="17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97">
    <cfRule type="containsText" dxfId="137" priority="1754" operator="containsText" text="Vencido">
      <formula>NOT(ISERROR(SEARCH(("Vencido"),(AO97))))</formula>
    </cfRule>
  </conditionalFormatting>
  <conditionalFormatting sqref="AC91">
    <cfRule type="colorScale" priority="17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1">
    <cfRule type="containsText" dxfId="136" priority="1752" operator="containsText" text="Vencido">
      <formula>NOT(ISERROR(SEARCH(("Vencido"),(AE91))))</formula>
    </cfRule>
  </conditionalFormatting>
  <conditionalFormatting sqref="AE91">
    <cfRule type="colorScale" priority="17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{3992EEE6-7F1E-48D7-86EA-0907A417AAD8}</x14:id>
        </ext>
      </extLst>
    </cfRule>
  </conditionalFormatting>
  <conditionalFormatting sqref="AM92 U92 AA92 AC92 AE92 AG92:AK92 Y92 W92">
    <cfRule type="containsText" dxfId="135" priority="1749" operator="containsText" text="Vencido">
      <formula>NOT(ISERROR(SEARCH(("Vencido"),(U92))))</formula>
    </cfRule>
  </conditionalFormatting>
  <conditionalFormatting sqref="U92 AM92 AA92 AC92 AE92 AG92:AK92 Y92 W92">
    <cfRule type="colorScale" priority="17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2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{AB29473E-727A-49F5-9DC2-8CAB5E163402}</x14:id>
        </ext>
      </extLst>
    </cfRule>
  </conditionalFormatting>
  <conditionalFormatting sqref="U93 W93 AA93 AC93 Y93 AE93:AK93">
    <cfRule type="containsText" dxfId="134" priority="1740" operator="containsText" text="Vencido">
      <formula>NOT(ISERROR(SEARCH(("Vencido"),(U93))))</formula>
    </cfRule>
  </conditionalFormatting>
  <conditionalFormatting sqref="U93 W93 AA93 AC93 Y93 AE93:AK93">
    <cfRule type="colorScale" priority="173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93:AP93">
    <cfRule type="containsText" dxfId="133" priority="1738" operator="containsText" text="Vencido">
      <formula>NOT(ISERROR(SEARCH(("Vencido"),(AN93))))</formula>
    </cfRule>
  </conditionalFormatting>
  <conditionalFormatting sqref="AN93:AP93">
    <cfRule type="colorScale" priority="173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containsText" dxfId="132" priority="1736" operator="containsText" text="Vencido">
      <formula>NOT(ISERROR(SEARCH(("Vencido"),(AM93))))</formula>
    </cfRule>
  </conditionalFormatting>
  <conditionalFormatting sqref="AM93">
    <cfRule type="colorScale" priority="173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3">
    <cfRule type="containsText" dxfId="131" priority="1734" operator="containsText" text="Vencido">
      <formula>NOT(ISERROR(SEARCH(("Vencido"),(AF93))))</formula>
    </cfRule>
  </conditionalFormatting>
  <conditionalFormatting sqref="AM93">
    <cfRule type="colorScale" priority="17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3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{112397A5-59AD-42D5-B31E-3A1CE23A0A7C}</x14:id>
        </ext>
      </extLst>
    </cfRule>
  </conditionalFormatting>
  <conditionalFormatting sqref="BF93">
    <cfRule type="containsText" dxfId="130" priority="1731" operator="containsText" text="Vencido">
      <formula>NOT(ISERROR(SEARCH(("Vencido"),(BF93))))</formula>
    </cfRule>
  </conditionalFormatting>
  <conditionalFormatting sqref="BF93">
    <cfRule type="colorScale" priority="17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3">
    <cfRule type="containsText" dxfId="129" priority="1729" operator="containsText" text="Vencido">
      <formula>NOT(ISERROR(SEARCH(("Vencido"),(BI93))))</formula>
    </cfRule>
  </conditionalFormatting>
  <conditionalFormatting sqref="BF93">
    <cfRule type="colorScale" priority="17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3:BE93">
    <cfRule type="containsText" dxfId="128" priority="1727" operator="containsText" text="Vencido">
      <formula>NOT(ISERROR(SEARCH(("Vencido"),(AQ93))))</formula>
    </cfRule>
  </conditionalFormatting>
  <conditionalFormatting sqref="AQ93:BE93">
    <cfRule type="colorScale" priority="172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3:BE93">
    <cfRule type="containsText" dxfId="127" priority="1725" operator="containsText" text="Vencido">
      <formula>NOT(ISERROR(SEARCH(("Vencido"),(AQ93))))</formula>
    </cfRule>
  </conditionalFormatting>
  <conditionalFormatting sqref="AQ93:BE93">
    <cfRule type="colorScale" priority="17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4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{1B69EB69-B00C-4289-B3DA-09593C94CF6E}</x14:id>
        </ext>
      </extLst>
    </cfRule>
  </conditionalFormatting>
  <conditionalFormatting sqref="AM95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{1C780815-FB15-4C2E-AD5F-19B709083F30}</x14:id>
        </ext>
      </extLst>
    </cfRule>
  </conditionalFormatting>
  <conditionalFormatting sqref="AN96:BF96 AG96:AK96 BH96:BI96">
    <cfRule type="containsText" dxfId="126" priority="1709" operator="containsText" text="Vencido">
      <formula>NOT(ISERROR(SEARCH(("Vencido"),(AG96))))</formula>
    </cfRule>
  </conditionalFormatting>
  <conditionalFormatting sqref="AN96:BF96 AG96:AK96 BH96:BI96">
    <cfRule type="colorScale" priority="17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125" priority="1707" operator="containsText" text="Vencido">
      <formula>NOT(ISERROR(SEARCH(("Vencido"),(AQ96))))</formula>
    </cfRule>
  </conditionalFormatting>
  <conditionalFormatting sqref="AQ96:BF96">
    <cfRule type="colorScale" priority="17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6:BF96">
    <cfRule type="containsText" dxfId="124" priority="1705" operator="containsText" text="Vencido">
      <formula>NOT(ISERROR(SEARCH(("Vencido"),(AQ96))))</formula>
    </cfRule>
  </conditionalFormatting>
  <conditionalFormatting sqref="AQ96:BF96">
    <cfRule type="colorScale" priority="17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6">
    <cfRule type="containsText" dxfId="123" priority="1685" operator="containsText" text="Vencido">
      <formula>NOT(ISERROR(SEARCH(("Vencido"),(Y96))))</formula>
    </cfRule>
  </conditionalFormatting>
  <conditionalFormatting sqref="Y96">
    <cfRule type="colorScale" priority="16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6">
    <cfRule type="containsText" dxfId="122" priority="1683" operator="containsText" text="Vencido">
      <formula>NOT(ISERROR(SEARCH(("Vencido"),(AA96))))</formula>
    </cfRule>
  </conditionalFormatting>
  <conditionalFormatting sqref="AA96">
    <cfRule type="colorScale" priority="16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6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{DCFB223C-196D-4484-BE3A-7D20C09EE8A5}</x14:id>
        </ext>
      </extLst>
    </cfRule>
  </conditionalFormatting>
  <conditionalFormatting sqref="AM97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{827C4155-BFF1-4E79-B210-0D1A2E55237A}</x14:id>
        </ext>
      </extLst>
    </cfRule>
  </conditionalFormatting>
  <conditionalFormatting sqref="AN98 AQ98:BF98 AG98:AK98 BH98:BI98">
    <cfRule type="containsText" dxfId="121" priority="1634" operator="containsText" text="Vencido">
      <formula>NOT(ISERROR(SEARCH(("Vencido"),(AG98))))</formula>
    </cfRule>
  </conditionalFormatting>
  <conditionalFormatting sqref="AQ98:BF98 AN98 AG98:AK98 BH98:BI98">
    <cfRule type="colorScale" priority="16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20" priority="1632" operator="containsText" text="Vencido">
      <formula>NOT(ISERROR(SEARCH(("Vencido"),(AQ98))))</formula>
    </cfRule>
  </conditionalFormatting>
  <conditionalFormatting sqref="AQ98:BF98">
    <cfRule type="colorScale" priority="16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19" priority="1630" operator="containsText" text="Vencido">
      <formula>NOT(ISERROR(SEARCH(("Vencido"),(AQ98))))</formula>
    </cfRule>
  </conditionalFormatting>
  <conditionalFormatting sqref="AQ98:BF98">
    <cfRule type="colorScale" priority="16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98:BF98">
    <cfRule type="containsText" dxfId="118" priority="1628" operator="containsText" text="Vencido">
      <formula>NOT(ISERROR(SEARCH(("Vencido"),(AQ98))))</formula>
    </cfRule>
  </conditionalFormatting>
  <conditionalFormatting sqref="AQ98:BF98">
    <cfRule type="colorScale" priority="16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98">
    <cfRule type="containsText" dxfId="117" priority="1626" operator="containsText" text="Vencido">
      <formula>NOT(ISERROR(SEARCH(("Vencido"),(U98))))</formula>
    </cfRule>
  </conditionalFormatting>
  <conditionalFormatting sqref="U98">
    <cfRule type="colorScale" priority="16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98">
    <cfRule type="containsText" dxfId="116" priority="1624" operator="containsText" text="Vencido">
      <formula>NOT(ISERROR(SEARCH(("Vencido"),(W98))))</formula>
    </cfRule>
  </conditionalFormatting>
  <conditionalFormatting sqref="W98">
    <cfRule type="colorScale" priority="162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98">
    <cfRule type="containsText" dxfId="115" priority="1622" operator="containsText" text="Vencido">
      <formula>NOT(ISERROR(SEARCH(("Vencido"),(Y98))))</formula>
    </cfRule>
  </conditionalFormatting>
  <conditionalFormatting sqref="Y98">
    <cfRule type="colorScale" priority="16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98">
    <cfRule type="containsText" dxfId="114" priority="1620" operator="containsText" text="Vencido">
      <formula>NOT(ISERROR(SEARCH(("Vencido"),(AA98))))</formula>
    </cfRule>
  </conditionalFormatting>
  <conditionalFormatting sqref="AA98">
    <cfRule type="colorScale" priority="161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98">
    <cfRule type="containsText" dxfId="113" priority="1618" operator="containsText" text="Vencido">
      <formula>NOT(ISERROR(SEARCH(("Vencido"),(AC98))))</formula>
    </cfRule>
  </conditionalFormatting>
  <conditionalFormatting sqref="AC98">
    <cfRule type="colorScale" priority="161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8">
    <cfRule type="containsText" dxfId="112" priority="1616" operator="containsText" text="Vencido">
      <formula>NOT(ISERROR(SEARCH(("Vencido"),(AE98))))</formula>
    </cfRule>
  </conditionalFormatting>
  <conditionalFormatting sqref="AE98">
    <cfRule type="colorScale" priority="161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98 W98 U98 Y98 AA98 AC98">
    <cfRule type="containsText" dxfId="111" priority="1614" operator="containsText" text="Vencido">
      <formula>NOT(ISERROR(SEARCH(("Vencido"),(U98))))</formula>
    </cfRule>
  </conditionalFormatting>
  <conditionalFormatting sqref="W98 AE98 U98 Y98 AA98 AC98">
    <cfRule type="colorScale" priority="16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8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{BDFB035D-909F-4B57-811A-321AE56C6D01}</x14:id>
        </ext>
      </extLst>
    </cfRule>
  </conditionalFormatting>
  <conditionalFormatting sqref="AM30:AM77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{77EE8388-33F6-44FA-A867-F827E9508FD7}</x14:id>
        </ext>
      </extLst>
    </cfRule>
  </conditionalFormatting>
  <conditionalFormatting sqref="AM22">
    <cfRule type="containsText" dxfId="110" priority="1382" operator="containsText" text="Vencido">
      <formula>NOT(ISERROR(SEARCH(("Vencido"),(AM22))))</formula>
    </cfRule>
  </conditionalFormatting>
  <conditionalFormatting sqref="AN22">
    <cfRule type="colorScale" priority="13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109" priority="1380" operator="containsText" text="Vencido">
      <formula>NOT(ISERROR(SEARCH(("Vencido"),(AQ28))))</formula>
    </cfRule>
  </conditionalFormatting>
  <conditionalFormatting sqref="U22 W22 AA22 AC22 Y22 AE22:AK22">
    <cfRule type="colorScale" priority="13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2:AX22 AZ22:BF22">
    <cfRule type="containsText" dxfId="108" priority="1369" operator="containsText" text="Vencido">
      <formula>NOT(ISERROR(SEARCH(("Vencido"),(AN22))))</formula>
    </cfRule>
  </conditionalFormatting>
  <conditionalFormatting sqref="BI22">
    <cfRule type="colorScale" priority="13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2">
    <cfRule type="containsText" dxfId="107" priority="1367" operator="containsText" text="Vencido">
      <formula>NOT(ISERROR(SEARCH(("Vencido"),(BH22))))</formula>
    </cfRule>
  </conditionalFormatting>
  <conditionalFormatting sqref="AN22:AX22 AZ22:BF22">
    <cfRule type="colorScale" priority="136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 AH22:AJ22">
    <cfRule type="containsText" dxfId="106" priority="1365" operator="containsText" text="Vencido">
      <formula>NOT(ISERROR(SEARCH(("Vencido"),(AF22))))</formula>
    </cfRule>
  </conditionalFormatting>
  <conditionalFormatting sqref="BI22">
    <cfRule type="colorScale" priority="136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2">
    <cfRule type="containsText" dxfId="105" priority="1363" operator="containsText" text="Vencido">
      <formula>NOT(ISERROR(SEARCH(("Vencido"),(AF22))))</formula>
    </cfRule>
  </conditionalFormatting>
  <conditionalFormatting sqref="AH22:AJ22 AF22">
    <cfRule type="colorScale" priority="13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4:BF24">
    <cfRule type="containsText" dxfId="104" priority="1353" operator="containsText" text="Vencido">
      <formula>NOT(ISERROR(SEARCH(("Vencido"),(AQ24))))</formula>
    </cfRule>
  </conditionalFormatting>
  <conditionalFormatting sqref="AN24:BF24 AG24:AK24 BH24:BI24">
    <cfRule type="colorScale" priority="13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Y22">
    <cfRule type="containsText" dxfId="103" priority="1329" operator="containsText" text="Vencido">
      <formula>NOT(ISERROR(SEARCH(("Vencido"),(AY22))))</formula>
    </cfRule>
  </conditionalFormatting>
  <conditionalFormatting sqref="AY22">
    <cfRule type="colorScale" priority="13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2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{9575B3AD-B3FE-42AA-B64F-6AB3ECBDC49F}</x14:id>
        </ext>
      </extLst>
    </cfRule>
  </conditionalFormatting>
  <conditionalFormatting sqref="AM22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{3E73B528-6752-4EC8-841B-4577B64EF7C2}</x14:id>
        </ext>
      </extLst>
    </cfRule>
  </conditionalFormatting>
  <conditionalFormatting sqref="AM22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{17A14B61-C593-42BE-B3A7-B4BC1604D173}</x14:id>
        </ext>
      </extLst>
    </cfRule>
  </conditionalFormatting>
  <conditionalFormatting sqref="AM23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{55163666-2540-41C0-B047-9DFA413D0C42}</x14:id>
        </ext>
      </extLst>
    </cfRule>
  </conditionalFormatting>
  <conditionalFormatting sqref="W24">
    <cfRule type="colorScale" priority="1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102" priority="1306" operator="containsText" text="Vencido">
      <formula>NOT(ISERROR(SEARCH(("Vencido"),(Y24))))</formula>
    </cfRule>
  </conditionalFormatting>
  <conditionalFormatting sqref="AC24">
    <cfRule type="colorScale" priority="1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101" priority="1300" operator="containsText" text="Vencido">
      <formula>NOT(ISERROR(SEARCH(("Vencido"),(AE24))))</formula>
    </cfRule>
  </conditionalFormatting>
  <conditionalFormatting sqref="U24">
    <cfRule type="colorScale" priority="12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100" priority="1296" operator="containsText" text="Vencido">
      <formula>NOT(ISERROR(SEARCH(("Vencido"),(W24))))</formula>
    </cfRule>
  </conditionalFormatting>
  <conditionalFormatting sqref="W24">
    <cfRule type="colorScale" priority="129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99" priority="1294" operator="containsText" text="Vencido">
      <formula>NOT(ISERROR(SEARCH(("Vencido"),(Y24))))</formula>
    </cfRule>
  </conditionalFormatting>
  <conditionalFormatting sqref="Y24">
    <cfRule type="colorScale" priority="12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98" priority="1292" operator="containsText" text="Vencido">
      <formula>NOT(ISERROR(SEARCH(("Vencido"),(AA24))))</formula>
    </cfRule>
  </conditionalFormatting>
  <conditionalFormatting sqref="AA24">
    <cfRule type="colorScale" priority="129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4">
    <cfRule type="containsText" dxfId="97" priority="1290" operator="containsText" text="Vencido">
      <formula>NOT(ISERROR(SEARCH(("Vencido"),(AC24))))</formula>
    </cfRule>
  </conditionalFormatting>
  <conditionalFormatting sqref="AC24">
    <cfRule type="colorScale" priority="12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4">
    <cfRule type="containsText" dxfId="96" priority="1288" operator="containsText" text="Vencido">
      <formula>NOT(ISERROR(SEARCH(("Vencido"),(AE24))))</formula>
    </cfRule>
  </conditionalFormatting>
  <conditionalFormatting sqref="AE24">
    <cfRule type="colorScale" priority="12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4">
    <cfRule type="containsText" dxfId="95" priority="1286" operator="containsText" text="Vencido">
      <formula>NOT(ISERROR(SEARCH(("Vencido"),(U24))))</formula>
    </cfRule>
  </conditionalFormatting>
  <conditionalFormatting sqref="U24">
    <cfRule type="colorScale" priority="12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4">
    <cfRule type="containsText" dxfId="94" priority="1284" operator="containsText" text="Vencido">
      <formula>NOT(ISERROR(SEARCH(("Vencido"),(W24))))</formula>
    </cfRule>
  </conditionalFormatting>
  <conditionalFormatting sqref="W24">
    <cfRule type="colorScale" priority="12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4">
    <cfRule type="containsText" dxfId="93" priority="1282" operator="containsText" text="Vencido">
      <formula>NOT(ISERROR(SEARCH(("Vencido"),(Y24))))</formula>
    </cfRule>
  </conditionalFormatting>
  <conditionalFormatting sqref="Y24">
    <cfRule type="colorScale" priority="12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4">
    <cfRule type="containsText" dxfId="92" priority="1280" operator="containsText" text="Vencido">
      <formula>NOT(ISERROR(SEARCH(("Vencido"),(AA24))))</formula>
    </cfRule>
  </conditionalFormatting>
  <conditionalFormatting sqref="AM24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{A2485E1A-DAD6-49DD-B861-3AA1EBA9B13B}</x14:id>
        </ext>
      </extLst>
    </cfRule>
  </conditionalFormatting>
  <conditionalFormatting sqref="U25 W25 Y25 AA25 AC25 AN25:BF25 AK25 AE25 AG25:AI25 BH25:BI25">
    <cfRule type="containsText" dxfId="91" priority="1261" operator="containsText" text="Vencido">
      <formula>NOT(ISERROR(SEARCH(("Vencido"),(U25))))</formula>
    </cfRule>
  </conditionalFormatting>
  <conditionalFormatting sqref="W25 U25 Y25 AA25 AC25 AN25:BF25 AK25 AE25 AG25:AI25 BH25:BI25">
    <cfRule type="colorScale" priority="1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5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{1E046912-3017-4C8A-B612-2E912504E8A1}</x14:id>
        </ext>
      </extLst>
    </cfRule>
  </conditionalFormatting>
  <conditionalFormatting sqref="BI26">
    <cfRule type="containsText" dxfId="90" priority="1234" operator="containsText" text="Vencido">
      <formula>NOT(ISERROR(SEARCH(("Vencido"),(BI26))))</formula>
    </cfRule>
  </conditionalFormatting>
  <conditionalFormatting sqref="BI26">
    <cfRule type="colorScale" priority="123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89" priority="1232" operator="containsText" text="Vencido">
      <formula>NOT(ISERROR(SEARCH(("Vencido"),(BI26))))</formula>
    </cfRule>
  </conditionalFormatting>
  <conditionalFormatting sqref="BI26">
    <cfRule type="colorScale" priority="12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6:BF26">
    <cfRule type="containsText" dxfId="88" priority="1225" operator="containsText" text="Vencido">
      <formula>NOT(ISERROR(SEARCH(("Vencido"),(AN26))))</formula>
    </cfRule>
  </conditionalFormatting>
  <conditionalFormatting sqref="AN26:BF26">
    <cfRule type="colorScale" priority="122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6">
    <cfRule type="containsText" dxfId="87" priority="1221" operator="containsText" text="Vencido">
      <formula>NOT(ISERROR(SEARCH(("Vencido"),(BH26))))</formula>
    </cfRule>
  </conditionalFormatting>
  <conditionalFormatting sqref="BH26">
    <cfRule type="colorScale" priority="12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6">
    <cfRule type="containsText" dxfId="86" priority="1217" operator="containsText" text="Vencido">
      <formula>NOT(ISERROR(SEARCH(("Vencido"),(BI26))))</formula>
    </cfRule>
  </conditionalFormatting>
  <conditionalFormatting sqref="BI26">
    <cfRule type="colorScale" priority="12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6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{06DBD397-398E-4E1C-A4B9-17E8CBC33627}</x14:id>
        </ext>
      </extLst>
    </cfRule>
  </conditionalFormatting>
  <conditionalFormatting sqref="W27 U27 AA27 AC27 Y27 AE27:AK27">
    <cfRule type="containsText" dxfId="85" priority="1213" operator="containsText" text="Vencido">
      <formula>NOT(ISERROR(SEARCH(("Vencido"),(U27))))</formula>
    </cfRule>
  </conditionalFormatting>
  <conditionalFormatting sqref="W27 U27 AA27 AC27 Y27 AE27:AK27">
    <cfRule type="colorScale" priority="12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7">
    <cfRule type="containsText" dxfId="84" priority="1211" operator="containsText" text="Vencido">
      <formula>NOT(ISERROR(SEARCH(("Vencido"),(AO27))))</formula>
    </cfRule>
  </conditionalFormatting>
  <conditionalFormatting sqref="AO27">
    <cfRule type="colorScale" priority="1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7 AP27:BF27">
    <cfRule type="containsText" dxfId="83" priority="1209" operator="containsText" text="Vencido">
      <formula>NOT(ISERROR(SEARCH(("Vencido"),(AN27))))</formula>
    </cfRule>
  </conditionalFormatting>
  <conditionalFormatting sqref="AP27:BF27 AN27">
    <cfRule type="colorScale" priority="120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O27">
    <cfRule type="containsText" dxfId="82" priority="1207" operator="containsText" text="Vencido">
      <formula>NOT(ISERROR(SEARCH(("Vencido"),(AO27))))</formula>
    </cfRule>
  </conditionalFormatting>
  <conditionalFormatting sqref="AO27">
    <cfRule type="colorScale" priority="120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7">
    <cfRule type="containsText" dxfId="81" priority="1205" operator="containsText" text="Vencido">
      <formula>NOT(ISERROR(SEARCH(("Vencido"),(BH27))))</formula>
    </cfRule>
  </conditionalFormatting>
  <conditionalFormatting sqref="BH27">
    <cfRule type="colorScale" priority="120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7">
    <cfRule type="containsText" dxfId="80" priority="1203" operator="containsText" text="Vencido">
      <formula>NOT(ISERROR(SEARCH(("Vencido"),(BI27))))</formula>
    </cfRule>
  </conditionalFormatting>
  <conditionalFormatting sqref="BI27">
    <cfRule type="colorScale" priority="12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7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{CDE47C33-62C8-47C1-B31F-45E06586CD0E}</x14:id>
        </ext>
      </extLst>
    </cfRule>
  </conditionalFormatting>
  <conditionalFormatting sqref="Y28 AA28 AE28">
    <cfRule type="colorScale" priority="11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79" priority="1196" operator="containsText" text="Vencido">
      <formula>NOT(ISERROR(SEARCH(("Vencido"),(U28))))</formula>
    </cfRule>
  </conditionalFormatting>
  <conditionalFormatting sqref="W28">
    <cfRule type="colorScale" priority="119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78" priority="1192" operator="containsText" text="Vencido">
      <formula>NOT(ISERROR(SEARCH(("Vencido"),(Y28))))</formula>
    </cfRule>
  </conditionalFormatting>
  <conditionalFormatting sqref="AA28">
    <cfRule type="colorScale" priority="11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77" priority="1188" operator="containsText" text="Vencido">
      <formula>NOT(ISERROR(SEARCH(("Vencido"),(AC28))))</formula>
    </cfRule>
  </conditionalFormatting>
  <conditionalFormatting sqref="AE28">
    <cfRule type="containsText" dxfId="76" priority="1186" operator="containsText" text="Vencido">
      <formula>NOT(ISERROR(SEARCH(("Vencido"),(AE28))))</formula>
    </cfRule>
  </conditionalFormatting>
  <conditionalFormatting sqref="AE28">
    <cfRule type="colorScale" priority="118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8:BF28">
    <cfRule type="containsText" dxfId="75" priority="1184" operator="containsText" text="Vencido">
      <formula>NOT(ISERROR(SEARCH(("Vencido"),(AQ28))))</formula>
    </cfRule>
  </conditionalFormatting>
  <conditionalFormatting sqref="AQ28:BF28">
    <cfRule type="colorScale" priority="118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8">
    <cfRule type="containsText" dxfId="74" priority="1182" operator="containsText" text="Vencido">
      <formula>NOT(ISERROR(SEARCH(("Vencido"),(U28))))</formula>
    </cfRule>
  </conditionalFormatting>
  <conditionalFormatting sqref="U28">
    <cfRule type="colorScale" priority="118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8">
    <cfRule type="containsText" dxfId="73" priority="1180" operator="containsText" text="Vencido">
      <formula>NOT(ISERROR(SEARCH(("Vencido"),(W28))))</formula>
    </cfRule>
  </conditionalFormatting>
  <conditionalFormatting sqref="W28">
    <cfRule type="colorScale" priority="11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8">
    <cfRule type="containsText" dxfId="72" priority="1178" operator="containsText" text="Vencido">
      <formula>NOT(ISERROR(SEARCH(("Vencido"),(Y28))))</formula>
    </cfRule>
  </conditionalFormatting>
  <conditionalFormatting sqref="Y28">
    <cfRule type="colorScale" priority="11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8">
    <cfRule type="containsText" dxfId="71" priority="1176" operator="containsText" text="Vencido">
      <formula>NOT(ISERROR(SEARCH(("Vencido"),(AA28))))</formula>
    </cfRule>
  </conditionalFormatting>
  <conditionalFormatting sqref="AA28">
    <cfRule type="colorScale" priority="11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8">
    <cfRule type="containsText" dxfId="70" priority="1174" operator="containsText" text="Vencido">
      <formula>NOT(ISERROR(SEARCH(("Vencido"),(AC28))))</formula>
    </cfRule>
  </conditionalFormatting>
  <conditionalFormatting sqref="AC28">
    <cfRule type="colorScale" priority="11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8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{F9E55666-F489-4596-BEEF-0378E02FBDC3}</x14:id>
        </ext>
      </extLst>
    </cfRule>
  </conditionalFormatting>
  <conditionalFormatting sqref="W29 Y29 AE29 AC29 AA29 U29 AG29:AK29">
    <cfRule type="containsText" dxfId="69" priority="1155" operator="containsText" text="Vencido">
      <formula>NOT(ISERROR(SEARCH(("Vencido"),(U29))))</formula>
    </cfRule>
  </conditionalFormatting>
  <conditionalFormatting sqref="W29 Y29 AE29 AC29 AA29 U29 AG29:AK29">
    <cfRule type="colorScale" priority="115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9">
    <cfRule type="containsText" dxfId="68" priority="1153" operator="containsText" text="Vencido">
      <formula>NOT(ISERROR(SEARCH(("Vencido"),(AM29))))</formula>
    </cfRule>
  </conditionalFormatting>
  <conditionalFormatting sqref="AM29">
    <cfRule type="colorScale" priority="115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29:BF29">
    <cfRule type="containsText" dxfId="67" priority="1151" operator="containsText" text="Vencido">
      <formula>NOT(ISERROR(SEARCH(("Vencido"),(AN29))))</formula>
    </cfRule>
  </conditionalFormatting>
  <conditionalFormatting sqref="AN29:BF29">
    <cfRule type="colorScale" priority="115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29">
    <cfRule type="containsText" dxfId="66" priority="1149" operator="containsText" text="Vencido">
      <formula>NOT(ISERROR(SEARCH(("Vencido"),(AF29))))</formula>
    </cfRule>
  </conditionalFormatting>
  <conditionalFormatting sqref="AF29">
    <cfRule type="colorScale" priority="114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29">
    <cfRule type="containsText" dxfId="65" priority="1147" operator="containsText" text="Vencido">
      <formula>NOT(ISERROR(SEARCH(("Vencido"),(BH29))))</formula>
    </cfRule>
  </conditionalFormatting>
  <conditionalFormatting sqref="BH29">
    <cfRule type="colorScale" priority="11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29">
    <cfRule type="containsText" dxfId="64" priority="1145" operator="containsText" text="Vencido">
      <formula>NOT(ISERROR(SEARCH(("Vencido"),(BI29))))</formula>
    </cfRule>
  </conditionalFormatting>
  <conditionalFormatting sqref="BI29">
    <cfRule type="colorScale" priority="11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9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{32CF6C24-2587-4E0C-B27B-316754FE50CF}</x14:id>
        </ext>
      </extLst>
    </cfRule>
  </conditionalFormatting>
  <conditionalFormatting sqref="AF8">
    <cfRule type="colorScale" priority="5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5 W5 Y5 AA5 AC5 AK5 AE5 AG5:AI5 AN5:BF5 BH5:BI5">
    <cfRule type="containsText" dxfId="63" priority="581" operator="containsText" text="Vencido">
      <formula>NOT(ISERROR(SEARCH(("Vencido"),(U5))))</formula>
    </cfRule>
  </conditionalFormatting>
  <conditionalFormatting sqref="W5 U5 Y5 AA5 AC5 AK5 AE5 AG5:AI5 AN5:BF5 BH5:BI5">
    <cfRule type="colorScale" priority="5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5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{D333EA8F-22EF-48D5-922C-FF95AE166B20}</x14:id>
        </ext>
      </extLst>
    </cfRule>
  </conditionalFormatting>
  <conditionalFormatting sqref="AM6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{4FE557C8-CF89-4E94-A446-6868C179D424}</x14:id>
        </ext>
      </extLst>
    </cfRule>
  </conditionalFormatting>
  <conditionalFormatting sqref="AP6">
    <cfRule type="containsText" dxfId="62" priority="569" operator="containsText" text="Vencido">
      <formula>NOT(ISERROR(SEARCH(("Vencido"),(AP6))))</formula>
    </cfRule>
  </conditionalFormatting>
  <conditionalFormatting sqref="AP6">
    <cfRule type="colorScale" priority="56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61" priority="515" operator="containsText" text="Vencido">
      <formula>NOT(ISERROR(SEARCH(("Vencido"),(AC7))))</formula>
    </cfRule>
  </conditionalFormatting>
  <conditionalFormatting sqref="AC7">
    <cfRule type="colorScale" priority="5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60" priority="513" operator="containsText" text="Vencido">
      <formula>NOT(ISERROR(SEARCH(("Vencido"),(AE7))))</formula>
    </cfRule>
  </conditionalFormatting>
  <conditionalFormatting sqref="AE7">
    <cfRule type="colorScale" priority="5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7">
    <cfRule type="containsText" dxfId="59" priority="503" operator="containsText" text="Vencido">
      <formula>NOT(ISERROR(SEARCH(("Vencido"),(AC7))))</formula>
    </cfRule>
  </conditionalFormatting>
  <conditionalFormatting sqref="AC7">
    <cfRule type="colorScale" priority="50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7">
    <cfRule type="containsText" dxfId="58" priority="501" operator="containsText" text="Vencido">
      <formula>NOT(ISERROR(SEARCH(("Vencido"),(AE7))))</formula>
    </cfRule>
  </conditionalFormatting>
  <conditionalFormatting sqref="AE7">
    <cfRule type="colorScale" priority="50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7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{667F797D-B75B-4710-89FC-745A9B364596}</x14:id>
        </ext>
      </extLst>
    </cfRule>
  </conditionalFormatting>
  <conditionalFormatting sqref="AM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{9AC0FBE0-2B75-4100-BEED-984AAD8A30D7}</x14:id>
        </ext>
      </extLst>
    </cfRule>
  </conditionalFormatting>
  <conditionalFormatting sqref="W9 U9 AA9 AC9 AE9 AG9:AK9 Y9">
    <cfRule type="containsText" dxfId="57" priority="491" operator="containsText" text="Vencido">
      <formula>NOT(ISERROR(SEARCH(("Vencido"),(U9))))</formula>
    </cfRule>
  </conditionalFormatting>
  <conditionalFormatting sqref="U9 W9 AA9 AC9 AE9 AG9:AK9 Y9">
    <cfRule type="colorScale" priority="49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">
    <cfRule type="containsText" dxfId="56" priority="489" operator="containsText" text="Vencido">
      <formula>NOT(ISERROR(SEARCH(("Vencido"),(AM9))))</formula>
    </cfRule>
  </conditionalFormatting>
  <conditionalFormatting sqref="AM9">
    <cfRule type="colorScale" priority="48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C9:BF9">
    <cfRule type="containsText" dxfId="55" priority="487" operator="containsText" text="Vencido">
      <formula>NOT(ISERROR(SEARCH(("Vencido"),(BC9))))</formula>
    </cfRule>
  </conditionalFormatting>
  <conditionalFormatting sqref="BC9:BF9">
    <cfRule type="colorScale" priority="4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F9 AN9:AO9 AQ9:BB9">
    <cfRule type="containsText" dxfId="54" priority="485" operator="containsText" text="Vencido">
      <formula>NOT(ISERROR(SEARCH(("Vencido"),(AF9))))</formula>
    </cfRule>
  </conditionalFormatting>
  <conditionalFormatting sqref="AN9:AO9 AF9 AQ9:BB9">
    <cfRule type="colorScale" priority="48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9">
    <cfRule type="containsText" dxfId="53" priority="483" operator="containsText" text="Vencido">
      <formula>NOT(ISERROR(SEARCH(("Vencido"),(BH9))))</formula>
    </cfRule>
  </conditionalFormatting>
  <conditionalFormatting sqref="BH9">
    <cfRule type="colorScale" priority="4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9">
    <cfRule type="containsText" dxfId="52" priority="481" operator="containsText" text="Vencido">
      <formula>NOT(ISERROR(SEARCH(("Vencido"),(BI9))))</formula>
    </cfRule>
  </conditionalFormatting>
  <conditionalFormatting sqref="BI9">
    <cfRule type="colorScale" priority="4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P9">
    <cfRule type="containsText" dxfId="51" priority="479" operator="containsText" text="Vencido">
      <formula>NOT(ISERROR(SEARCH(("Vencido"),(AP9))))</formula>
    </cfRule>
  </conditionalFormatting>
  <conditionalFormatting sqref="AP9">
    <cfRule type="colorScale" priority="4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9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{A3088697-8477-4235-AE16-91BB9F216CAB}</x14:id>
        </ext>
      </extLst>
    </cfRule>
  </conditionalFormatting>
  <conditionalFormatting sqref="W10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{CFD8099B-DDC0-4F43-A901-FFEFBC0EA491}</x14:id>
        </ext>
      </extLst>
    </cfRule>
  </conditionalFormatting>
  <conditionalFormatting sqref="AM10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{BB57B5B6-63FB-4685-93A8-66DD1FA78BCC}</x14:id>
        </ext>
      </extLst>
    </cfRule>
  </conditionalFormatting>
  <conditionalFormatting sqref="AM1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{56F742F9-8E6B-4DF6-81FE-4112190948D1}</x14:id>
        </ext>
      </extLst>
    </cfRule>
  </conditionalFormatting>
  <conditionalFormatting sqref="W12 Y12 AC12 AA12 U12 AE12:AK12">
    <cfRule type="containsText" dxfId="50" priority="439" operator="containsText" text="Vencido">
      <formula>NOT(ISERROR(SEARCH(("Vencido"),(U12))))</formula>
    </cfRule>
  </conditionalFormatting>
  <conditionalFormatting sqref="W12 Y12 AC12 AA12 U12 AE12:AK12">
    <cfRule type="colorScale" priority="4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2:BF12">
    <cfRule type="containsText" dxfId="49" priority="437" operator="containsText" text="Vencido">
      <formula>NOT(ISERROR(SEARCH(("Vencido"),(AN12))))</formula>
    </cfRule>
  </conditionalFormatting>
  <conditionalFormatting sqref="AN12:BF12">
    <cfRule type="colorScale" priority="4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2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{92F1C0DA-7059-44D3-98C3-9F54E01CBE05}</x14:id>
        </ext>
      </extLst>
    </cfRule>
  </conditionalFormatting>
  <conditionalFormatting sqref="BI12">
    <cfRule type="containsText" dxfId="48" priority="432" operator="containsText" text="Vencido">
      <formula>NOT(ISERROR(SEARCH(("Vencido"),(BI12))))</formula>
    </cfRule>
  </conditionalFormatting>
  <conditionalFormatting sqref="BI12">
    <cfRule type="colorScale" priority="43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2">
    <cfRule type="containsText" dxfId="47" priority="430" operator="containsText" text="Vencido">
      <formula>NOT(ISERROR(SEARCH(("Vencido"),(BJ12))))</formula>
    </cfRule>
  </conditionalFormatting>
  <conditionalFormatting sqref="BJ12">
    <cfRule type="colorScale" priority="42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3 Y13 AE13 AC13 AA13 U13 AG13:AK13">
    <cfRule type="containsText" dxfId="46" priority="428" operator="containsText" text="Vencido">
      <formula>NOT(ISERROR(SEARCH(("Vencido"),(U13))))</formula>
    </cfRule>
  </conditionalFormatting>
  <conditionalFormatting sqref="W13 Y13 AE13 AC13 AA13 U13 AG13:AK13">
    <cfRule type="colorScale" priority="42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containsText" dxfId="45" priority="426" operator="containsText" text="Vencido">
      <formula>NOT(ISERROR(SEARCH(("Vencido"),(AM13))))</formula>
    </cfRule>
  </conditionalFormatting>
  <conditionalFormatting sqref="AM13">
    <cfRule type="colorScale" priority="42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{4B943047-5E8B-4DF9-AF7C-C712E1DC7CAD}</x14:id>
        </ext>
      </extLst>
    </cfRule>
  </conditionalFormatting>
  <conditionalFormatting sqref="AH13:AJ13">
    <cfRule type="containsText" dxfId="44" priority="413" operator="containsText" text="Vencido">
      <formula>NOT(ISERROR(SEARCH(("Vencido"),(AH13))))</formula>
    </cfRule>
  </conditionalFormatting>
  <conditionalFormatting sqref="AH13:AJ13">
    <cfRule type="colorScale" priority="4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3:AP13 AS13 BF13">
    <cfRule type="containsText" dxfId="43" priority="411" operator="containsText" text="Vencido">
      <formula>NOT(ISERROR(SEARCH(("Vencido"),(AN13))))</formula>
    </cfRule>
  </conditionalFormatting>
  <conditionalFormatting sqref="AN13:AP13 AS13 BF13">
    <cfRule type="colorScale" priority="4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ntainsText" dxfId="42" priority="388" operator="containsText" text="Vencido">
      <formula>NOT(ISERROR(SEARCH(("Vencido"),(AU13))))</formula>
    </cfRule>
  </conditionalFormatting>
  <conditionalFormatting sqref="AU13:AY13">
    <cfRule type="colorScale" priority="38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U13:AY13">
    <cfRule type="colorScale" priority="38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{1BE2B8F8-6EFD-4303-8D90-26E76299C516}</x14:id>
        </ext>
      </extLst>
    </cfRule>
  </conditionalFormatting>
  <conditionalFormatting sqref="AF14">
    <cfRule type="containsText" dxfId="41" priority="380" operator="containsText" text="Vencido">
      <formula>NOT(ISERROR(SEARCH(("Vencido"),(AF14))))</formula>
    </cfRule>
  </conditionalFormatting>
  <conditionalFormatting sqref="AF14">
    <cfRule type="colorScale" priority="37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K14 AG14 AE14 AC14 AA14 Y14 W14 U14">
    <cfRule type="containsText" dxfId="40" priority="378" operator="containsText" text="Vencido">
      <formula>NOT(ISERROR(SEARCH(("Vencido"),(U14))))</formula>
    </cfRule>
  </conditionalFormatting>
  <conditionalFormatting sqref="AG14 AK14 AE14 AC14 AA14 Y14 W14 U14">
    <cfRule type="colorScale" priority="37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H14:AJ14">
    <cfRule type="containsText" dxfId="39" priority="376" operator="containsText" text="Vencido">
      <formula>NOT(ISERROR(SEARCH(("Vencido"),(AH14))))</formula>
    </cfRule>
  </conditionalFormatting>
  <conditionalFormatting sqref="AH14:AJ14">
    <cfRule type="colorScale" priority="37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4:BF14">
    <cfRule type="containsText" dxfId="38" priority="374" operator="containsText" text="Vencido">
      <formula>NOT(ISERROR(SEARCH(("Vencido"),(AN14))))</formula>
    </cfRule>
  </conditionalFormatting>
  <conditionalFormatting sqref="AN14:BF14">
    <cfRule type="colorScale" priority="37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J14">
    <cfRule type="containsText" dxfId="37" priority="368" operator="containsText" text="Vencido">
      <formula>NOT(ISERROR(SEARCH(("Vencido"),(BJ14))))</formula>
    </cfRule>
  </conditionalFormatting>
  <conditionalFormatting sqref="BJ14">
    <cfRule type="colorScale" priority="36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4">
    <cfRule type="containsText" dxfId="36" priority="366" operator="containsText" text="Vencido">
      <formula>NOT(ISERROR(SEARCH(("Vencido"),(AM14))))</formula>
    </cfRule>
  </conditionalFormatting>
  <conditionalFormatting sqref="AM14">
    <cfRule type="colorScale" priority="36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{14C8EC6D-8D51-40D4-954A-CAB307DE93B1}</x14:id>
        </ext>
      </extLst>
    </cfRule>
  </conditionalFormatting>
  <conditionalFormatting sqref="AM15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{7BD7E24B-68CD-46F6-9E1A-3D53DCE824B2}</x14:id>
        </ext>
      </extLst>
    </cfRule>
  </conditionalFormatting>
  <conditionalFormatting sqref="BH15">
    <cfRule type="containsText" dxfId="35" priority="356" operator="containsText" text="Vencido">
      <formula>NOT(ISERROR(SEARCH(("Vencido"),(BH15))))</formula>
    </cfRule>
  </conditionalFormatting>
  <conditionalFormatting sqref="BH15">
    <cfRule type="colorScale" priority="35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5">
    <cfRule type="containsText" dxfId="34" priority="354" operator="containsText" text="Vencido">
      <formula>NOT(ISERROR(SEARCH(("Vencido"),(BI15))))</formula>
    </cfRule>
  </conditionalFormatting>
  <conditionalFormatting sqref="BI15">
    <cfRule type="colorScale" priority="35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6:BF16 U16 W16 Y16 AA16 AC16 AK16 AE16 AG16:AI16 BH16:BI16">
    <cfRule type="containsText" dxfId="33" priority="352" operator="containsText" text="Vencido">
      <formula>NOT(ISERROR(SEARCH(("Vencido"),(U16))))</formula>
    </cfRule>
  </conditionalFormatting>
  <conditionalFormatting sqref="AN16:BF16 U16 W16 Y16 AA16 AC16 AK16 AE16 AG16:AI16 BH16:BI16">
    <cfRule type="colorScale" priority="35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6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{2A6B3DE3-2682-4F7C-9B5D-98274A91B453}</x14:id>
        </ext>
      </extLst>
    </cfRule>
  </conditionalFormatting>
  <conditionalFormatting sqref="AQ17:BF17">
    <cfRule type="containsText" dxfId="32" priority="347" operator="containsText" text="Vencido">
      <formula>NOT(ISERROR(SEARCH(("Vencido"),(AQ17))))</formula>
    </cfRule>
  </conditionalFormatting>
  <conditionalFormatting sqref="AQ17:BF17">
    <cfRule type="colorScale" priority="34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7:BF17">
    <cfRule type="containsText" dxfId="31" priority="345" operator="containsText" text="Vencido">
      <formula>NOT(ISERROR(SEARCH(("Vencido"),(AQ17))))</formula>
    </cfRule>
  </conditionalFormatting>
  <conditionalFormatting sqref="AQ17:BF17">
    <cfRule type="colorScale" priority="34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7:BF17">
    <cfRule type="containsText" dxfId="30" priority="343" operator="containsText" text="Vencido">
      <formula>NOT(ISERROR(SEARCH(("Vencido"),(AQ17))))</formula>
    </cfRule>
  </conditionalFormatting>
  <conditionalFormatting sqref="AQ17:BF17">
    <cfRule type="colorScale" priority="34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17">
    <cfRule type="containsText" dxfId="29" priority="341" operator="containsText" text="Vencido">
      <formula>NOT(ISERROR(SEARCH(("Vencido"),(U17))))</formula>
    </cfRule>
  </conditionalFormatting>
  <conditionalFormatting sqref="U17">
    <cfRule type="colorScale" priority="34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7">
    <cfRule type="containsText" dxfId="28" priority="339" operator="containsText" text="Vencido">
      <formula>NOT(ISERROR(SEARCH(("Vencido"),(W17))))</formula>
    </cfRule>
  </conditionalFormatting>
  <conditionalFormatting sqref="W17">
    <cfRule type="colorScale" priority="33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17">
    <cfRule type="containsText" dxfId="27" priority="337" operator="containsText" text="Vencido">
      <formula>NOT(ISERROR(SEARCH(("Vencido"),(Y17))))</formula>
    </cfRule>
  </conditionalFormatting>
  <conditionalFormatting sqref="Y17">
    <cfRule type="colorScale" priority="33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17">
    <cfRule type="containsText" dxfId="26" priority="335" operator="containsText" text="Vencido">
      <formula>NOT(ISERROR(SEARCH(("Vencido"),(AA17))))</formula>
    </cfRule>
  </conditionalFormatting>
  <conditionalFormatting sqref="AA17">
    <cfRule type="colorScale" priority="33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17">
    <cfRule type="containsText" dxfId="25" priority="333" operator="containsText" text="Vencido">
      <formula>NOT(ISERROR(SEARCH(("Vencido"),(AC17))))</formula>
    </cfRule>
  </conditionalFormatting>
  <conditionalFormatting sqref="AC17">
    <cfRule type="colorScale" priority="33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7">
    <cfRule type="containsText" dxfId="24" priority="331" operator="containsText" text="Vencido">
      <formula>NOT(ISERROR(SEARCH(("Vencido"),(AE17))))</formula>
    </cfRule>
  </conditionalFormatting>
  <conditionalFormatting sqref="AE17">
    <cfRule type="colorScale" priority="33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17 W17 U17 Y17 AA17 AC17">
    <cfRule type="containsText" dxfId="23" priority="329" operator="containsText" text="Vencido">
      <formula>NOT(ISERROR(SEARCH(("Vencido"),(U17))))</formula>
    </cfRule>
  </conditionalFormatting>
  <conditionalFormatting sqref="W17 AE17 U17 Y17 AA17 AC17">
    <cfRule type="colorScale" priority="32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7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{8BC9A4A9-CB44-488D-AB72-567E23C333B6}</x14:id>
        </ext>
      </extLst>
    </cfRule>
  </conditionalFormatting>
  <conditionalFormatting sqref="AM18">
    <cfRule type="colorScale" priority="32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N18:BF18 AF18">
    <cfRule type="containsText" dxfId="22" priority="320" operator="containsText" text="Vencido">
      <formula>NOT(ISERROR(SEARCH(("Vencido"),(AF18))))</formula>
    </cfRule>
  </conditionalFormatting>
  <conditionalFormatting sqref="BH18">
    <cfRule type="containsText" dxfId="21" priority="314" operator="containsText" text="Vencido">
      <formula>NOT(ISERROR(SEARCH(("Vencido"),(BH18))))</formula>
    </cfRule>
  </conditionalFormatting>
  <conditionalFormatting sqref="BH18">
    <cfRule type="colorScale" priority="31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H18">
    <cfRule type="containsText" dxfId="20" priority="312" operator="containsText" text="Vencido">
      <formula>NOT(ISERROR(SEARCH(("Vencido"),(BH18))))</formula>
    </cfRule>
  </conditionalFormatting>
  <conditionalFormatting sqref="BH18">
    <cfRule type="colorScale" priority="31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9" priority="310" operator="containsText" text="Vencido">
      <formula>NOT(ISERROR(SEARCH(("Vencido"),(BI18))))</formula>
    </cfRule>
  </conditionalFormatting>
  <conditionalFormatting sqref="BI18">
    <cfRule type="colorScale" priority="30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8" priority="308" operator="containsText" text="Vencido">
      <formula>NOT(ISERROR(SEARCH(("Vencido"),(BI18))))</formula>
    </cfRule>
  </conditionalFormatting>
  <conditionalFormatting sqref="BI18">
    <cfRule type="colorScale" priority="30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BI18">
    <cfRule type="containsText" dxfId="17" priority="306" operator="containsText" text="Vencido">
      <formula>NOT(ISERROR(SEARCH(("Vencido"),(BI18))))</formula>
    </cfRule>
  </conditionalFormatting>
  <conditionalFormatting sqref="BI18">
    <cfRule type="colorScale" priority="305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8">
    <cfRule type="containsText" dxfId="16" priority="304" operator="containsText" text="Vencido">
      <formula>NOT(ISERROR(SEARCH(("Vencido"),(AX18))))</formula>
    </cfRule>
  </conditionalFormatting>
  <conditionalFormatting sqref="AX18">
    <cfRule type="colorScale" priority="303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W18 AY18">
    <cfRule type="containsText" dxfId="15" priority="302" operator="containsText" text="Vencido">
      <formula>NOT(ISERROR(SEARCH(("Vencido"),(AQ18))))</formula>
    </cfRule>
  </conditionalFormatting>
  <conditionalFormatting sqref="AQ18:AW18 AY18">
    <cfRule type="colorScale" priority="301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X18">
    <cfRule type="containsText" dxfId="14" priority="300" operator="containsText" text="Vencido">
      <formula>NOT(ISERROR(SEARCH(("Vencido"),(AX18))))</formula>
    </cfRule>
  </conditionalFormatting>
  <conditionalFormatting sqref="AX18">
    <cfRule type="colorScale" priority="29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8:AY18">
    <cfRule type="containsText" dxfId="13" priority="298" operator="containsText" text="Vencido">
      <formula>NOT(ISERROR(SEARCH(("Vencido"),(AQ18))))</formula>
    </cfRule>
  </conditionalFormatting>
  <conditionalFormatting sqref="AQ18:AY18">
    <cfRule type="colorScale" priority="297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P18">
    <cfRule type="containsText" dxfId="12" priority="290" operator="containsText" text="Vencido">
      <formula>NOT(ISERROR(SEARCH(("Vencido"),(AP18))))</formula>
    </cfRule>
  </conditionalFormatting>
  <conditionalFormatting sqref="AP18">
    <cfRule type="colorScale" priority="289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8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{2DA7EF3D-7B3D-444F-9A70-F4B952148EBE}</x14:id>
        </ext>
      </extLst>
    </cfRule>
  </conditionalFormatting>
  <conditionalFormatting sqref="AN19:AP19 Y19 AA19 AK19 AE19 BH19:BI19">
    <cfRule type="containsText" dxfId="11" priority="283" operator="containsText" text="Vencido">
      <formula>NOT(ISERROR(SEARCH(("Vencido"),(Y19))))</formula>
    </cfRule>
  </conditionalFormatting>
  <conditionalFormatting sqref="AN19:AP19 Y19 AA19 AK19 AE19 BH19:BI19">
    <cfRule type="colorScale" priority="28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19:BF19">
    <cfRule type="containsText" dxfId="10" priority="281" operator="containsText" text="Vencido">
      <formula>NOT(ISERROR(SEARCH(("Vencido"),(AQ19))))</formula>
    </cfRule>
  </conditionalFormatting>
  <conditionalFormatting sqref="AQ19:BF19">
    <cfRule type="colorScale" priority="28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19 U19 AC19 AG19:AI19">
    <cfRule type="containsText" dxfId="9" priority="279" operator="containsText" text="Vencido">
      <formula>NOT(ISERROR(SEARCH(("Vencido"),(U19))))</formula>
    </cfRule>
  </conditionalFormatting>
  <conditionalFormatting sqref="U19 W19 AC19 AG19:AI19">
    <cfRule type="colorScale" priority="27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19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{847FAF68-988B-4750-81EE-666BED033933}</x14:id>
        </ext>
      </extLst>
    </cfRule>
  </conditionalFormatting>
  <conditionalFormatting sqref="AM20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{0479C9C7-A670-459D-A180-3FFA08E26605}</x14:id>
        </ext>
      </extLst>
    </cfRule>
  </conditionalFormatting>
  <conditionalFormatting sqref="AG21:AK21 AN21:BF21 BH21:BI21">
    <cfRule type="containsText" dxfId="8" priority="263" operator="containsText" text="Vencido">
      <formula>NOT(ISERROR(SEARCH(("Vencido"),(AG21))))</formula>
    </cfRule>
  </conditionalFormatting>
  <conditionalFormatting sqref="AG21:AK21 AN21:BF21 BH21:BI21">
    <cfRule type="colorScale" priority="26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Q21:BF21">
    <cfRule type="containsText" dxfId="7" priority="261" operator="containsText" text="Vencido">
      <formula>NOT(ISERROR(SEARCH(("Vencido"),(AQ21))))</formula>
    </cfRule>
  </conditionalFormatting>
  <conditionalFormatting sqref="AQ21:BF21">
    <cfRule type="colorScale" priority="26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E21">
    <cfRule type="containsText" dxfId="6" priority="221" operator="containsText" text="Vencido">
      <formula>NOT(ISERROR(SEARCH(("Vencido"),(AE21))))</formula>
    </cfRule>
  </conditionalFormatting>
  <conditionalFormatting sqref="AE21">
    <cfRule type="colorScale" priority="22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U21">
    <cfRule type="containsText" dxfId="5" priority="219" operator="containsText" text="Vencido">
      <formula>NOT(ISERROR(SEARCH(("Vencido"),(U21))))</formula>
    </cfRule>
  </conditionalFormatting>
  <conditionalFormatting sqref="U21">
    <cfRule type="colorScale" priority="218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W21">
    <cfRule type="containsText" dxfId="4" priority="217" operator="containsText" text="Vencido">
      <formula>NOT(ISERROR(SEARCH(("Vencido"),(W21))))</formula>
    </cfRule>
  </conditionalFormatting>
  <conditionalFormatting sqref="W21">
    <cfRule type="colorScale" priority="216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Y21">
    <cfRule type="containsText" dxfId="3" priority="215" operator="containsText" text="Vencido">
      <formula>NOT(ISERROR(SEARCH(("Vencido"),(Y21))))</formula>
    </cfRule>
  </conditionalFormatting>
  <conditionalFormatting sqref="Y21">
    <cfRule type="colorScale" priority="214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A21">
    <cfRule type="containsText" dxfId="2" priority="213" operator="containsText" text="Vencido">
      <formula>NOT(ISERROR(SEARCH(("Vencido"),(AA21))))</formula>
    </cfRule>
  </conditionalFormatting>
  <conditionalFormatting sqref="AA21">
    <cfRule type="colorScale" priority="212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C21">
    <cfRule type="containsText" dxfId="1" priority="211" operator="containsText" text="Vencido">
      <formula>NOT(ISERROR(SEARCH(("Vencido"),(AC21))))</formula>
    </cfRule>
  </conditionalFormatting>
  <conditionalFormatting sqref="AC21">
    <cfRule type="colorScale" priority="210">
      <colorScale>
        <cfvo type="formula" val="0"/>
        <cfvo type="formula" val="15"/>
        <cfvo type="formula" val="30"/>
        <color rgb="FFFF0000"/>
        <color rgb="FFFFEB84"/>
        <color rgb="FF63BE7B"/>
      </colorScale>
    </cfRule>
  </conditionalFormatting>
  <conditionalFormatting sqref="AM21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{B5F7F7B2-D605-4001-BAF7-D13233B3D7F7}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FF615-5A8A-4876-9570-354D866C354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AM99</xm:sqref>
        </x14:conditionalFormatting>
        <x14:conditionalFormatting xmlns:xm="http://schemas.microsoft.com/office/excel/2006/main">
          <x14:cfRule type="dataBar" id="{0B530B60-5C22-4552-838B-D8FACCE6000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AM100</xm:sqref>
        </x14:conditionalFormatting>
        <x14:conditionalFormatting xmlns:xm="http://schemas.microsoft.com/office/excel/2006/main">
          <x14:cfRule type="dataBar" id="{54964A39-2420-4B1B-A680-12A1194159F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AM101</xm:sqref>
        </x14:conditionalFormatting>
        <x14:conditionalFormatting xmlns:xm="http://schemas.microsoft.com/office/excel/2006/main">
          <x14:cfRule type="dataBar" id="{016378CB-C3A4-4904-BE27-097307BFE8F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AM102</xm:sqref>
        </x14:conditionalFormatting>
        <x14:conditionalFormatting xmlns:xm="http://schemas.microsoft.com/office/excel/2006/main">
          <x14:cfRule type="dataBar" id="{2F17A199-543E-4D54-B545-4386E2C3EF8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AM103</xm:sqref>
        </x14:conditionalFormatting>
        <x14:conditionalFormatting xmlns:xm="http://schemas.microsoft.com/office/excel/2006/main">
          <x14:cfRule type="dataBar" id="{7DD6E9C1-027A-47C0-9F6C-6D84219CC81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AM104</xm:sqref>
        </x14:conditionalFormatting>
        <x14:conditionalFormatting xmlns:xm="http://schemas.microsoft.com/office/excel/2006/main">
          <x14:cfRule type="dataBar" id="{6D6AF148-0222-4F13-90FB-F42D4271EDA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AM105</xm:sqref>
        </x14:conditionalFormatting>
        <x14:conditionalFormatting xmlns:xm="http://schemas.microsoft.com/office/excel/2006/main">
          <x14:cfRule type="dataBar" id="{4671131A-1608-46C5-8B2A-715F590AABA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AM3:AM4</xm:sqref>
        </x14:conditionalFormatting>
        <x14:conditionalFormatting xmlns:xm="http://schemas.microsoft.com/office/excel/2006/main">
          <x14:cfRule type="dataBar" id="{98C0B238-EF33-4F0A-9B09-511D2CAE31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AM78</xm:sqref>
        </x14:conditionalFormatting>
        <x14:conditionalFormatting xmlns:xm="http://schemas.microsoft.com/office/excel/2006/main">
          <x14:cfRule type="dataBar" id="{A1ADB20B-FEA8-4D3D-B55F-F715F62935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W78</xm:sqref>
        </x14:conditionalFormatting>
        <x14:conditionalFormatting xmlns:xm="http://schemas.microsoft.com/office/excel/2006/main">
          <x14:cfRule type="dataBar" id="{FB24F1F9-8233-49C4-9419-E9010670003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AM79</xm:sqref>
        </x14:conditionalFormatting>
        <x14:conditionalFormatting xmlns:xm="http://schemas.microsoft.com/office/excel/2006/main">
          <x14:cfRule type="dataBar" id="{16B8E12F-FD06-40B4-9F72-6437506528D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AM80</xm:sqref>
        </x14:conditionalFormatting>
        <x14:conditionalFormatting xmlns:xm="http://schemas.microsoft.com/office/excel/2006/main">
          <x14:cfRule type="dataBar" id="{0A1DB32C-F4E8-4F24-A2A3-644E546672A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AM81</xm:sqref>
        </x14:conditionalFormatting>
        <x14:conditionalFormatting xmlns:xm="http://schemas.microsoft.com/office/excel/2006/main">
          <x14:cfRule type="dataBar" id="{908899D8-2FFF-4C3A-9A54-07C442778F9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AM82</xm:sqref>
        </x14:conditionalFormatting>
        <x14:conditionalFormatting xmlns:xm="http://schemas.microsoft.com/office/excel/2006/main">
          <x14:cfRule type="dataBar" id="{D2348D17-DDCA-4EE6-B03D-6D11EB2B896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AM83</xm:sqref>
        </x14:conditionalFormatting>
        <x14:conditionalFormatting xmlns:xm="http://schemas.microsoft.com/office/excel/2006/main">
          <x14:cfRule type="dataBar" id="{D78E6A59-84F6-4103-8D2A-8C4FC0DDC6B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AM84</xm:sqref>
        </x14:conditionalFormatting>
        <x14:conditionalFormatting xmlns:xm="http://schemas.microsoft.com/office/excel/2006/main">
          <x14:cfRule type="dataBar" id="{E2168EE7-BB27-4764-9C15-7BAF56FE14A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AM85</xm:sqref>
        </x14:conditionalFormatting>
        <x14:conditionalFormatting xmlns:xm="http://schemas.microsoft.com/office/excel/2006/main">
          <x14:cfRule type="dataBar" id="{5380A937-85D8-456F-897B-A1BEE3059FE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AM86</xm:sqref>
        </x14:conditionalFormatting>
        <x14:conditionalFormatting xmlns:xm="http://schemas.microsoft.com/office/excel/2006/main">
          <x14:cfRule type="dataBar" id="{D0F6BD4C-E2D2-45F1-8B8C-F9F37F65F3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AM87</xm:sqref>
        </x14:conditionalFormatting>
        <x14:conditionalFormatting xmlns:xm="http://schemas.microsoft.com/office/excel/2006/main">
          <x14:cfRule type="dataBar" id="{F15140A5-F76C-4E90-ACE1-614F536A423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AM88</xm:sqref>
        </x14:conditionalFormatting>
        <x14:conditionalFormatting xmlns:xm="http://schemas.microsoft.com/office/excel/2006/main">
          <x14:cfRule type="dataBar" id="{02AD84D0-6B87-4853-BD59-CFA87357C3A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AM89</xm:sqref>
        </x14:conditionalFormatting>
        <x14:conditionalFormatting xmlns:xm="http://schemas.microsoft.com/office/excel/2006/main">
          <x14:cfRule type="dataBar" id="{8AC9C044-E546-4388-944A-D614B7669D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AG90</xm:sqref>
        </x14:conditionalFormatting>
        <x14:conditionalFormatting xmlns:xm="http://schemas.microsoft.com/office/excel/2006/main">
          <x14:cfRule type="dataBar" id="{14E373C8-2580-4154-8442-7B4EC3F2EE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AM90</xm:sqref>
        </x14:conditionalFormatting>
        <x14:conditionalFormatting xmlns:xm="http://schemas.microsoft.com/office/excel/2006/main">
          <x14:cfRule type="dataBar" id="{3992EEE6-7F1E-48D7-86EA-0907A417AAD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AM91</xm:sqref>
        </x14:conditionalFormatting>
        <x14:conditionalFormatting xmlns:xm="http://schemas.microsoft.com/office/excel/2006/main">
          <x14:cfRule type="dataBar" id="{AB29473E-727A-49F5-9DC2-8CAB5E16340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AM92</xm:sqref>
        </x14:conditionalFormatting>
        <x14:conditionalFormatting xmlns:xm="http://schemas.microsoft.com/office/excel/2006/main">
          <x14:cfRule type="dataBar" id="{112397A5-59AD-42D5-B31E-3A1CE23A0A7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AM93</xm:sqref>
        </x14:conditionalFormatting>
        <x14:conditionalFormatting xmlns:xm="http://schemas.microsoft.com/office/excel/2006/main">
          <x14:cfRule type="dataBar" id="{1B69EB69-B00C-4289-B3DA-09593C94CF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AM94</xm:sqref>
        </x14:conditionalFormatting>
        <x14:conditionalFormatting xmlns:xm="http://schemas.microsoft.com/office/excel/2006/main">
          <x14:cfRule type="dataBar" id="{1C780815-FB15-4C2E-AD5F-19B709083F3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AM95</xm:sqref>
        </x14:conditionalFormatting>
        <x14:conditionalFormatting xmlns:xm="http://schemas.microsoft.com/office/excel/2006/main">
          <x14:cfRule type="dataBar" id="{DCFB223C-196D-4484-BE3A-7D20C09EE8A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AM96</xm:sqref>
        </x14:conditionalFormatting>
        <x14:conditionalFormatting xmlns:xm="http://schemas.microsoft.com/office/excel/2006/main">
          <x14:cfRule type="dataBar" id="{827C4155-BFF1-4E79-B210-0D1A2E55237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AM97</xm:sqref>
        </x14:conditionalFormatting>
        <x14:conditionalFormatting xmlns:xm="http://schemas.microsoft.com/office/excel/2006/main">
          <x14:cfRule type="dataBar" id="{BDFB035D-909F-4B57-811A-321AE56C6D0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AM98</xm:sqref>
        </x14:conditionalFormatting>
        <x14:conditionalFormatting xmlns:xm="http://schemas.microsoft.com/office/excel/2006/main">
          <x14:cfRule type="dataBar" id="{77EE8388-33F6-44FA-A867-F827E9508FD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AM30:AM77</xm:sqref>
        </x14:conditionalFormatting>
        <x14:conditionalFormatting xmlns:xm="http://schemas.microsoft.com/office/excel/2006/main">
          <x14:cfRule type="dataBar" id="{9575B3AD-B3FE-42AA-B64F-6AB3ECBDC49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3E73B528-6752-4EC8-841B-4577B64EF7C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17A14B61-C593-42BE-B3A7-B4BC1604D17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AM22</xm:sqref>
        </x14:conditionalFormatting>
        <x14:conditionalFormatting xmlns:xm="http://schemas.microsoft.com/office/excel/2006/main">
          <x14:cfRule type="dataBar" id="{55163666-2540-41C0-B047-9DFA413D0C4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AM23</xm:sqref>
        </x14:conditionalFormatting>
        <x14:conditionalFormatting xmlns:xm="http://schemas.microsoft.com/office/excel/2006/main">
          <x14:cfRule type="dataBar" id="{A2485E1A-DAD6-49DD-B861-3AA1EBA9B13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AM24</xm:sqref>
        </x14:conditionalFormatting>
        <x14:conditionalFormatting xmlns:xm="http://schemas.microsoft.com/office/excel/2006/main">
          <x14:cfRule type="dataBar" id="{1E046912-3017-4C8A-B612-2E912504E8A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AM25</xm:sqref>
        </x14:conditionalFormatting>
        <x14:conditionalFormatting xmlns:xm="http://schemas.microsoft.com/office/excel/2006/main">
          <x14:cfRule type="dataBar" id="{06DBD397-398E-4E1C-A4B9-17E8CBC3362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CDE47C33-62C8-47C1-B31F-45E06586CD0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AM27</xm:sqref>
        </x14:conditionalFormatting>
        <x14:conditionalFormatting xmlns:xm="http://schemas.microsoft.com/office/excel/2006/main">
          <x14:cfRule type="dataBar" id="{F9E55666-F489-4596-BEEF-0378E02FBDC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AM28</xm:sqref>
        </x14:conditionalFormatting>
        <x14:conditionalFormatting xmlns:xm="http://schemas.microsoft.com/office/excel/2006/main">
          <x14:cfRule type="dataBar" id="{32CF6C24-2587-4E0C-B27B-316754FE50C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AM29</xm:sqref>
        </x14:conditionalFormatting>
        <x14:conditionalFormatting xmlns:xm="http://schemas.microsoft.com/office/excel/2006/main">
          <x14:cfRule type="dataBar" id="{D333EA8F-22EF-48D5-922C-FF95AE166B20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AM5</xm:sqref>
        </x14:conditionalFormatting>
        <x14:conditionalFormatting xmlns:xm="http://schemas.microsoft.com/office/excel/2006/main">
          <x14:cfRule type="dataBar" id="{4FE557C8-CF89-4E94-A446-6868C179D42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AM6</xm:sqref>
        </x14:conditionalFormatting>
        <x14:conditionalFormatting xmlns:xm="http://schemas.microsoft.com/office/excel/2006/main">
          <x14:cfRule type="dataBar" id="{667F797D-B75B-4710-89FC-745A9B36459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AM7</xm:sqref>
        </x14:conditionalFormatting>
        <x14:conditionalFormatting xmlns:xm="http://schemas.microsoft.com/office/excel/2006/main">
          <x14:cfRule type="dataBar" id="{9AC0FBE0-2B75-4100-BEED-984AAD8A30D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AM8</xm:sqref>
        </x14:conditionalFormatting>
        <x14:conditionalFormatting xmlns:xm="http://schemas.microsoft.com/office/excel/2006/main">
          <x14:cfRule type="dataBar" id="{A3088697-8477-4235-AE16-91BB9F216CA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CFD8099B-DDC0-4F43-A901-FFEFBC0EA49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W10</xm:sqref>
        </x14:conditionalFormatting>
        <x14:conditionalFormatting xmlns:xm="http://schemas.microsoft.com/office/excel/2006/main">
          <x14:cfRule type="dataBar" id="{BB57B5B6-63FB-4685-93A8-66DD1FA78BC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AM10</xm:sqref>
        </x14:conditionalFormatting>
        <x14:conditionalFormatting xmlns:xm="http://schemas.microsoft.com/office/excel/2006/main">
          <x14:cfRule type="dataBar" id="{56F742F9-8E6B-4DF6-81FE-4112190948D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AM11</xm:sqref>
        </x14:conditionalFormatting>
        <x14:conditionalFormatting xmlns:xm="http://schemas.microsoft.com/office/excel/2006/main">
          <x14:cfRule type="dataBar" id="{92F1C0DA-7059-44D3-98C3-9F54E01CBE0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4B943047-5E8B-4DF9-AF7C-C712E1DC7CA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1BE2B8F8-6EFD-4303-8D90-26E76299C51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14C8EC6D-8D51-40D4-954A-CAB307DE93B1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AM14</xm:sqref>
        </x14:conditionalFormatting>
        <x14:conditionalFormatting xmlns:xm="http://schemas.microsoft.com/office/excel/2006/main">
          <x14:cfRule type="dataBar" id="{7BD7E24B-68CD-46F6-9E1A-3D53DCE824B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AM15</xm:sqref>
        </x14:conditionalFormatting>
        <x14:conditionalFormatting xmlns:xm="http://schemas.microsoft.com/office/excel/2006/main">
          <x14:cfRule type="dataBar" id="{2A6B3DE3-2682-4F7C-9B5D-98274A91B45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AM16</xm:sqref>
        </x14:conditionalFormatting>
        <x14:conditionalFormatting xmlns:xm="http://schemas.microsoft.com/office/excel/2006/main">
          <x14:cfRule type="dataBar" id="{8BC9A4A9-CB44-488D-AB72-567E23C333B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AM17</xm:sqref>
        </x14:conditionalFormatting>
        <x14:conditionalFormatting xmlns:xm="http://schemas.microsoft.com/office/excel/2006/main">
          <x14:cfRule type="dataBar" id="{2DA7EF3D-7B3D-444F-9A70-F4B952148EB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AM18</xm:sqref>
        </x14:conditionalFormatting>
        <x14:conditionalFormatting xmlns:xm="http://schemas.microsoft.com/office/excel/2006/main">
          <x14:cfRule type="dataBar" id="{847FAF68-988B-4750-81EE-666BED033933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AM19</xm:sqref>
        </x14:conditionalFormatting>
        <x14:conditionalFormatting xmlns:xm="http://schemas.microsoft.com/office/excel/2006/main">
          <x14:cfRule type="dataBar" id="{0479C9C7-A670-459D-A180-3FFA08E2660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AM20</xm:sqref>
        </x14:conditionalFormatting>
        <x14:conditionalFormatting xmlns:xm="http://schemas.microsoft.com/office/excel/2006/main">
          <x14:cfRule type="dataBar" id="{B5F7F7B2-D605-4001-BAF7-D13233B3D7F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AM21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7E70-B7E4-4F40-BA41-685D3867B006}">
  <dimension ref="A2:D20"/>
  <sheetViews>
    <sheetView tabSelected="1" workbookViewId="0">
      <selection activeCell="D20" sqref="D20"/>
    </sheetView>
  </sheetViews>
  <sheetFormatPr baseColWidth="10" defaultRowHeight="15" x14ac:dyDescent="0.25"/>
  <cols>
    <col min="1" max="1" width="36" bestFit="1" customWidth="1"/>
    <col min="2" max="2" width="16.5703125" bestFit="1" customWidth="1"/>
    <col min="3" max="3" width="32" bestFit="1" customWidth="1"/>
    <col min="4" max="4" width="42" bestFit="1" customWidth="1"/>
  </cols>
  <sheetData>
    <row r="2" spans="1:4" x14ac:dyDescent="0.25">
      <c r="A2" s="106" t="s">
        <v>241</v>
      </c>
      <c r="B2" s="75" t="s">
        <v>243</v>
      </c>
      <c r="C2" s="75" t="s">
        <v>244</v>
      </c>
      <c r="D2" s="75" t="s">
        <v>245</v>
      </c>
    </row>
    <row r="3" spans="1:4" x14ac:dyDescent="0.25">
      <c r="A3" s="24" t="s">
        <v>258</v>
      </c>
      <c r="B3" s="75">
        <v>0</v>
      </c>
      <c r="C3" s="75">
        <v>0</v>
      </c>
      <c r="D3" s="75">
        <v>0</v>
      </c>
    </row>
    <row r="4" spans="1:4" x14ac:dyDescent="0.25">
      <c r="A4" s="24" t="s">
        <v>235</v>
      </c>
      <c r="B4" s="75">
        <v>0</v>
      </c>
      <c r="C4" s="75">
        <v>0</v>
      </c>
      <c r="D4" s="75">
        <v>0</v>
      </c>
    </row>
    <row r="5" spans="1:4" x14ac:dyDescent="0.25">
      <c r="A5" s="24" t="s">
        <v>236</v>
      </c>
      <c r="B5" s="75">
        <v>140000</v>
      </c>
      <c r="C5" s="75"/>
      <c r="D5" s="75">
        <v>140000</v>
      </c>
    </row>
    <row r="6" spans="1:4" x14ac:dyDescent="0.25">
      <c r="A6" s="24" t="s">
        <v>217</v>
      </c>
      <c r="B6" s="75">
        <v>70000</v>
      </c>
      <c r="C6" s="75"/>
      <c r="D6" s="75">
        <v>70000</v>
      </c>
    </row>
    <row r="7" spans="1:4" x14ac:dyDescent="0.25">
      <c r="A7" s="24" t="s">
        <v>261</v>
      </c>
      <c r="B7" s="75">
        <v>10000</v>
      </c>
      <c r="C7" s="75"/>
      <c r="D7" s="75">
        <v>10000</v>
      </c>
    </row>
    <row r="8" spans="1:4" x14ac:dyDescent="0.25">
      <c r="A8" s="24" t="s">
        <v>260</v>
      </c>
      <c r="B8" s="75">
        <v>0</v>
      </c>
      <c r="C8" s="75"/>
      <c r="D8" s="75">
        <v>0</v>
      </c>
    </row>
    <row r="9" spans="1:4" x14ac:dyDescent="0.25">
      <c r="A9" s="24" t="s">
        <v>262</v>
      </c>
      <c r="B9" s="75">
        <v>60000</v>
      </c>
      <c r="C9" s="75"/>
      <c r="D9" s="75">
        <v>60000</v>
      </c>
    </row>
    <row r="10" spans="1:4" x14ac:dyDescent="0.25">
      <c r="A10" s="24" t="s">
        <v>247</v>
      </c>
      <c r="B10" s="75">
        <v>75000</v>
      </c>
      <c r="C10" s="75"/>
      <c r="D10" s="75">
        <v>75000</v>
      </c>
    </row>
    <row r="11" spans="1:4" x14ac:dyDescent="0.25">
      <c r="A11" s="24" t="s">
        <v>259</v>
      </c>
      <c r="B11" s="75">
        <v>87400</v>
      </c>
      <c r="C11" s="75"/>
      <c r="D11" s="75">
        <v>87400</v>
      </c>
    </row>
    <row r="12" spans="1:4" x14ac:dyDescent="0.25">
      <c r="A12" s="24" t="s">
        <v>240</v>
      </c>
      <c r="B12" s="75">
        <v>194500</v>
      </c>
      <c r="C12" s="75"/>
      <c r="D12" s="75">
        <v>194500</v>
      </c>
    </row>
    <row r="13" spans="1:4" x14ac:dyDescent="0.25">
      <c r="A13" s="24" t="s">
        <v>239</v>
      </c>
      <c r="B13" s="75">
        <v>280000</v>
      </c>
      <c r="C13" s="75">
        <v>280000</v>
      </c>
      <c r="D13" s="75">
        <v>0</v>
      </c>
    </row>
    <row r="14" spans="1:4" x14ac:dyDescent="0.25">
      <c r="A14" s="24" t="s">
        <v>234</v>
      </c>
      <c r="B14" s="75">
        <v>144000</v>
      </c>
      <c r="C14" s="75"/>
      <c r="D14" s="75">
        <v>144000</v>
      </c>
    </row>
    <row r="15" spans="1:4" x14ac:dyDescent="0.25">
      <c r="A15" s="24" t="s">
        <v>237</v>
      </c>
      <c r="B15" s="75">
        <v>130000</v>
      </c>
      <c r="C15" s="75"/>
      <c r="D15" s="75">
        <v>130000</v>
      </c>
    </row>
    <row r="16" spans="1:4" x14ac:dyDescent="0.25">
      <c r="A16" s="24" t="s">
        <v>263</v>
      </c>
      <c r="B16" s="75">
        <v>0</v>
      </c>
      <c r="C16" s="75">
        <v>0</v>
      </c>
      <c r="D16" s="75">
        <v>0</v>
      </c>
    </row>
    <row r="17" spans="1:4" x14ac:dyDescent="0.25">
      <c r="A17" s="24" t="s">
        <v>216</v>
      </c>
      <c r="B17" s="75">
        <v>25000</v>
      </c>
      <c r="C17" s="75"/>
      <c r="D17" s="75">
        <v>25000</v>
      </c>
    </row>
    <row r="18" spans="1:4" x14ac:dyDescent="0.25">
      <c r="A18" s="24" t="s">
        <v>246</v>
      </c>
      <c r="B18" s="75">
        <v>294000</v>
      </c>
      <c r="C18" s="75"/>
      <c r="D18" s="75">
        <v>294000</v>
      </c>
    </row>
    <row r="19" spans="1:4" x14ac:dyDescent="0.25">
      <c r="A19" s="24" t="s">
        <v>238</v>
      </c>
      <c r="B19" s="75">
        <v>13800</v>
      </c>
      <c r="C19" s="75">
        <v>13800</v>
      </c>
      <c r="D19" s="75">
        <v>0</v>
      </c>
    </row>
    <row r="20" spans="1:4" x14ac:dyDescent="0.25">
      <c r="A20" s="24" t="s">
        <v>242</v>
      </c>
      <c r="B20" s="75">
        <v>1523700</v>
      </c>
      <c r="C20" s="75">
        <v>293800</v>
      </c>
      <c r="D20" s="75">
        <v>1229900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2FEA-D53D-430C-93E9-E12734CF7392}">
  <sheetPr>
    <tabColor rgb="FFFFFF00"/>
  </sheetPr>
  <dimension ref="A1:M15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11.42578125" style="79"/>
    <col min="2" max="2" width="28.85546875" style="79" bestFit="1" customWidth="1"/>
    <col min="3" max="3" width="20.5703125" style="95" bestFit="1" customWidth="1"/>
    <col min="4" max="4" width="33.85546875" style="79" bestFit="1" customWidth="1"/>
    <col min="5" max="5" width="28.85546875" style="79" bestFit="1" customWidth="1"/>
    <col min="6" max="6" width="27.42578125" style="103" bestFit="1" customWidth="1"/>
    <col min="7" max="9" width="11.42578125" style="103"/>
    <col min="10" max="10" width="13.5703125" style="103" bestFit="1" customWidth="1"/>
    <col min="11" max="12" width="11.42578125" style="103"/>
    <col min="13" max="13" width="11.28515625" style="79" bestFit="1" customWidth="1"/>
    <col min="14" max="16384" width="11.42578125" style="79"/>
  </cols>
  <sheetData>
    <row r="1" spans="1:13" s="97" customFormat="1" ht="27" customHeight="1" x14ac:dyDescent="0.25">
      <c r="A1" s="96" t="s">
        <v>248</v>
      </c>
      <c r="B1" s="86" t="s">
        <v>46</v>
      </c>
      <c r="C1" s="87" t="s">
        <v>161</v>
      </c>
      <c r="D1" s="86" t="s">
        <v>162</v>
      </c>
      <c r="E1" s="88" t="s">
        <v>163</v>
      </c>
      <c r="F1" s="88" t="s">
        <v>164</v>
      </c>
      <c r="G1" s="88" t="s">
        <v>165</v>
      </c>
      <c r="H1" s="88" t="s">
        <v>166</v>
      </c>
      <c r="I1" s="88" t="s">
        <v>220</v>
      </c>
      <c r="J1" s="88" t="s">
        <v>221</v>
      </c>
      <c r="K1" s="88" t="s">
        <v>167</v>
      </c>
      <c r="L1" s="88" t="s">
        <v>168</v>
      </c>
      <c r="M1" s="88" t="s">
        <v>222</v>
      </c>
    </row>
    <row r="2" spans="1:13" x14ac:dyDescent="0.25">
      <c r="A2" s="98" t="s">
        <v>249</v>
      </c>
      <c r="B2" s="98" t="s">
        <v>28</v>
      </c>
      <c r="C2" s="99">
        <v>44049</v>
      </c>
      <c r="D2" s="98" t="s">
        <v>223</v>
      </c>
      <c r="E2" s="98" t="s">
        <v>5</v>
      </c>
      <c r="F2" s="100">
        <f>VLOOKUP(A2,[3]PRESTAMOS!A:N,6,0)</f>
        <v>950000</v>
      </c>
      <c r="G2" s="100">
        <f>VLOOKUP(A2,[3]PRESTAMOS!A:N,10,0)</f>
        <v>19</v>
      </c>
      <c r="H2" s="100"/>
      <c r="I2" s="100">
        <f>VLOOKUP(A2,[3]PRESTAMOS!A:N,8,0)</f>
        <v>983250</v>
      </c>
      <c r="J2" s="100">
        <f>VLOOKUP(A2,[3]PRESTAMOS!A:N,11,0)</f>
        <v>0</v>
      </c>
      <c r="K2" s="100"/>
      <c r="L2" s="100">
        <f>VLOOKUP(A2,[3]PRESTAMOS!A:N,13,0)</f>
        <v>0</v>
      </c>
      <c r="M2" s="101" t="str">
        <f t="shared" ref="M2:M11" si="0">IFERROR(IF(L2=0,"CANCELADO","CON SALDO")," ")</f>
        <v>CANCELADO</v>
      </c>
    </row>
    <row r="3" spans="1:13" x14ac:dyDescent="0.25">
      <c r="A3" s="98" t="s">
        <v>250</v>
      </c>
      <c r="B3" s="98" t="s">
        <v>224</v>
      </c>
      <c r="C3" s="99">
        <v>44194</v>
      </c>
      <c r="D3" s="98" t="s">
        <v>225</v>
      </c>
      <c r="E3" s="98" t="s">
        <v>5</v>
      </c>
      <c r="F3" s="100">
        <f>VLOOKUP(A3,[3]PRESTAMOS!A:N,6,0)</f>
        <v>1000000</v>
      </c>
      <c r="G3" s="100">
        <f>VLOOKUP(A3,[3]PRESTAMOS!A:N,10,0)</f>
        <v>8</v>
      </c>
      <c r="H3" s="100"/>
      <c r="I3" s="100">
        <f>VLOOKUP(A3,[3]PRESTAMOS!A:N,8,0)</f>
        <v>1035000</v>
      </c>
      <c r="J3" s="100">
        <f>VLOOKUP(A3,[3]PRESTAMOS!A:N,11,0)</f>
        <v>0</v>
      </c>
      <c r="K3" s="100"/>
      <c r="L3" s="100">
        <f>VLOOKUP(A3,[3]PRESTAMOS!A:N,13,0)</f>
        <v>0</v>
      </c>
      <c r="M3" s="101" t="str">
        <f t="shared" si="0"/>
        <v>CANCELADO</v>
      </c>
    </row>
    <row r="4" spans="1:13" x14ac:dyDescent="0.25">
      <c r="A4" s="98" t="s">
        <v>251</v>
      </c>
      <c r="B4" s="98" t="s">
        <v>224</v>
      </c>
      <c r="C4" s="99">
        <v>44202</v>
      </c>
      <c r="D4" s="98" t="s">
        <v>226</v>
      </c>
      <c r="E4" s="98" t="s">
        <v>5</v>
      </c>
      <c r="F4" s="100">
        <f>VLOOKUP(A4,[3]PRESTAMOS!A:N,6,0)</f>
        <v>350000</v>
      </c>
      <c r="G4" s="100">
        <f>VLOOKUP(A4,[3]PRESTAMOS!A:N,10,0)</f>
        <v>8</v>
      </c>
      <c r="H4" s="100"/>
      <c r="I4" s="100">
        <f>VLOOKUP(A4,[3]PRESTAMOS!A:N,8,0)</f>
        <v>362250</v>
      </c>
      <c r="J4" s="100">
        <f>VLOOKUP(A4,[3]PRESTAMOS!A:N,11,0)</f>
        <v>0</v>
      </c>
      <c r="K4" s="100"/>
      <c r="L4" s="100">
        <f>VLOOKUP(A4,[3]PRESTAMOS!A:N,13,0)</f>
        <v>0</v>
      </c>
      <c r="M4" s="101" t="str">
        <f t="shared" si="0"/>
        <v>CANCELADO</v>
      </c>
    </row>
    <row r="5" spans="1:13" x14ac:dyDescent="0.25">
      <c r="A5" s="98" t="s">
        <v>252</v>
      </c>
      <c r="B5" s="98" t="s">
        <v>33</v>
      </c>
      <c r="C5" s="99">
        <v>44215</v>
      </c>
      <c r="D5" s="98" t="s">
        <v>217</v>
      </c>
      <c r="E5" s="98" t="s">
        <v>5</v>
      </c>
      <c r="F5" s="100">
        <f>VLOOKUP(A5,[3]PRESTAMOS!A:N,6,0)</f>
        <v>300000</v>
      </c>
      <c r="G5" s="100">
        <f>VLOOKUP(A5,[3]PRESTAMOS!A:N,10,0)</f>
        <v>4</v>
      </c>
      <c r="H5" s="100"/>
      <c r="I5" s="100">
        <f>VLOOKUP(A5,[3]PRESTAMOS!A:N,8,0)</f>
        <v>310500</v>
      </c>
      <c r="J5" s="100">
        <f>VLOOKUP(A5,[3]PRESTAMOS!A:N,11,0)</f>
        <v>0</v>
      </c>
      <c r="K5" s="100"/>
      <c r="L5" s="100">
        <f>VLOOKUP(A5,[3]PRESTAMOS!A:N,13,0)</f>
        <v>0</v>
      </c>
      <c r="M5" s="101" t="str">
        <f t="shared" si="0"/>
        <v>CANCELADO</v>
      </c>
    </row>
    <row r="6" spans="1:13" x14ac:dyDescent="0.25">
      <c r="A6" s="98" t="s">
        <v>253</v>
      </c>
      <c r="B6" s="98" t="s">
        <v>224</v>
      </c>
      <c r="C6" s="99">
        <v>44215</v>
      </c>
      <c r="D6" s="98" t="s">
        <v>227</v>
      </c>
      <c r="E6" s="98" t="s">
        <v>5</v>
      </c>
      <c r="F6" s="100">
        <f>VLOOKUP(A6,[3]PRESTAMOS!A:N,6,0)</f>
        <v>500000</v>
      </c>
      <c r="G6" s="100">
        <f>VLOOKUP(A6,[3]PRESTAMOS!A:N,10,0)</f>
        <v>4</v>
      </c>
      <c r="H6" s="100"/>
      <c r="I6" s="100">
        <f>VLOOKUP(A6,[3]PRESTAMOS!A:N,8,0)</f>
        <v>517500</v>
      </c>
      <c r="J6" s="100">
        <f>VLOOKUP(A6,[3]PRESTAMOS!A:N,11,0)</f>
        <v>0</v>
      </c>
      <c r="K6" s="100"/>
      <c r="L6" s="100">
        <f>VLOOKUP(A6,[3]PRESTAMOS!A:N,13,0)</f>
        <v>0</v>
      </c>
      <c r="M6" s="101" t="str">
        <f t="shared" si="0"/>
        <v>CANCELADO</v>
      </c>
    </row>
    <row r="7" spans="1:13" x14ac:dyDescent="0.25">
      <c r="A7" s="98" t="s">
        <v>254</v>
      </c>
      <c r="B7" s="98" t="s">
        <v>33</v>
      </c>
      <c r="C7" s="99">
        <v>44232</v>
      </c>
      <c r="D7" s="98" t="s">
        <v>216</v>
      </c>
      <c r="E7" s="98" t="s">
        <v>228</v>
      </c>
      <c r="F7" s="100">
        <f>VLOOKUP(A7,[3]PRESTAMOS!A:N,6,0)</f>
        <v>670000</v>
      </c>
      <c r="G7" s="100">
        <f>VLOOKUP(A7,[3]PRESTAMOS!A:N,10,0)</f>
        <v>7</v>
      </c>
      <c r="H7" s="100"/>
      <c r="I7" s="100">
        <f>VLOOKUP(A7,[3]PRESTAMOS!A:N,8,0)</f>
        <v>693450</v>
      </c>
      <c r="J7" s="100">
        <f>VLOOKUP(A7,[3]PRESTAMOS!A:N,11,0)</f>
        <v>0</v>
      </c>
      <c r="K7" s="100"/>
      <c r="L7" s="100">
        <f>VLOOKUP(A7,[3]PRESTAMOS!A:N,13,0)</f>
        <v>0</v>
      </c>
      <c r="M7" s="101" t="str">
        <f t="shared" si="0"/>
        <v>CANCELADO</v>
      </c>
    </row>
    <row r="8" spans="1:13" x14ac:dyDescent="0.25">
      <c r="A8" s="109" t="s">
        <v>264</v>
      </c>
      <c r="B8" s="109" t="s">
        <v>224</v>
      </c>
      <c r="C8" s="110">
        <v>44270</v>
      </c>
      <c r="D8" s="109" t="s">
        <v>225</v>
      </c>
      <c r="E8" s="109" t="s">
        <v>5</v>
      </c>
      <c r="F8" s="111">
        <f>VLOOKUP(A8,[3]PRESTAMOS!A:N,6,0)</f>
        <v>900000</v>
      </c>
      <c r="G8" s="111">
        <f>VLOOKUP(A8,[3]PRESTAMOS!A:N,10,0)</f>
        <v>2</v>
      </c>
      <c r="H8" s="111"/>
      <c r="I8" s="111">
        <f>VLOOKUP(A8,[3]PRESTAMOS!A:N,8,0)</f>
        <v>931500</v>
      </c>
      <c r="J8" s="111">
        <f>VLOOKUP(A8,[3]PRESTAMOS!A:N,11,0)</f>
        <v>0</v>
      </c>
      <c r="K8" s="111"/>
      <c r="L8" s="111">
        <f>VLOOKUP(A8,[3]PRESTAMOS!A:N,13,0)</f>
        <v>0</v>
      </c>
      <c r="M8" s="112" t="str">
        <f t="shared" si="0"/>
        <v>CANCELADO</v>
      </c>
    </row>
    <row r="9" spans="1:13" ht="16.5" x14ac:dyDescent="0.3">
      <c r="A9" s="113" t="s">
        <v>255</v>
      </c>
      <c r="B9" s="25" t="s">
        <v>224</v>
      </c>
      <c r="C9" s="26">
        <v>44279</v>
      </c>
      <c r="D9" s="25" t="s">
        <v>227</v>
      </c>
      <c r="E9" s="25" t="s">
        <v>5</v>
      </c>
      <c r="F9" s="85">
        <v>1000000</v>
      </c>
      <c r="G9" s="85"/>
      <c r="H9" s="85"/>
      <c r="I9" s="85">
        <f>VLOOKUP(A9,[3]PRESTAMOS!A:N,8,0)</f>
        <v>1035000</v>
      </c>
      <c r="J9" s="85">
        <f>VLOOKUP(A9,[3]PRESTAMOS!A:N,11,0)</f>
        <v>0</v>
      </c>
      <c r="K9" s="85"/>
      <c r="L9" s="85">
        <f>VLOOKUP(A9,[3]PRESTAMOS!A:N,13,0)</f>
        <v>0</v>
      </c>
      <c r="M9" s="89" t="str">
        <f t="shared" si="0"/>
        <v>CANCELADO</v>
      </c>
    </row>
    <row r="10" spans="1:13" ht="16.5" x14ac:dyDescent="0.3">
      <c r="A10" s="113" t="s">
        <v>265</v>
      </c>
      <c r="B10" s="25" t="s">
        <v>28</v>
      </c>
      <c r="C10" s="26">
        <v>44049</v>
      </c>
      <c r="D10" s="25" t="s">
        <v>223</v>
      </c>
      <c r="E10" s="25" t="s">
        <v>5</v>
      </c>
      <c r="F10" s="85">
        <v>950000</v>
      </c>
      <c r="G10" s="85">
        <v>19</v>
      </c>
      <c r="H10" s="85"/>
      <c r="I10" s="85">
        <f>VLOOKUP(A10,[3]PRESTAMOS!A:N,8,0)</f>
        <v>517500</v>
      </c>
      <c r="J10" s="85">
        <f>VLOOKUP(A10,[3]PRESTAMOS!A:N,11,0)</f>
        <v>43125</v>
      </c>
      <c r="K10" s="85"/>
      <c r="L10" s="85">
        <f>VLOOKUP(A10,[3]PRESTAMOS!A:N,13,0)</f>
        <v>86250</v>
      </c>
      <c r="M10" s="89" t="str">
        <f t="shared" si="0"/>
        <v>CON SALDO</v>
      </c>
    </row>
    <row r="11" spans="1:13" ht="16.5" x14ac:dyDescent="0.3">
      <c r="A11" s="114" t="s">
        <v>266</v>
      </c>
      <c r="B11" s="82" t="s">
        <v>33</v>
      </c>
      <c r="C11" s="115">
        <v>44307</v>
      </c>
      <c r="D11" s="82" t="s">
        <v>217</v>
      </c>
      <c r="E11" s="82" t="s">
        <v>5</v>
      </c>
      <c r="F11" s="116">
        <v>200000</v>
      </c>
      <c r="G11" s="116"/>
      <c r="H11" s="116"/>
      <c r="I11" s="116"/>
      <c r="J11" s="116"/>
      <c r="K11" s="116"/>
      <c r="L11" s="116">
        <f>VLOOKUP(A11,[3]PRESTAMOS!A:N,13,0)</f>
        <v>0</v>
      </c>
      <c r="M11" s="117" t="str">
        <f t="shared" si="0"/>
        <v>CANCELADO</v>
      </c>
    </row>
    <row r="12" spans="1:13" x14ac:dyDescent="0.25">
      <c r="B12" s="80"/>
      <c r="C12" s="118"/>
      <c r="F12" s="90"/>
      <c r="G12" s="90"/>
      <c r="H12" s="90"/>
      <c r="I12" s="90"/>
      <c r="J12" s="90"/>
      <c r="K12" s="90"/>
      <c r="L12" s="90"/>
    </row>
    <row r="13" spans="1:13" ht="16.5" customHeight="1" x14ac:dyDescent="0.25">
      <c r="A13" s="348" t="s">
        <v>229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8"/>
    </row>
    <row r="14" spans="1:13" ht="16.5" x14ac:dyDescent="0.3">
      <c r="A14" s="102" t="s">
        <v>256</v>
      </c>
      <c r="B14" s="25" t="s">
        <v>224</v>
      </c>
      <c r="C14" s="26"/>
      <c r="D14" s="25" t="s">
        <v>230</v>
      </c>
      <c r="E14" s="25" t="s">
        <v>231</v>
      </c>
      <c r="F14" s="85">
        <f>VLOOKUP(D14,[3]PRESTAMOS!C:N,4,0)</f>
        <v>1046300</v>
      </c>
      <c r="G14" s="85"/>
      <c r="H14" s="85"/>
      <c r="I14" s="85">
        <f>VLOOKUP(D14,[3]PRESTAMOS!C:N,6,0)</f>
        <v>1046300</v>
      </c>
      <c r="J14" s="85"/>
      <c r="K14" s="85"/>
      <c r="L14" s="85">
        <f>VLOOKUP(D14,[3]PRESTAMOS!C:N,11,0)</f>
        <v>-93700</v>
      </c>
      <c r="M14" s="89" t="str">
        <f>IFERROR(IF(L14=0,"CANCELADO","CON SALDO")," ")</f>
        <v>CON SALDO</v>
      </c>
    </row>
    <row r="15" spans="1:13" ht="16.5" x14ac:dyDescent="0.3">
      <c r="A15" s="102" t="s">
        <v>257</v>
      </c>
      <c r="B15" s="25" t="s">
        <v>224</v>
      </c>
      <c r="C15" s="26"/>
      <c r="D15" s="25" t="s">
        <v>232</v>
      </c>
      <c r="E15" s="25" t="s">
        <v>233</v>
      </c>
      <c r="F15" s="85">
        <f>VLOOKUP(D15,[3]PRESTAMOS!C:N,4,0)</f>
        <v>2838863</v>
      </c>
      <c r="G15" s="85"/>
      <c r="H15" s="85"/>
      <c r="I15" s="85">
        <f>VLOOKUP(D15,[3]PRESTAMOS!C:N,6,0)</f>
        <v>2838863</v>
      </c>
      <c r="J15" s="85"/>
      <c r="K15" s="85"/>
      <c r="L15" s="85">
        <f>VLOOKUP(D15,[3]PRESTAMOS!C:N,11,0)</f>
        <v>-376012</v>
      </c>
      <c r="M15" s="89" t="str">
        <f>IFERROR(IF(L15=0,"CANCELADO","CON SALDO")," ")</f>
        <v>CON SALDO</v>
      </c>
    </row>
  </sheetData>
  <mergeCells count="1">
    <mergeCell ref="A13:M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69C8-8254-44E4-A0B3-33DED7853545}">
  <dimension ref="A1:K4"/>
  <sheetViews>
    <sheetView zoomScale="85" zoomScaleNormal="85" workbookViewId="0">
      <selection activeCell="A5" sqref="A5:XFD198"/>
    </sheetView>
  </sheetViews>
  <sheetFormatPr baseColWidth="10" defaultRowHeight="15" x14ac:dyDescent="0.25"/>
  <cols>
    <col min="1" max="1" width="40" bestFit="1" customWidth="1"/>
    <col min="3" max="3" width="12.7109375" bestFit="1" customWidth="1"/>
    <col min="4" max="5" width="20.5703125" customWidth="1"/>
    <col min="8" max="8" width="16.5703125" customWidth="1"/>
    <col min="11" max="11" width="30.28515625" customWidth="1"/>
  </cols>
  <sheetData>
    <row r="1" spans="1:11" ht="18.75" x14ac:dyDescent="0.3">
      <c r="A1" s="349" t="s">
        <v>155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</row>
    <row r="2" spans="1:11" ht="18.75" x14ac:dyDescent="0.3">
      <c r="A2" s="120" t="s">
        <v>156</v>
      </c>
      <c r="B2" s="120"/>
      <c r="C2" s="120" t="s">
        <v>214</v>
      </c>
      <c r="D2" s="120" t="s">
        <v>212</v>
      </c>
      <c r="E2" s="120" t="s">
        <v>213</v>
      </c>
      <c r="F2" s="120"/>
      <c r="G2" s="120" t="s">
        <v>215</v>
      </c>
      <c r="H2" s="120"/>
      <c r="I2" s="120"/>
      <c r="J2" s="120"/>
      <c r="K2" s="120"/>
    </row>
    <row r="3" spans="1:11" x14ac:dyDescent="0.25">
      <c r="A3" s="25" t="str">
        <f>CONCATENATE(D3," ",E3)</f>
        <v xml:space="preserve">ACEVEDO JESUS HUMBERTO </v>
      </c>
      <c r="B3" s="25">
        <v>2</v>
      </c>
      <c r="C3" s="25">
        <v>4136722</v>
      </c>
      <c r="D3" s="25" t="s">
        <v>209</v>
      </c>
      <c r="E3" s="25" t="s">
        <v>210</v>
      </c>
      <c r="F3" s="25">
        <v>13</v>
      </c>
      <c r="G3" s="25" t="s">
        <v>158</v>
      </c>
      <c r="H3" s="107">
        <v>142176817</v>
      </c>
      <c r="I3" s="25"/>
      <c r="J3" s="25"/>
      <c r="K3" s="25"/>
    </row>
    <row r="4" spans="1:11" x14ac:dyDescent="0.25">
      <c r="A4" s="25" t="str">
        <f>CONCATENATE(D4," ",E4)</f>
        <v>AGUIRRE BONILLA LUZ ADRIANA</v>
      </c>
      <c r="B4" s="25">
        <v>2</v>
      </c>
      <c r="C4" s="25">
        <v>53124798</v>
      </c>
      <c r="D4" s="25" t="s">
        <v>211</v>
      </c>
      <c r="E4" s="25" t="s">
        <v>160</v>
      </c>
      <c r="F4" s="25">
        <v>51</v>
      </c>
      <c r="G4" s="25" t="s">
        <v>157</v>
      </c>
      <c r="H4" s="107">
        <v>3104732603</v>
      </c>
      <c r="I4" s="25"/>
      <c r="J4" s="25"/>
      <c r="K4" s="25"/>
    </row>
  </sheetData>
  <autoFilter ref="A2:L2" xr:uid="{4EA069C8-8254-44E4-A0B3-33DED7853545}"/>
  <sortState xmlns:xlrd2="http://schemas.microsoft.com/office/spreadsheetml/2017/richdata2" ref="A3:L4">
    <sortCondition ref="A3:A4"/>
  </sortState>
  <mergeCells count="1">
    <mergeCell ref="A1:K1"/>
  </mergeCells>
  <conditionalFormatting sqref="C1:C1048576">
    <cfRule type="duplicateValues" dxfId="0" priority="1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46C9-37BD-4BBD-BE1A-0E0D639A4D7A}">
  <dimension ref="A1:M103"/>
  <sheetViews>
    <sheetView workbookViewId="0">
      <selection activeCell="A13" sqref="A13:D13"/>
    </sheetView>
  </sheetViews>
  <sheetFormatPr baseColWidth="10" defaultColWidth="11.42578125" defaultRowHeight="11.25" x14ac:dyDescent="0.2"/>
  <cols>
    <col min="1" max="1" width="26.85546875" style="27" bestFit="1" customWidth="1"/>
    <col min="2" max="2" width="13.28515625" style="27" bestFit="1" customWidth="1"/>
    <col min="3" max="4" width="16.28515625" style="27" bestFit="1" customWidth="1"/>
    <col min="5" max="5" width="21.5703125" style="27" bestFit="1" customWidth="1"/>
    <col min="6" max="6" width="5.5703125" style="27" customWidth="1"/>
    <col min="7" max="8" width="10.42578125" style="27" bestFit="1" customWidth="1"/>
    <col min="9" max="9" width="11.140625" style="27" bestFit="1" customWidth="1"/>
    <col min="10" max="10" width="10.42578125" style="27" bestFit="1" customWidth="1"/>
    <col min="11" max="11" width="7.7109375" style="27" customWidth="1"/>
    <col min="12" max="12" width="44.140625" style="27" bestFit="1" customWidth="1"/>
    <col min="13" max="13" width="12" style="27" bestFit="1" customWidth="1"/>
    <col min="14" max="256" width="11.42578125" style="27"/>
    <col min="257" max="257" width="33.7109375" style="27" customWidth="1"/>
    <col min="258" max="258" width="15.85546875" style="27" customWidth="1"/>
    <col min="259" max="259" width="20.5703125" style="27" customWidth="1"/>
    <col min="260" max="260" width="14.85546875" style="27" customWidth="1"/>
    <col min="261" max="261" width="24" style="27" bestFit="1" customWidth="1"/>
    <col min="262" max="262" width="5.5703125" style="27" customWidth="1"/>
    <col min="263" max="263" width="18.85546875" style="27" customWidth="1"/>
    <col min="264" max="264" width="20.28515625" style="27" customWidth="1"/>
    <col min="265" max="265" width="17.5703125" style="27" customWidth="1"/>
    <col min="266" max="266" width="17.28515625" style="27" customWidth="1"/>
    <col min="267" max="267" width="7.7109375" style="27" customWidth="1"/>
    <col min="268" max="268" width="44.140625" style="27" bestFit="1" customWidth="1"/>
    <col min="269" max="269" width="12" style="27" bestFit="1" customWidth="1"/>
    <col min="270" max="512" width="11.42578125" style="27"/>
    <col min="513" max="513" width="33.7109375" style="27" customWidth="1"/>
    <col min="514" max="514" width="15.85546875" style="27" customWidth="1"/>
    <col min="515" max="515" width="20.5703125" style="27" customWidth="1"/>
    <col min="516" max="516" width="14.85546875" style="27" customWidth="1"/>
    <col min="517" max="517" width="24" style="27" bestFit="1" customWidth="1"/>
    <col min="518" max="518" width="5.5703125" style="27" customWidth="1"/>
    <col min="519" max="519" width="18.85546875" style="27" customWidth="1"/>
    <col min="520" max="520" width="20.28515625" style="27" customWidth="1"/>
    <col min="521" max="521" width="17.5703125" style="27" customWidth="1"/>
    <col min="522" max="522" width="17.28515625" style="27" customWidth="1"/>
    <col min="523" max="523" width="7.7109375" style="27" customWidth="1"/>
    <col min="524" max="524" width="44.140625" style="27" bestFit="1" customWidth="1"/>
    <col min="525" max="525" width="12" style="27" bestFit="1" customWidth="1"/>
    <col min="526" max="768" width="11.42578125" style="27"/>
    <col min="769" max="769" width="33.7109375" style="27" customWidth="1"/>
    <col min="770" max="770" width="15.85546875" style="27" customWidth="1"/>
    <col min="771" max="771" width="20.5703125" style="27" customWidth="1"/>
    <col min="772" max="772" width="14.85546875" style="27" customWidth="1"/>
    <col min="773" max="773" width="24" style="27" bestFit="1" customWidth="1"/>
    <col min="774" max="774" width="5.5703125" style="27" customWidth="1"/>
    <col min="775" max="775" width="18.85546875" style="27" customWidth="1"/>
    <col min="776" max="776" width="20.28515625" style="27" customWidth="1"/>
    <col min="777" max="777" width="17.5703125" style="27" customWidth="1"/>
    <col min="778" max="778" width="17.28515625" style="27" customWidth="1"/>
    <col min="779" max="779" width="7.7109375" style="27" customWidth="1"/>
    <col min="780" max="780" width="44.140625" style="27" bestFit="1" customWidth="1"/>
    <col min="781" max="781" width="12" style="27" bestFit="1" customWidth="1"/>
    <col min="782" max="1024" width="11.42578125" style="27"/>
    <col min="1025" max="1025" width="33.7109375" style="27" customWidth="1"/>
    <col min="1026" max="1026" width="15.85546875" style="27" customWidth="1"/>
    <col min="1027" max="1027" width="20.5703125" style="27" customWidth="1"/>
    <col min="1028" max="1028" width="14.85546875" style="27" customWidth="1"/>
    <col min="1029" max="1029" width="24" style="27" bestFit="1" customWidth="1"/>
    <col min="1030" max="1030" width="5.5703125" style="27" customWidth="1"/>
    <col min="1031" max="1031" width="18.85546875" style="27" customWidth="1"/>
    <col min="1032" max="1032" width="20.28515625" style="27" customWidth="1"/>
    <col min="1033" max="1033" width="17.5703125" style="27" customWidth="1"/>
    <col min="1034" max="1034" width="17.28515625" style="27" customWidth="1"/>
    <col min="1035" max="1035" width="7.7109375" style="27" customWidth="1"/>
    <col min="1036" max="1036" width="44.140625" style="27" bestFit="1" customWidth="1"/>
    <col min="1037" max="1037" width="12" style="27" bestFit="1" customWidth="1"/>
    <col min="1038" max="1280" width="11.42578125" style="27"/>
    <col min="1281" max="1281" width="33.7109375" style="27" customWidth="1"/>
    <col min="1282" max="1282" width="15.85546875" style="27" customWidth="1"/>
    <col min="1283" max="1283" width="20.5703125" style="27" customWidth="1"/>
    <col min="1284" max="1284" width="14.85546875" style="27" customWidth="1"/>
    <col min="1285" max="1285" width="24" style="27" bestFit="1" customWidth="1"/>
    <col min="1286" max="1286" width="5.5703125" style="27" customWidth="1"/>
    <col min="1287" max="1287" width="18.85546875" style="27" customWidth="1"/>
    <col min="1288" max="1288" width="20.28515625" style="27" customWidth="1"/>
    <col min="1289" max="1289" width="17.5703125" style="27" customWidth="1"/>
    <col min="1290" max="1290" width="17.28515625" style="27" customWidth="1"/>
    <col min="1291" max="1291" width="7.7109375" style="27" customWidth="1"/>
    <col min="1292" max="1292" width="44.140625" style="27" bestFit="1" customWidth="1"/>
    <col min="1293" max="1293" width="12" style="27" bestFit="1" customWidth="1"/>
    <col min="1294" max="1536" width="11.42578125" style="27"/>
    <col min="1537" max="1537" width="33.7109375" style="27" customWidth="1"/>
    <col min="1538" max="1538" width="15.85546875" style="27" customWidth="1"/>
    <col min="1539" max="1539" width="20.5703125" style="27" customWidth="1"/>
    <col min="1540" max="1540" width="14.85546875" style="27" customWidth="1"/>
    <col min="1541" max="1541" width="24" style="27" bestFit="1" customWidth="1"/>
    <col min="1542" max="1542" width="5.5703125" style="27" customWidth="1"/>
    <col min="1543" max="1543" width="18.85546875" style="27" customWidth="1"/>
    <col min="1544" max="1544" width="20.28515625" style="27" customWidth="1"/>
    <col min="1545" max="1545" width="17.5703125" style="27" customWidth="1"/>
    <col min="1546" max="1546" width="17.28515625" style="27" customWidth="1"/>
    <col min="1547" max="1547" width="7.7109375" style="27" customWidth="1"/>
    <col min="1548" max="1548" width="44.140625" style="27" bestFit="1" customWidth="1"/>
    <col min="1549" max="1549" width="12" style="27" bestFit="1" customWidth="1"/>
    <col min="1550" max="1792" width="11.42578125" style="27"/>
    <col min="1793" max="1793" width="33.7109375" style="27" customWidth="1"/>
    <col min="1794" max="1794" width="15.85546875" style="27" customWidth="1"/>
    <col min="1795" max="1795" width="20.5703125" style="27" customWidth="1"/>
    <col min="1796" max="1796" width="14.85546875" style="27" customWidth="1"/>
    <col min="1797" max="1797" width="24" style="27" bestFit="1" customWidth="1"/>
    <col min="1798" max="1798" width="5.5703125" style="27" customWidth="1"/>
    <col min="1799" max="1799" width="18.85546875" style="27" customWidth="1"/>
    <col min="1800" max="1800" width="20.28515625" style="27" customWidth="1"/>
    <col min="1801" max="1801" width="17.5703125" style="27" customWidth="1"/>
    <col min="1802" max="1802" width="17.28515625" style="27" customWidth="1"/>
    <col min="1803" max="1803" width="7.7109375" style="27" customWidth="1"/>
    <col min="1804" max="1804" width="44.140625" style="27" bestFit="1" customWidth="1"/>
    <col min="1805" max="1805" width="12" style="27" bestFit="1" customWidth="1"/>
    <col min="1806" max="2048" width="11.42578125" style="27"/>
    <col min="2049" max="2049" width="33.7109375" style="27" customWidth="1"/>
    <col min="2050" max="2050" width="15.85546875" style="27" customWidth="1"/>
    <col min="2051" max="2051" width="20.5703125" style="27" customWidth="1"/>
    <col min="2052" max="2052" width="14.85546875" style="27" customWidth="1"/>
    <col min="2053" max="2053" width="24" style="27" bestFit="1" customWidth="1"/>
    <col min="2054" max="2054" width="5.5703125" style="27" customWidth="1"/>
    <col min="2055" max="2055" width="18.85546875" style="27" customWidth="1"/>
    <col min="2056" max="2056" width="20.28515625" style="27" customWidth="1"/>
    <col min="2057" max="2057" width="17.5703125" style="27" customWidth="1"/>
    <col min="2058" max="2058" width="17.28515625" style="27" customWidth="1"/>
    <col min="2059" max="2059" width="7.7109375" style="27" customWidth="1"/>
    <col min="2060" max="2060" width="44.140625" style="27" bestFit="1" customWidth="1"/>
    <col min="2061" max="2061" width="12" style="27" bestFit="1" customWidth="1"/>
    <col min="2062" max="2304" width="11.42578125" style="27"/>
    <col min="2305" max="2305" width="33.7109375" style="27" customWidth="1"/>
    <col min="2306" max="2306" width="15.85546875" style="27" customWidth="1"/>
    <col min="2307" max="2307" width="20.5703125" style="27" customWidth="1"/>
    <col min="2308" max="2308" width="14.85546875" style="27" customWidth="1"/>
    <col min="2309" max="2309" width="24" style="27" bestFit="1" customWidth="1"/>
    <col min="2310" max="2310" width="5.5703125" style="27" customWidth="1"/>
    <col min="2311" max="2311" width="18.85546875" style="27" customWidth="1"/>
    <col min="2312" max="2312" width="20.28515625" style="27" customWidth="1"/>
    <col min="2313" max="2313" width="17.5703125" style="27" customWidth="1"/>
    <col min="2314" max="2314" width="17.28515625" style="27" customWidth="1"/>
    <col min="2315" max="2315" width="7.7109375" style="27" customWidth="1"/>
    <col min="2316" max="2316" width="44.140625" style="27" bestFit="1" customWidth="1"/>
    <col min="2317" max="2317" width="12" style="27" bestFit="1" customWidth="1"/>
    <col min="2318" max="2560" width="11.42578125" style="27"/>
    <col min="2561" max="2561" width="33.7109375" style="27" customWidth="1"/>
    <col min="2562" max="2562" width="15.85546875" style="27" customWidth="1"/>
    <col min="2563" max="2563" width="20.5703125" style="27" customWidth="1"/>
    <col min="2564" max="2564" width="14.85546875" style="27" customWidth="1"/>
    <col min="2565" max="2565" width="24" style="27" bestFit="1" customWidth="1"/>
    <col min="2566" max="2566" width="5.5703125" style="27" customWidth="1"/>
    <col min="2567" max="2567" width="18.85546875" style="27" customWidth="1"/>
    <col min="2568" max="2568" width="20.28515625" style="27" customWidth="1"/>
    <col min="2569" max="2569" width="17.5703125" style="27" customWidth="1"/>
    <col min="2570" max="2570" width="17.28515625" style="27" customWidth="1"/>
    <col min="2571" max="2571" width="7.7109375" style="27" customWidth="1"/>
    <col min="2572" max="2572" width="44.140625" style="27" bestFit="1" customWidth="1"/>
    <col min="2573" max="2573" width="12" style="27" bestFit="1" customWidth="1"/>
    <col min="2574" max="2816" width="11.42578125" style="27"/>
    <col min="2817" max="2817" width="33.7109375" style="27" customWidth="1"/>
    <col min="2818" max="2818" width="15.85546875" style="27" customWidth="1"/>
    <col min="2819" max="2819" width="20.5703125" style="27" customWidth="1"/>
    <col min="2820" max="2820" width="14.85546875" style="27" customWidth="1"/>
    <col min="2821" max="2821" width="24" style="27" bestFit="1" customWidth="1"/>
    <col min="2822" max="2822" width="5.5703125" style="27" customWidth="1"/>
    <col min="2823" max="2823" width="18.85546875" style="27" customWidth="1"/>
    <col min="2824" max="2824" width="20.28515625" style="27" customWidth="1"/>
    <col min="2825" max="2825" width="17.5703125" style="27" customWidth="1"/>
    <col min="2826" max="2826" width="17.28515625" style="27" customWidth="1"/>
    <col min="2827" max="2827" width="7.7109375" style="27" customWidth="1"/>
    <col min="2828" max="2828" width="44.140625" style="27" bestFit="1" customWidth="1"/>
    <col min="2829" max="2829" width="12" style="27" bestFit="1" customWidth="1"/>
    <col min="2830" max="3072" width="11.42578125" style="27"/>
    <col min="3073" max="3073" width="33.7109375" style="27" customWidth="1"/>
    <col min="3074" max="3074" width="15.85546875" style="27" customWidth="1"/>
    <col min="3075" max="3075" width="20.5703125" style="27" customWidth="1"/>
    <col min="3076" max="3076" width="14.85546875" style="27" customWidth="1"/>
    <col min="3077" max="3077" width="24" style="27" bestFit="1" customWidth="1"/>
    <col min="3078" max="3078" width="5.5703125" style="27" customWidth="1"/>
    <col min="3079" max="3079" width="18.85546875" style="27" customWidth="1"/>
    <col min="3080" max="3080" width="20.28515625" style="27" customWidth="1"/>
    <col min="3081" max="3081" width="17.5703125" style="27" customWidth="1"/>
    <col min="3082" max="3082" width="17.28515625" style="27" customWidth="1"/>
    <col min="3083" max="3083" width="7.7109375" style="27" customWidth="1"/>
    <col min="3084" max="3084" width="44.140625" style="27" bestFit="1" customWidth="1"/>
    <col min="3085" max="3085" width="12" style="27" bestFit="1" customWidth="1"/>
    <col min="3086" max="3328" width="11.42578125" style="27"/>
    <col min="3329" max="3329" width="33.7109375" style="27" customWidth="1"/>
    <col min="3330" max="3330" width="15.85546875" style="27" customWidth="1"/>
    <col min="3331" max="3331" width="20.5703125" style="27" customWidth="1"/>
    <col min="3332" max="3332" width="14.85546875" style="27" customWidth="1"/>
    <col min="3333" max="3333" width="24" style="27" bestFit="1" customWidth="1"/>
    <col min="3334" max="3334" width="5.5703125" style="27" customWidth="1"/>
    <col min="3335" max="3335" width="18.85546875" style="27" customWidth="1"/>
    <col min="3336" max="3336" width="20.28515625" style="27" customWidth="1"/>
    <col min="3337" max="3337" width="17.5703125" style="27" customWidth="1"/>
    <col min="3338" max="3338" width="17.28515625" style="27" customWidth="1"/>
    <col min="3339" max="3339" width="7.7109375" style="27" customWidth="1"/>
    <col min="3340" max="3340" width="44.140625" style="27" bestFit="1" customWidth="1"/>
    <col min="3341" max="3341" width="12" style="27" bestFit="1" customWidth="1"/>
    <col min="3342" max="3584" width="11.42578125" style="27"/>
    <col min="3585" max="3585" width="33.7109375" style="27" customWidth="1"/>
    <col min="3586" max="3586" width="15.85546875" style="27" customWidth="1"/>
    <col min="3587" max="3587" width="20.5703125" style="27" customWidth="1"/>
    <col min="3588" max="3588" width="14.85546875" style="27" customWidth="1"/>
    <col min="3589" max="3589" width="24" style="27" bestFit="1" customWidth="1"/>
    <col min="3590" max="3590" width="5.5703125" style="27" customWidth="1"/>
    <col min="3591" max="3591" width="18.85546875" style="27" customWidth="1"/>
    <col min="3592" max="3592" width="20.28515625" style="27" customWidth="1"/>
    <col min="3593" max="3593" width="17.5703125" style="27" customWidth="1"/>
    <col min="3594" max="3594" width="17.28515625" style="27" customWidth="1"/>
    <col min="3595" max="3595" width="7.7109375" style="27" customWidth="1"/>
    <col min="3596" max="3596" width="44.140625" style="27" bestFit="1" customWidth="1"/>
    <col min="3597" max="3597" width="12" style="27" bestFit="1" customWidth="1"/>
    <col min="3598" max="3840" width="11.42578125" style="27"/>
    <col min="3841" max="3841" width="33.7109375" style="27" customWidth="1"/>
    <col min="3842" max="3842" width="15.85546875" style="27" customWidth="1"/>
    <col min="3843" max="3843" width="20.5703125" style="27" customWidth="1"/>
    <col min="3844" max="3844" width="14.85546875" style="27" customWidth="1"/>
    <col min="3845" max="3845" width="24" style="27" bestFit="1" customWidth="1"/>
    <col min="3846" max="3846" width="5.5703125" style="27" customWidth="1"/>
    <col min="3847" max="3847" width="18.85546875" style="27" customWidth="1"/>
    <col min="3848" max="3848" width="20.28515625" style="27" customWidth="1"/>
    <col min="3849" max="3849" width="17.5703125" style="27" customWidth="1"/>
    <col min="3850" max="3850" width="17.28515625" style="27" customWidth="1"/>
    <col min="3851" max="3851" width="7.7109375" style="27" customWidth="1"/>
    <col min="3852" max="3852" width="44.140625" style="27" bestFit="1" customWidth="1"/>
    <col min="3853" max="3853" width="12" style="27" bestFit="1" customWidth="1"/>
    <col min="3854" max="4096" width="11.42578125" style="27"/>
    <col min="4097" max="4097" width="33.7109375" style="27" customWidth="1"/>
    <col min="4098" max="4098" width="15.85546875" style="27" customWidth="1"/>
    <col min="4099" max="4099" width="20.5703125" style="27" customWidth="1"/>
    <col min="4100" max="4100" width="14.85546875" style="27" customWidth="1"/>
    <col min="4101" max="4101" width="24" style="27" bestFit="1" customWidth="1"/>
    <col min="4102" max="4102" width="5.5703125" style="27" customWidth="1"/>
    <col min="4103" max="4103" width="18.85546875" style="27" customWidth="1"/>
    <col min="4104" max="4104" width="20.28515625" style="27" customWidth="1"/>
    <col min="4105" max="4105" width="17.5703125" style="27" customWidth="1"/>
    <col min="4106" max="4106" width="17.28515625" style="27" customWidth="1"/>
    <col min="4107" max="4107" width="7.7109375" style="27" customWidth="1"/>
    <col min="4108" max="4108" width="44.140625" style="27" bestFit="1" customWidth="1"/>
    <col min="4109" max="4109" width="12" style="27" bestFit="1" customWidth="1"/>
    <col min="4110" max="4352" width="11.42578125" style="27"/>
    <col min="4353" max="4353" width="33.7109375" style="27" customWidth="1"/>
    <col min="4354" max="4354" width="15.85546875" style="27" customWidth="1"/>
    <col min="4355" max="4355" width="20.5703125" style="27" customWidth="1"/>
    <col min="4356" max="4356" width="14.85546875" style="27" customWidth="1"/>
    <col min="4357" max="4357" width="24" style="27" bestFit="1" customWidth="1"/>
    <col min="4358" max="4358" width="5.5703125" style="27" customWidth="1"/>
    <col min="4359" max="4359" width="18.85546875" style="27" customWidth="1"/>
    <col min="4360" max="4360" width="20.28515625" style="27" customWidth="1"/>
    <col min="4361" max="4361" width="17.5703125" style="27" customWidth="1"/>
    <col min="4362" max="4362" width="17.28515625" style="27" customWidth="1"/>
    <col min="4363" max="4363" width="7.7109375" style="27" customWidth="1"/>
    <col min="4364" max="4364" width="44.140625" style="27" bestFit="1" customWidth="1"/>
    <col min="4365" max="4365" width="12" style="27" bestFit="1" customWidth="1"/>
    <col min="4366" max="4608" width="11.42578125" style="27"/>
    <col min="4609" max="4609" width="33.7109375" style="27" customWidth="1"/>
    <col min="4610" max="4610" width="15.85546875" style="27" customWidth="1"/>
    <col min="4611" max="4611" width="20.5703125" style="27" customWidth="1"/>
    <col min="4612" max="4612" width="14.85546875" style="27" customWidth="1"/>
    <col min="4613" max="4613" width="24" style="27" bestFit="1" customWidth="1"/>
    <col min="4614" max="4614" width="5.5703125" style="27" customWidth="1"/>
    <col min="4615" max="4615" width="18.85546875" style="27" customWidth="1"/>
    <col min="4616" max="4616" width="20.28515625" style="27" customWidth="1"/>
    <col min="4617" max="4617" width="17.5703125" style="27" customWidth="1"/>
    <col min="4618" max="4618" width="17.28515625" style="27" customWidth="1"/>
    <col min="4619" max="4619" width="7.7109375" style="27" customWidth="1"/>
    <col min="4620" max="4620" width="44.140625" style="27" bestFit="1" customWidth="1"/>
    <col min="4621" max="4621" width="12" style="27" bestFit="1" customWidth="1"/>
    <col min="4622" max="4864" width="11.42578125" style="27"/>
    <col min="4865" max="4865" width="33.7109375" style="27" customWidth="1"/>
    <col min="4866" max="4866" width="15.85546875" style="27" customWidth="1"/>
    <col min="4867" max="4867" width="20.5703125" style="27" customWidth="1"/>
    <col min="4868" max="4868" width="14.85546875" style="27" customWidth="1"/>
    <col min="4869" max="4869" width="24" style="27" bestFit="1" customWidth="1"/>
    <col min="4870" max="4870" width="5.5703125" style="27" customWidth="1"/>
    <col min="4871" max="4871" width="18.85546875" style="27" customWidth="1"/>
    <col min="4872" max="4872" width="20.28515625" style="27" customWidth="1"/>
    <col min="4873" max="4873" width="17.5703125" style="27" customWidth="1"/>
    <col min="4874" max="4874" width="17.28515625" style="27" customWidth="1"/>
    <col min="4875" max="4875" width="7.7109375" style="27" customWidth="1"/>
    <col min="4876" max="4876" width="44.140625" style="27" bestFit="1" customWidth="1"/>
    <col min="4877" max="4877" width="12" style="27" bestFit="1" customWidth="1"/>
    <col min="4878" max="5120" width="11.42578125" style="27"/>
    <col min="5121" max="5121" width="33.7109375" style="27" customWidth="1"/>
    <col min="5122" max="5122" width="15.85546875" style="27" customWidth="1"/>
    <col min="5123" max="5123" width="20.5703125" style="27" customWidth="1"/>
    <col min="5124" max="5124" width="14.85546875" style="27" customWidth="1"/>
    <col min="5125" max="5125" width="24" style="27" bestFit="1" customWidth="1"/>
    <col min="5126" max="5126" width="5.5703125" style="27" customWidth="1"/>
    <col min="5127" max="5127" width="18.85546875" style="27" customWidth="1"/>
    <col min="5128" max="5128" width="20.28515625" style="27" customWidth="1"/>
    <col min="5129" max="5129" width="17.5703125" style="27" customWidth="1"/>
    <col min="5130" max="5130" width="17.28515625" style="27" customWidth="1"/>
    <col min="5131" max="5131" width="7.7109375" style="27" customWidth="1"/>
    <col min="5132" max="5132" width="44.140625" style="27" bestFit="1" customWidth="1"/>
    <col min="5133" max="5133" width="12" style="27" bestFit="1" customWidth="1"/>
    <col min="5134" max="5376" width="11.42578125" style="27"/>
    <col min="5377" max="5377" width="33.7109375" style="27" customWidth="1"/>
    <col min="5378" max="5378" width="15.85546875" style="27" customWidth="1"/>
    <col min="5379" max="5379" width="20.5703125" style="27" customWidth="1"/>
    <col min="5380" max="5380" width="14.85546875" style="27" customWidth="1"/>
    <col min="5381" max="5381" width="24" style="27" bestFit="1" customWidth="1"/>
    <col min="5382" max="5382" width="5.5703125" style="27" customWidth="1"/>
    <col min="5383" max="5383" width="18.85546875" style="27" customWidth="1"/>
    <col min="5384" max="5384" width="20.28515625" style="27" customWidth="1"/>
    <col min="5385" max="5385" width="17.5703125" style="27" customWidth="1"/>
    <col min="5386" max="5386" width="17.28515625" style="27" customWidth="1"/>
    <col min="5387" max="5387" width="7.7109375" style="27" customWidth="1"/>
    <col min="5388" max="5388" width="44.140625" style="27" bestFit="1" customWidth="1"/>
    <col min="5389" max="5389" width="12" style="27" bestFit="1" customWidth="1"/>
    <col min="5390" max="5632" width="11.42578125" style="27"/>
    <col min="5633" max="5633" width="33.7109375" style="27" customWidth="1"/>
    <col min="5634" max="5634" width="15.85546875" style="27" customWidth="1"/>
    <col min="5635" max="5635" width="20.5703125" style="27" customWidth="1"/>
    <col min="5636" max="5636" width="14.85546875" style="27" customWidth="1"/>
    <col min="5637" max="5637" width="24" style="27" bestFit="1" customWidth="1"/>
    <col min="5638" max="5638" width="5.5703125" style="27" customWidth="1"/>
    <col min="5639" max="5639" width="18.85546875" style="27" customWidth="1"/>
    <col min="5640" max="5640" width="20.28515625" style="27" customWidth="1"/>
    <col min="5641" max="5641" width="17.5703125" style="27" customWidth="1"/>
    <col min="5642" max="5642" width="17.28515625" style="27" customWidth="1"/>
    <col min="5643" max="5643" width="7.7109375" style="27" customWidth="1"/>
    <col min="5644" max="5644" width="44.140625" style="27" bestFit="1" customWidth="1"/>
    <col min="5645" max="5645" width="12" style="27" bestFit="1" customWidth="1"/>
    <col min="5646" max="5888" width="11.42578125" style="27"/>
    <col min="5889" max="5889" width="33.7109375" style="27" customWidth="1"/>
    <col min="5890" max="5890" width="15.85546875" style="27" customWidth="1"/>
    <col min="5891" max="5891" width="20.5703125" style="27" customWidth="1"/>
    <col min="5892" max="5892" width="14.85546875" style="27" customWidth="1"/>
    <col min="5893" max="5893" width="24" style="27" bestFit="1" customWidth="1"/>
    <col min="5894" max="5894" width="5.5703125" style="27" customWidth="1"/>
    <col min="5895" max="5895" width="18.85546875" style="27" customWidth="1"/>
    <col min="5896" max="5896" width="20.28515625" style="27" customWidth="1"/>
    <col min="5897" max="5897" width="17.5703125" style="27" customWidth="1"/>
    <col min="5898" max="5898" width="17.28515625" style="27" customWidth="1"/>
    <col min="5899" max="5899" width="7.7109375" style="27" customWidth="1"/>
    <col min="5900" max="5900" width="44.140625" style="27" bestFit="1" customWidth="1"/>
    <col min="5901" max="5901" width="12" style="27" bestFit="1" customWidth="1"/>
    <col min="5902" max="6144" width="11.42578125" style="27"/>
    <col min="6145" max="6145" width="33.7109375" style="27" customWidth="1"/>
    <col min="6146" max="6146" width="15.85546875" style="27" customWidth="1"/>
    <col min="6147" max="6147" width="20.5703125" style="27" customWidth="1"/>
    <col min="6148" max="6148" width="14.85546875" style="27" customWidth="1"/>
    <col min="6149" max="6149" width="24" style="27" bestFit="1" customWidth="1"/>
    <col min="6150" max="6150" width="5.5703125" style="27" customWidth="1"/>
    <col min="6151" max="6151" width="18.85546875" style="27" customWidth="1"/>
    <col min="6152" max="6152" width="20.28515625" style="27" customWidth="1"/>
    <col min="6153" max="6153" width="17.5703125" style="27" customWidth="1"/>
    <col min="6154" max="6154" width="17.28515625" style="27" customWidth="1"/>
    <col min="6155" max="6155" width="7.7109375" style="27" customWidth="1"/>
    <col min="6156" max="6156" width="44.140625" style="27" bestFit="1" customWidth="1"/>
    <col min="6157" max="6157" width="12" style="27" bestFit="1" customWidth="1"/>
    <col min="6158" max="6400" width="11.42578125" style="27"/>
    <col min="6401" max="6401" width="33.7109375" style="27" customWidth="1"/>
    <col min="6402" max="6402" width="15.85546875" style="27" customWidth="1"/>
    <col min="6403" max="6403" width="20.5703125" style="27" customWidth="1"/>
    <col min="6404" max="6404" width="14.85546875" style="27" customWidth="1"/>
    <col min="6405" max="6405" width="24" style="27" bestFit="1" customWidth="1"/>
    <col min="6406" max="6406" width="5.5703125" style="27" customWidth="1"/>
    <col min="6407" max="6407" width="18.85546875" style="27" customWidth="1"/>
    <col min="6408" max="6408" width="20.28515625" style="27" customWidth="1"/>
    <col min="6409" max="6409" width="17.5703125" style="27" customWidth="1"/>
    <col min="6410" max="6410" width="17.28515625" style="27" customWidth="1"/>
    <col min="6411" max="6411" width="7.7109375" style="27" customWidth="1"/>
    <col min="6412" max="6412" width="44.140625" style="27" bestFit="1" customWidth="1"/>
    <col min="6413" max="6413" width="12" style="27" bestFit="1" customWidth="1"/>
    <col min="6414" max="6656" width="11.42578125" style="27"/>
    <col min="6657" max="6657" width="33.7109375" style="27" customWidth="1"/>
    <col min="6658" max="6658" width="15.85546875" style="27" customWidth="1"/>
    <col min="6659" max="6659" width="20.5703125" style="27" customWidth="1"/>
    <col min="6660" max="6660" width="14.85546875" style="27" customWidth="1"/>
    <col min="6661" max="6661" width="24" style="27" bestFit="1" customWidth="1"/>
    <col min="6662" max="6662" width="5.5703125" style="27" customWidth="1"/>
    <col min="6663" max="6663" width="18.85546875" style="27" customWidth="1"/>
    <col min="6664" max="6664" width="20.28515625" style="27" customWidth="1"/>
    <col min="6665" max="6665" width="17.5703125" style="27" customWidth="1"/>
    <col min="6666" max="6666" width="17.28515625" style="27" customWidth="1"/>
    <col min="6667" max="6667" width="7.7109375" style="27" customWidth="1"/>
    <col min="6668" max="6668" width="44.140625" style="27" bestFit="1" customWidth="1"/>
    <col min="6669" max="6669" width="12" style="27" bestFit="1" customWidth="1"/>
    <col min="6670" max="6912" width="11.42578125" style="27"/>
    <col min="6913" max="6913" width="33.7109375" style="27" customWidth="1"/>
    <col min="6914" max="6914" width="15.85546875" style="27" customWidth="1"/>
    <col min="6915" max="6915" width="20.5703125" style="27" customWidth="1"/>
    <col min="6916" max="6916" width="14.85546875" style="27" customWidth="1"/>
    <col min="6917" max="6917" width="24" style="27" bestFit="1" customWidth="1"/>
    <col min="6918" max="6918" width="5.5703125" style="27" customWidth="1"/>
    <col min="6919" max="6919" width="18.85546875" style="27" customWidth="1"/>
    <col min="6920" max="6920" width="20.28515625" style="27" customWidth="1"/>
    <col min="6921" max="6921" width="17.5703125" style="27" customWidth="1"/>
    <col min="6922" max="6922" width="17.28515625" style="27" customWidth="1"/>
    <col min="6923" max="6923" width="7.7109375" style="27" customWidth="1"/>
    <col min="6924" max="6924" width="44.140625" style="27" bestFit="1" customWidth="1"/>
    <col min="6925" max="6925" width="12" style="27" bestFit="1" customWidth="1"/>
    <col min="6926" max="7168" width="11.42578125" style="27"/>
    <col min="7169" max="7169" width="33.7109375" style="27" customWidth="1"/>
    <col min="7170" max="7170" width="15.85546875" style="27" customWidth="1"/>
    <col min="7171" max="7171" width="20.5703125" style="27" customWidth="1"/>
    <col min="7172" max="7172" width="14.85546875" style="27" customWidth="1"/>
    <col min="7173" max="7173" width="24" style="27" bestFit="1" customWidth="1"/>
    <col min="7174" max="7174" width="5.5703125" style="27" customWidth="1"/>
    <col min="7175" max="7175" width="18.85546875" style="27" customWidth="1"/>
    <col min="7176" max="7176" width="20.28515625" style="27" customWidth="1"/>
    <col min="7177" max="7177" width="17.5703125" style="27" customWidth="1"/>
    <col min="7178" max="7178" width="17.28515625" style="27" customWidth="1"/>
    <col min="7179" max="7179" width="7.7109375" style="27" customWidth="1"/>
    <col min="7180" max="7180" width="44.140625" style="27" bestFit="1" customWidth="1"/>
    <col min="7181" max="7181" width="12" style="27" bestFit="1" customWidth="1"/>
    <col min="7182" max="7424" width="11.42578125" style="27"/>
    <col min="7425" max="7425" width="33.7109375" style="27" customWidth="1"/>
    <col min="7426" max="7426" width="15.85546875" style="27" customWidth="1"/>
    <col min="7427" max="7427" width="20.5703125" style="27" customWidth="1"/>
    <col min="7428" max="7428" width="14.85546875" style="27" customWidth="1"/>
    <col min="7429" max="7429" width="24" style="27" bestFit="1" customWidth="1"/>
    <col min="7430" max="7430" width="5.5703125" style="27" customWidth="1"/>
    <col min="7431" max="7431" width="18.85546875" style="27" customWidth="1"/>
    <col min="7432" max="7432" width="20.28515625" style="27" customWidth="1"/>
    <col min="7433" max="7433" width="17.5703125" style="27" customWidth="1"/>
    <col min="7434" max="7434" width="17.28515625" style="27" customWidth="1"/>
    <col min="7435" max="7435" width="7.7109375" style="27" customWidth="1"/>
    <col min="7436" max="7436" width="44.140625" style="27" bestFit="1" customWidth="1"/>
    <col min="7437" max="7437" width="12" style="27" bestFit="1" customWidth="1"/>
    <col min="7438" max="7680" width="11.42578125" style="27"/>
    <col min="7681" max="7681" width="33.7109375" style="27" customWidth="1"/>
    <col min="7682" max="7682" width="15.85546875" style="27" customWidth="1"/>
    <col min="7683" max="7683" width="20.5703125" style="27" customWidth="1"/>
    <col min="7684" max="7684" width="14.85546875" style="27" customWidth="1"/>
    <col min="7685" max="7685" width="24" style="27" bestFit="1" customWidth="1"/>
    <col min="7686" max="7686" width="5.5703125" style="27" customWidth="1"/>
    <col min="7687" max="7687" width="18.85546875" style="27" customWidth="1"/>
    <col min="7688" max="7688" width="20.28515625" style="27" customWidth="1"/>
    <col min="7689" max="7689" width="17.5703125" style="27" customWidth="1"/>
    <col min="7690" max="7690" width="17.28515625" style="27" customWidth="1"/>
    <col min="7691" max="7691" width="7.7109375" style="27" customWidth="1"/>
    <col min="7692" max="7692" width="44.140625" style="27" bestFit="1" customWidth="1"/>
    <col min="7693" max="7693" width="12" style="27" bestFit="1" customWidth="1"/>
    <col min="7694" max="7936" width="11.42578125" style="27"/>
    <col min="7937" max="7937" width="33.7109375" style="27" customWidth="1"/>
    <col min="7938" max="7938" width="15.85546875" style="27" customWidth="1"/>
    <col min="7939" max="7939" width="20.5703125" style="27" customWidth="1"/>
    <col min="7940" max="7940" width="14.85546875" style="27" customWidth="1"/>
    <col min="7941" max="7941" width="24" style="27" bestFit="1" customWidth="1"/>
    <col min="7942" max="7942" width="5.5703125" style="27" customWidth="1"/>
    <col min="7943" max="7943" width="18.85546875" style="27" customWidth="1"/>
    <col min="7944" max="7944" width="20.28515625" style="27" customWidth="1"/>
    <col min="7945" max="7945" width="17.5703125" style="27" customWidth="1"/>
    <col min="7946" max="7946" width="17.28515625" style="27" customWidth="1"/>
    <col min="7947" max="7947" width="7.7109375" style="27" customWidth="1"/>
    <col min="7948" max="7948" width="44.140625" style="27" bestFit="1" customWidth="1"/>
    <col min="7949" max="7949" width="12" style="27" bestFit="1" customWidth="1"/>
    <col min="7950" max="8192" width="11.42578125" style="27"/>
    <col min="8193" max="8193" width="33.7109375" style="27" customWidth="1"/>
    <col min="8194" max="8194" width="15.85546875" style="27" customWidth="1"/>
    <col min="8195" max="8195" width="20.5703125" style="27" customWidth="1"/>
    <col min="8196" max="8196" width="14.85546875" style="27" customWidth="1"/>
    <col min="8197" max="8197" width="24" style="27" bestFit="1" customWidth="1"/>
    <col min="8198" max="8198" width="5.5703125" style="27" customWidth="1"/>
    <col min="8199" max="8199" width="18.85546875" style="27" customWidth="1"/>
    <col min="8200" max="8200" width="20.28515625" style="27" customWidth="1"/>
    <col min="8201" max="8201" width="17.5703125" style="27" customWidth="1"/>
    <col min="8202" max="8202" width="17.28515625" style="27" customWidth="1"/>
    <col min="8203" max="8203" width="7.7109375" style="27" customWidth="1"/>
    <col min="8204" max="8204" width="44.140625" style="27" bestFit="1" customWidth="1"/>
    <col min="8205" max="8205" width="12" style="27" bestFit="1" customWidth="1"/>
    <col min="8206" max="8448" width="11.42578125" style="27"/>
    <col min="8449" max="8449" width="33.7109375" style="27" customWidth="1"/>
    <col min="8450" max="8450" width="15.85546875" style="27" customWidth="1"/>
    <col min="8451" max="8451" width="20.5703125" style="27" customWidth="1"/>
    <col min="8452" max="8452" width="14.85546875" style="27" customWidth="1"/>
    <col min="8453" max="8453" width="24" style="27" bestFit="1" customWidth="1"/>
    <col min="8454" max="8454" width="5.5703125" style="27" customWidth="1"/>
    <col min="8455" max="8455" width="18.85546875" style="27" customWidth="1"/>
    <col min="8456" max="8456" width="20.28515625" style="27" customWidth="1"/>
    <col min="8457" max="8457" width="17.5703125" style="27" customWidth="1"/>
    <col min="8458" max="8458" width="17.28515625" style="27" customWidth="1"/>
    <col min="8459" max="8459" width="7.7109375" style="27" customWidth="1"/>
    <col min="8460" max="8460" width="44.140625" style="27" bestFit="1" customWidth="1"/>
    <col min="8461" max="8461" width="12" style="27" bestFit="1" customWidth="1"/>
    <col min="8462" max="8704" width="11.42578125" style="27"/>
    <col min="8705" max="8705" width="33.7109375" style="27" customWidth="1"/>
    <col min="8706" max="8706" width="15.85546875" style="27" customWidth="1"/>
    <col min="8707" max="8707" width="20.5703125" style="27" customWidth="1"/>
    <col min="8708" max="8708" width="14.85546875" style="27" customWidth="1"/>
    <col min="8709" max="8709" width="24" style="27" bestFit="1" customWidth="1"/>
    <col min="8710" max="8710" width="5.5703125" style="27" customWidth="1"/>
    <col min="8711" max="8711" width="18.85546875" style="27" customWidth="1"/>
    <col min="8712" max="8712" width="20.28515625" style="27" customWidth="1"/>
    <col min="8713" max="8713" width="17.5703125" style="27" customWidth="1"/>
    <col min="8714" max="8714" width="17.28515625" style="27" customWidth="1"/>
    <col min="8715" max="8715" width="7.7109375" style="27" customWidth="1"/>
    <col min="8716" max="8716" width="44.140625" style="27" bestFit="1" customWidth="1"/>
    <col min="8717" max="8717" width="12" style="27" bestFit="1" customWidth="1"/>
    <col min="8718" max="8960" width="11.42578125" style="27"/>
    <col min="8961" max="8961" width="33.7109375" style="27" customWidth="1"/>
    <col min="8962" max="8962" width="15.85546875" style="27" customWidth="1"/>
    <col min="8963" max="8963" width="20.5703125" style="27" customWidth="1"/>
    <col min="8964" max="8964" width="14.85546875" style="27" customWidth="1"/>
    <col min="8965" max="8965" width="24" style="27" bestFit="1" customWidth="1"/>
    <col min="8966" max="8966" width="5.5703125" style="27" customWidth="1"/>
    <col min="8967" max="8967" width="18.85546875" style="27" customWidth="1"/>
    <col min="8968" max="8968" width="20.28515625" style="27" customWidth="1"/>
    <col min="8969" max="8969" width="17.5703125" style="27" customWidth="1"/>
    <col min="8970" max="8970" width="17.28515625" style="27" customWidth="1"/>
    <col min="8971" max="8971" width="7.7109375" style="27" customWidth="1"/>
    <col min="8972" max="8972" width="44.140625" style="27" bestFit="1" customWidth="1"/>
    <col min="8973" max="8973" width="12" style="27" bestFit="1" customWidth="1"/>
    <col min="8974" max="9216" width="11.42578125" style="27"/>
    <col min="9217" max="9217" width="33.7109375" style="27" customWidth="1"/>
    <col min="9218" max="9218" width="15.85546875" style="27" customWidth="1"/>
    <col min="9219" max="9219" width="20.5703125" style="27" customWidth="1"/>
    <col min="9220" max="9220" width="14.85546875" style="27" customWidth="1"/>
    <col min="9221" max="9221" width="24" style="27" bestFit="1" customWidth="1"/>
    <col min="9222" max="9222" width="5.5703125" style="27" customWidth="1"/>
    <col min="9223" max="9223" width="18.85546875" style="27" customWidth="1"/>
    <col min="9224" max="9224" width="20.28515625" style="27" customWidth="1"/>
    <col min="9225" max="9225" width="17.5703125" style="27" customWidth="1"/>
    <col min="9226" max="9226" width="17.28515625" style="27" customWidth="1"/>
    <col min="9227" max="9227" width="7.7109375" style="27" customWidth="1"/>
    <col min="9228" max="9228" width="44.140625" style="27" bestFit="1" customWidth="1"/>
    <col min="9229" max="9229" width="12" style="27" bestFit="1" customWidth="1"/>
    <col min="9230" max="9472" width="11.42578125" style="27"/>
    <col min="9473" max="9473" width="33.7109375" style="27" customWidth="1"/>
    <col min="9474" max="9474" width="15.85546875" style="27" customWidth="1"/>
    <col min="9475" max="9475" width="20.5703125" style="27" customWidth="1"/>
    <col min="9476" max="9476" width="14.85546875" style="27" customWidth="1"/>
    <col min="9477" max="9477" width="24" style="27" bestFit="1" customWidth="1"/>
    <col min="9478" max="9478" width="5.5703125" style="27" customWidth="1"/>
    <col min="9479" max="9479" width="18.85546875" style="27" customWidth="1"/>
    <col min="9480" max="9480" width="20.28515625" style="27" customWidth="1"/>
    <col min="9481" max="9481" width="17.5703125" style="27" customWidth="1"/>
    <col min="9482" max="9482" width="17.28515625" style="27" customWidth="1"/>
    <col min="9483" max="9483" width="7.7109375" style="27" customWidth="1"/>
    <col min="9484" max="9484" width="44.140625" style="27" bestFit="1" customWidth="1"/>
    <col min="9485" max="9485" width="12" style="27" bestFit="1" customWidth="1"/>
    <col min="9486" max="9728" width="11.42578125" style="27"/>
    <col min="9729" max="9729" width="33.7109375" style="27" customWidth="1"/>
    <col min="9730" max="9730" width="15.85546875" style="27" customWidth="1"/>
    <col min="9731" max="9731" width="20.5703125" style="27" customWidth="1"/>
    <col min="9732" max="9732" width="14.85546875" style="27" customWidth="1"/>
    <col min="9733" max="9733" width="24" style="27" bestFit="1" customWidth="1"/>
    <col min="9734" max="9734" width="5.5703125" style="27" customWidth="1"/>
    <col min="9735" max="9735" width="18.85546875" style="27" customWidth="1"/>
    <col min="9736" max="9736" width="20.28515625" style="27" customWidth="1"/>
    <col min="9737" max="9737" width="17.5703125" style="27" customWidth="1"/>
    <col min="9738" max="9738" width="17.28515625" style="27" customWidth="1"/>
    <col min="9739" max="9739" width="7.7109375" style="27" customWidth="1"/>
    <col min="9740" max="9740" width="44.140625" style="27" bestFit="1" customWidth="1"/>
    <col min="9741" max="9741" width="12" style="27" bestFit="1" customWidth="1"/>
    <col min="9742" max="9984" width="11.42578125" style="27"/>
    <col min="9985" max="9985" width="33.7109375" style="27" customWidth="1"/>
    <col min="9986" max="9986" width="15.85546875" style="27" customWidth="1"/>
    <col min="9987" max="9987" width="20.5703125" style="27" customWidth="1"/>
    <col min="9988" max="9988" width="14.85546875" style="27" customWidth="1"/>
    <col min="9989" max="9989" width="24" style="27" bestFit="1" customWidth="1"/>
    <col min="9990" max="9990" width="5.5703125" style="27" customWidth="1"/>
    <col min="9991" max="9991" width="18.85546875" style="27" customWidth="1"/>
    <col min="9992" max="9992" width="20.28515625" style="27" customWidth="1"/>
    <col min="9993" max="9993" width="17.5703125" style="27" customWidth="1"/>
    <col min="9994" max="9994" width="17.28515625" style="27" customWidth="1"/>
    <col min="9995" max="9995" width="7.7109375" style="27" customWidth="1"/>
    <col min="9996" max="9996" width="44.140625" style="27" bestFit="1" customWidth="1"/>
    <col min="9997" max="9997" width="12" style="27" bestFit="1" customWidth="1"/>
    <col min="9998" max="10240" width="11.42578125" style="27"/>
    <col min="10241" max="10241" width="33.7109375" style="27" customWidth="1"/>
    <col min="10242" max="10242" width="15.85546875" style="27" customWidth="1"/>
    <col min="10243" max="10243" width="20.5703125" style="27" customWidth="1"/>
    <col min="10244" max="10244" width="14.85546875" style="27" customWidth="1"/>
    <col min="10245" max="10245" width="24" style="27" bestFit="1" customWidth="1"/>
    <col min="10246" max="10246" width="5.5703125" style="27" customWidth="1"/>
    <col min="10247" max="10247" width="18.85546875" style="27" customWidth="1"/>
    <col min="10248" max="10248" width="20.28515625" style="27" customWidth="1"/>
    <col min="10249" max="10249" width="17.5703125" style="27" customWidth="1"/>
    <col min="10250" max="10250" width="17.28515625" style="27" customWidth="1"/>
    <col min="10251" max="10251" width="7.7109375" style="27" customWidth="1"/>
    <col min="10252" max="10252" width="44.140625" style="27" bestFit="1" customWidth="1"/>
    <col min="10253" max="10253" width="12" style="27" bestFit="1" customWidth="1"/>
    <col min="10254" max="10496" width="11.42578125" style="27"/>
    <col min="10497" max="10497" width="33.7109375" style="27" customWidth="1"/>
    <col min="10498" max="10498" width="15.85546875" style="27" customWidth="1"/>
    <col min="10499" max="10499" width="20.5703125" style="27" customWidth="1"/>
    <col min="10500" max="10500" width="14.85546875" style="27" customWidth="1"/>
    <col min="10501" max="10501" width="24" style="27" bestFit="1" customWidth="1"/>
    <col min="10502" max="10502" width="5.5703125" style="27" customWidth="1"/>
    <col min="10503" max="10503" width="18.85546875" style="27" customWidth="1"/>
    <col min="10504" max="10504" width="20.28515625" style="27" customWidth="1"/>
    <col min="10505" max="10505" width="17.5703125" style="27" customWidth="1"/>
    <col min="10506" max="10506" width="17.28515625" style="27" customWidth="1"/>
    <col min="10507" max="10507" width="7.7109375" style="27" customWidth="1"/>
    <col min="10508" max="10508" width="44.140625" style="27" bestFit="1" customWidth="1"/>
    <col min="10509" max="10509" width="12" style="27" bestFit="1" customWidth="1"/>
    <col min="10510" max="10752" width="11.42578125" style="27"/>
    <col min="10753" max="10753" width="33.7109375" style="27" customWidth="1"/>
    <col min="10754" max="10754" width="15.85546875" style="27" customWidth="1"/>
    <col min="10755" max="10755" width="20.5703125" style="27" customWidth="1"/>
    <col min="10756" max="10756" width="14.85546875" style="27" customWidth="1"/>
    <col min="10757" max="10757" width="24" style="27" bestFit="1" customWidth="1"/>
    <col min="10758" max="10758" width="5.5703125" style="27" customWidth="1"/>
    <col min="10759" max="10759" width="18.85546875" style="27" customWidth="1"/>
    <col min="10760" max="10760" width="20.28515625" style="27" customWidth="1"/>
    <col min="10761" max="10761" width="17.5703125" style="27" customWidth="1"/>
    <col min="10762" max="10762" width="17.28515625" style="27" customWidth="1"/>
    <col min="10763" max="10763" width="7.7109375" style="27" customWidth="1"/>
    <col min="10764" max="10764" width="44.140625" style="27" bestFit="1" customWidth="1"/>
    <col min="10765" max="10765" width="12" style="27" bestFit="1" customWidth="1"/>
    <col min="10766" max="11008" width="11.42578125" style="27"/>
    <col min="11009" max="11009" width="33.7109375" style="27" customWidth="1"/>
    <col min="11010" max="11010" width="15.85546875" style="27" customWidth="1"/>
    <col min="11011" max="11011" width="20.5703125" style="27" customWidth="1"/>
    <col min="11012" max="11012" width="14.85546875" style="27" customWidth="1"/>
    <col min="11013" max="11013" width="24" style="27" bestFit="1" customWidth="1"/>
    <col min="11014" max="11014" width="5.5703125" style="27" customWidth="1"/>
    <col min="11015" max="11015" width="18.85546875" style="27" customWidth="1"/>
    <col min="11016" max="11016" width="20.28515625" style="27" customWidth="1"/>
    <col min="11017" max="11017" width="17.5703125" style="27" customWidth="1"/>
    <col min="11018" max="11018" width="17.28515625" style="27" customWidth="1"/>
    <col min="11019" max="11019" width="7.7109375" style="27" customWidth="1"/>
    <col min="11020" max="11020" width="44.140625" style="27" bestFit="1" customWidth="1"/>
    <col min="11021" max="11021" width="12" style="27" bestFit="1" customWidth="1"/>
    <col min="11022" max="11264" width="11.42578125" style="27"/>
    <col min="11265" max="11265" width="33.7109375" style="27" customWidth="1"/>
    <col min="11266" max="11266" width="15.85546875" style="27" customWidth="1"/>
    <col min="11267" max="11267" width="20.5703125" style="27" customWidth="1"/>
    <col min="11268" max="11268" width="14.85546875" style="27" customWidth="1"/>
    <col min="11269" max="11269" width="24" style="27" bestFit="1" customWidth="1"/>
    <col min="11270" max="11270" width="5.5703125" style="27" customWidth="1"/>
    <col min="11271" max="11271" width="18.85546875" style="27" customWidth="1"/>
    <col min="11272" max="11272" width="20.28515625" style="27" customWidth="1"/>
    <col min="11273" max="11273" width="17.5703125" style="27" customWidth="1"/>
    <col min="11274" max="11274" width="17.28515625" style="27" customWidth="1"/>
    <col min="11275" max="11275" width="7.7109375" style="27" customWidth="1"/>
    <col min="11276" max="11276" width="44.140625" style="27" bestFit="1" customWidth="1"/>
    <col min="11277" max="11277" width="12" style="27" bestFit="1" customWidth="1"/>
    <col min="11278" max="11520" width="11.42578125" style="27"/>
    <col min="11521" max="11521" width="33.7109375" style="27" customWidth="1"/>
    <col min="11522" max="11522" width="15.85546875" style="27" customWidth="1"/>
    <col min="11523" max="11523" width="20.5703125" style="27" customWidth="1"/>
    <col min="11524" max="11524" width="14.85546875" style="27" customWidth="1"/>
    <col min="11525" max="11525" width="24" style="27" bestFit="1" customWidth="1"/>
    <col min="11526" max="11526" width="5.5703125" style="27" customWidth="1"/>
    <col min="11527" max="11527" width="18.85546875" style="27" customWidth="1"/>
    <col min="11528" max="11528" width="20.28515625" style="27" customWidth="1"/>
    <col min="11529" max="11529" width="17.5703125" style="27" customWidth="1"/>
    <col min="11530" max="11530" width="17.28515625" style="27" customWidth="1"/>
    <col min="11531" max="11531" width="7.7109375" style="27" customWidth="1"/>
    <col min="11532" max="11532" width="44.140625" style="27" bestFit="1" customWidth="1"/>
    <col min="11533" max="11533" width="12" style="27" bestFit="1" customWidth="1"/>
    <col min="11534" max="11776" width="11.42578125" style="27"/>
    <col min="11777" max="11777" width="33.7109375" style="27" customWidth="1"/>
    <col min="11778" max="11778" width="15.85546875" style="27" customWidth="1"/>
    <col min="11779" max="11779" width="20.5703125" style="27" customWidth="1"/>
    <col min="11780" max="11780" width="14.85546875" style="27" customWidth="1"/>
    <col min="11781" max="11781" width="24" style="27" bestFit="1" customWidth="1"/>
    <col min="11782" max="11782" width="5.5703125" style="27" customWidth="1"/>
    <col min="11783" max="11783" width="18.85546875" style="27" customWidth="1"/>
    <col min="11784" max="11784" width="20.28515625" style="27" customWidth="1"/>
    <col min="11785" max="11785" width="17.5703125" style="27" customWidth="1"/>
    <col min="11786" max="11786" width="17.28515625" style="27" customWidth="1"/>
    <col min="11787" max="11787" width="7.7109375" style="27" customWidth="1"/>
    <col min="11788" max="11788" width="44.140625" style="27" bestFit="1" customWidth="1"/>
    <col min="11789" max="11789" width="12" style="27" bestFit="1" customWidth="1"/>
    <col min="11790" max="12032" width="11.42578125" style="27"/>
    <col min="12033" max="12033" width="33.7109375" style="27" customWidth="1"/>
    <col min="12034" max="12034" width="15.85546875" style="27" customWidth="1"/>
    <col min="12035" max="12035" width="20.5703125" style="27" customWidth="1"/>
    <col min="12036" max="12036" width="14.85546875" style="27" customWidth="1"/>
    <col min="12037" max="12037" width="24" style="27" bestFit="1" customWidth="1"/>
    <col min="12038" max="12038" width="5.5703125" style="27" customWidth="1"/>
    <col min="12039" max="12039" width="18.85546875" style="27" customWidth="1"/>
    <col min="12040" max="12040" width="20.28515625" style="27" customWidth="1"/>
    <col min="12041" max="12041" width="17.5703125" style="27" customWidth="1"/>
    <col min="12042" max="12042" width="17.28515625" style="27" customWidth="1"/>
    <col min="12043" max="12043" width="7.7109375" style="27" customWidth="1"/>
    <col min="12044" max="12044" width="44.140625" style="27" bestFit="1" customWidth="1"/>
    <col min="12045" max="12045" width="12" style="27" bestFit="1" customWidth="1"/>
    <col min="12046" max="12288" width="11.42578125" style="27"/>
    <col min="12289" max="12289" width="33.7109375" style="27" customWidth="1"/>
    <col min="12290" max="12290" width="15.85546875" style="27" customWidth="1"/>
    <col min="12291" max="12291" width="20.5703125" style="27" customWidth="1"/>
    <col min="12292" max="12292" width="14.85546875" style="27" customWidth="1"/>
    <col min="12293" max="12293" width="24" style="27" bestFit="1" customWidth="1"/>
    <col min="12294" max="12294" width="5.5703125" style="27" customWidth="1"/>
    <col min="12295" max="12295" width="18.85546875" style="27" customWidth="1"/>
    <col min="12296" max="12296" width="20.28515625" style="27" customWidth="1"/>
    <col min="12297" max="12297" width="17.5703125" style="27" customWidth="1"/>
    <col min="12298" max="12298" width="17.28515625" style="27" customWidth="1"/>
    <col min="12299" max="12299" width="7.7109375" style="27" customWidth="1"/>
    <col min="12300" max="12300" width="44.140625" style="27" bestFit="1" customWidth="1"/>
    <col min="12301" max="12301" width="12" style="27" bestFit="1" customWidth="1"/>
    <col min="12302" max="12544" width="11.42578125" style="27"/>
    <col min="12545" max="12545" width="33.7109375" style="27" customWidth="1"/>
    <col min="12546" max="12546" width="15.85546875" style="27" customWidth="1"/>
    <col min="12547" max="12547" width="20.5703125" style="27" customWidth="1"/>
    <col min="12548" max="12548" width="14.85546875" style="27" customWidth="1"/>
    <col min="12549" max="12549" width="24" style="27" bestFit="1" customWidth="1"/>
    <col min="12550" max="12550" width="5.5703125" style="27" customWidth="1"/>
    <col min="12551" max="12551" width="18.85546875" style="27" customWidth="1"/>
    <col min="12552" max="12552" width="20.28515625" style="27" customWidth="1"/>
    <col min="12553" max="12553" width="17.5703125" style="27" customWidth="1"/>
    <col min="12554" max="12554" width="17.28515625" style="27" customWidth="1"/>
    <col min="12555" max="12555" width="7.7109375" style="27" customWidth="1"/>
    <col min="12556" max="12556" width="44.140625" style="27" bestFit="1" customWidth="1"/>
    <col min="12557" max="12557" width="12" style="27" bestFit="1" customWidth="1"/>
    <col min="12558" max="12800" width="11.42578125" style="27"/>
    <col min="12801" max="12801" width="33.7109375" style="27" customWidth="1"/>
    <col min="12802" max="12802" width="15.85546875" style="27" customWidth="1"/>
    <col min="12803" max="12803" width="20.5703125" style="27" customWidth="1"/>
    <col min="12804" max="12804" width="14.85546875" style="27" customWidth="1"/>
    <col min="12805" max="12805" width="24" style="27" bestFit="1" customWidth="1"/>
    <col min="12806" max="12806" width="5.5703125" style="27" customWidth="1"/>
    <col min="12807" max="12807" width="18.85546875" style="27" customWidth="1"/>
    <col min="12808" max="12808" width="20.28515625" style="27" customWidth="1"/>
    <col min="12809" max="12809" width="17.5703125" style="27" customWidth="1"/>
    <col min="12810" max="12810" width="17.28515625" style="27" customWidth="1"/>
    <col min="12811" max="12811" width="7.7109375" style="27" customWidth="1"/>
    <col min="12812" max="12812" width="44.140625" style="27" bestFit="1" customWidth="1"/>
    <col min="12813" max="12813" width="12" style="27" bestFit="1" customWidth="1"/>
    <col min="12814" max="13056" width="11.42578125" style="27"/>
    <col min="13057" max="13057" width="33.7109375" style="27" customWidth="1"/>
    <col min="13058" max="13058" width="15.85546875" style="27" customWidth="1"/>
    <col min="13059" max="13059" width="20.5703125" style="27" customWidth="1"/>
    <col min="13060" max="13060" width="14.85546875" style="27" customWidth="1"/>
    <col min="13061" max="13061" width="24" style="27" bestFit="1" customWidth="1"/>
    <col min="13062" max="13062" width="5.5703125" style="27" customWidth="1"/>
    <col min="13063" max="13063" width="18.85546875" style="27" customWidth="1"/>
    <col min="13064" max="13064" width="20.28515625" style="27" customWidth="1"/>
    <col min="13065" max="13065" width="17.5703125" style="27" customWidth="1"/>
    <col min="13066" max="13066" width="17.28515625" style="27" customWidth="1"/>
    <col min="13067" max="13067" width="7.7109375" style="27" customWidth="1"/>
    <col min="13068" max="13068" width="44.140625" style="27" bestFit="1" customWidth="1"/>
    <col min="13069" max="13069" width="12" style="27" bestFit="1" customWidth="1"/>
    <col min="13070" max="13312" width="11.42578125" style="27"/>
    <col min="13313" max="13313" width="33.7109375" style="27" customWidth="1"/>
    <col min="13314" max="13314" width="15.85546875" style="27" customWidth="1"/>
    <col min="13315" max="13315" width="20.5703125" style="27" customWidth="1"/>
    <col min="13316" max="13316" width="14.85546875" style="27" customWidth="1"/>
    <col min="13317" max="13317" width="24" style="27" bestFit="1" customWidth="1"/>
    <col min="13318" max="13318" width="5.5703125" style="27" customWidth="1"/>
    <col min="13319" max="13319" width="18.85546875" style="27" customWidth="1"/>
    <col min="13320" max="13320" width="20.28515625" style="27" customWidth="1"/>
    <col min="13321" max="13321" width="17.5703125" style="27" customWidth="1"/>
    <col min="13322" max="13322" width="17.28515625" style="27" customWidth="1"/>
    <col min="13323" max="13323" width="7.7109375" style="27" customWidth="1"/>
    <col min="13324" max="13324" width="44.140625" style="27" bestFit="1" customWidth="1"/>
    <col min="13325" max="13325" width="12" style="27" bestFit="1" customWidth="1"/>
    <col min="13326" max="13568" width="11.42578125" style="27"/>
    <col min="13569" max="13569" width="33.7109375" style="27" customWidth="1"/>
    <col min="13570" max="13570" width="15.85546875" style="27" customWidth="1"/>
    <col min="13571" max="13571" width="20.5703125" style="27" customWidth="1"/>
    <col min="13572" max="13572" width="14.85546875" style="27" customWidth="1"/>
    <col min="13573" max="13573" width="24" style="27" bestFit="1" customWidth="1"/>
    <col min="13574" max="13574" width="5.5703125" style="27" customWidth="1"/>
    <col min="13575" max="13575" width="18.85546875" style="27" customWidth="1"/>
    <col min="13576" max="13576" width="20.28515625" style="27" customWidth="1"/>
    <col min="13577" max="13577" width="17.5703125" style="27" customWidth="1"/>
    <col min="13578" max="13578" width="17.28515625" style="27" customWidth="1"/>
    <col min="13579" max="13579" width="7.7109375" style="27" customWidth="1"/>
    <col min="13580" max="13580" width="44.140625" style="27" bestFit="1" customWidth="1"/>
    <col min="13581" max="13581" width="12" style="27" bestFit="1" customWidth="1"/>
    <col min="13582" max="13824" width="11.42578125" style="27"/>
    <col min="13825" max="13825" width="33.7109375" style="27" customWidth="1"/>
    <col min="13826" max="13826" width="15.85546875" style="27" customWidth="1"/>
    <col min="13827" max="13827" width="20.5703125" style="27" customWidth="1"/>
    <col min="13828" max="13828" width="14.85546875" style="27" customWidth="1"/>
    <col min="13829" max="13829" width="24" style="27" bestFit="1" customWidth="1"/>
    <col min="13830" max="13830" width="5.5703125" style="27" customWidth="1"/>
    <col min="13831" max="13831" width="18.85546875" style="27" customWidth="1"/>
    <col min="13832" max="13832" width="20.28515625" style="27" customWidth="1"/>
    <col min="13833" max="13833" width="17.5703125" style="27" customWidth="1"/>
    <col min="13834" max="13834" width="17.28515625" style="27" customWidth="1"/>
    <col min="13835" max="13835" width="7.7109375" style="27" customWidth="1"/>
    <col min="13836" max="13836" width="44.140625" style="27" bestFit="1" customWidth="1"/>
    <col min="13837" max="13837" width="12" style="27" bestFit="1" customWidth="1"/>
    <col min="13838" max="14080" width="11.42578125" style="27"/>
    <col min="14081" max="14081" width="33.7109375" style="27" customWidth="1"/>
    <col min="14082" max="14082" width="15.85546875" style="27" customWidth="1"/>
    <col min="14083" max="14083" width="20.5703125" style="27" customWidth="1"/>
    <col min="14084" max="14084" width="14.85546875" style="27" customWidth="1"/>
    <col min="14085" max="14085" width="24" style="27" bestFit="1" customWidth="1"/>
    <col min="14086" max="14086" width="5.5703125" style="27" customWidth="1"/>
    <col min="14087" max="14087" width="18.85546875" style="27" customWidth="1"/>
    <col min="14088" max="14088" width="20.28515625" style="27" customWidth="1"/>
    <col min="14089" max="14089" width="17.5703125" style="27" customWidth="1"/>
    <col min="14090" max="14090" width="17.28515625" style="27" customWidth="1"/>
    <col min="14091" max="14091" width="7.7109375" style="27" customWidth="1"/>
    <col min="14092" max="14092" width="44.140625" style="27" bestFit="1" customWidth="1"/>
    <col min="14093" max="14093" width="12" style="27" bestFit="1" customWidth="1"/>
    <col min="14094" max="14336" width="11.42578125" style="27"/>
    <col min="14337" max="14337" width="33.7109375" style="27" customWidth="1"/>
    <col min="14338" max="14338" width="15.85546875" style="27" customWidth="1"/>
    <col min="14339" max="14339" width="20.5703125" style="27" customWidth="1"/>
    <col min="14340" max="14340" width="14.85546875" style="27" customWidth="1"/>
    <col min="14341" max="14341" width="24" style="27" bestFit="1" customWidth="1"/>
    <col min="14342" max="14342" width="5.5703125" style="27" customWidth="1"/>
    <col min="14343" max="14343" width="18.85546875" style="27" customWidth="1"/>
    <col min="14344" max="14344" width="20.28515625" style="27" customWidth="1"/>
    <col min="14345" max="14345" width="17.5703125" style="27" customWidth="1"/>
    <col min="14346" max="14346" width="17.28515625" style="27" customWidth="1"/>
    <col min="14347" max="14347" width="7.7109375" style="27" customWidth="1"/>
    <col min="14348" max="14348" width="44.140625" style="27" bestFit="1" customWidth="1"/>
    <col min="14349" max="14349" width="12" style="27" bestFit="1" customWidth="1"/>
    <col min="14350" max="14592" width="11.42578125" style="27"/>
    <col min="14593" max="14593" width="33.7109375" style="27" customWidth="1"/>
    <col min="14594" max="14594" width="15.85546875" style="27" customWidth="1"/>
    <col min="14595" max="14595" width="20.5703125" style="27" customWidth="1"/>
    <col min="14596" max="14596" width="14.85546875" style="27" customWidth="1"/>
    <col min="14597" max="14597" width="24" style="27" bestFit="1" customWidth="1"/>
    <col min="14598" max="14598" width="5.5703125" style="27" customWidth="1"/>
    <col min="14599" max="14599" width="18.85546875" style="27" customWidth="1"/>
    <col min="14600" max="14600" width="20.28515625" style="27" customWidth="1"/>
    <col min="14601" max="14601" width="17.5703125" style="27" customWidth="1"/>
    <col min="14602" max="14602" width="17.28515625" style="27" customWidth="1"/>
    <col min="14603" max="14603" width="7.7109375" style="27" customWidth="1"/>
    <col min="14604" max="14604" width="44.140625" style="27" bestFit="1" customWidth="1"/>
    <col min="14605" max="14605" width="12" style="27" bestFit="1" customWidth="1"/>
    <col min="14606" max="14848" width="11.42578125" style="27"/>
    <col min="14849" max="14849" width="33.7109375" style="27" customWidth="1"/>
    <col min="14850" max="14850" width="15.85546875" style="27" customWidth="1"/>
    <col min="14851" max="14851" width="20.5703125" style="27" customWidth="1"/>
    <col min="14852" max="14852" width="14.85546875" style="27" customWidth="1"/>
    <col min="14853" max="14853" width="24" style="27" bestFit="1" customWidth="1"/>
    <col min="14854" max="14854" width="5.5703125" style="27" customWidth="1"/>
    <col min="14855" max="14855" width="18.85546875" style="27" customWidth="1"/>
    <col min="14856" max="14856" width="20.28515625" style="27" customWidth="1"/>
    <col min="14857" max="14857" width="17.5703125" style="27" customWidth="1"/>
    <col min="14858" max="14858" width="17.28515625" style="27" customWidth="1"/>
    <col min="14859" max="14859" width="7.7109375" style="27" customWidth="1"/>
    <col min="14860" max="14860" width="44.140625" style="27" bestFit="1" customWidth="1"/>
    <col min="14861" max="14861" width="12" style="27" bestFit="1" customWidth="1"/>
    <col min="14862" max="15104" width="11.42578125" style="27"/>
    <col min="15105" max="15105" width="33.7109375" style="27" customWidth="1"/>
    <col min="15106" max="15106" width="15.85546875" style="27" customWidth="1"/>
    <col min="15107" max="15107" width="20.5703125" style="27" customWidth="1"/>
    <col min="15108" max="15108" width="14.85546875" style="27" customWidth="1"/>
    <col min="15109" max="15109" width="24" style="27" bestFit="1" customWidth="1"/>
    <col min="15110" max="15110" width="5.5703125" style="27" customWidth="1"/>
    <col min="15111" max="15111" width="18.85546875" style="27" customWidth="1"/>
    <col min="15112" max="15112" width="20.28515625" style="27" customWidth="1"/>
    <col min="15113" max="15113" width="17.5703125" style="27" customWidth="1"/>
    <col min="15114" max="15114" width="17.28515625" style="27" customWidth="1"/>
    <col min="15115" max="15115" width="7.7109375" style="27" customWidth="1"/>
    <col min="15116" max="15116" width="44.140625" style="27" bestFit="1" customWidth="1"/>
    <col min="15117" max="15117" width="12" style="27" bestFit="1" customWidth="1"/>
    <col min="15118" max="15360" width="11.42578125" style="27"/>
    <col min="15361" max="15361" width="33.7109375" style="27" customWidth="1"/>
    <col min="15362" max="15362" width="15.85546875" style="27" customWidth="1"/>
    <col min="15363" max="15363" width="20.5703125" style="27" customWidth="1"/>
    <col min="15364" max="15364" width="14.85546875" style="27" customWidth="1"/>
    <col min="15365" max="15365" width="24" style="27" bestFit="1" customWidth="1"/>
    <col min="15366" max="15366" width="5.5703125" style="27" customWidth="1"/>
    <col min="15367" max="15367" width="18.85546875" style="27" customWidth="1"/>
    <col min="15368" max="15368" width="20.28515625" style="27" customWidth="1"/>
    <col min="15369" max="15369" width="17.5703125" style="27" customWidth="1"/>
    <col min="15370" max="15370" width="17.28515625" style="27" customWidth="1"/>
    <col min="15371" max="15371" width="7.7109375" style="27" customWidth="1"/>
    <col min="15372" max="15372" width="44.140625" style="27" bestFit="1" customWidth="1"/>
    <col min="15373" max="15373" width="12" style="27" bestFit="1" customWidth="1"/>
    <col min="15374" max="15616" width="11.42578125" style="27"/>
    <col min="15617" max="15617" width="33.7109375" style="27" customWidth="1"/>
    <col min="15618" max="15618" width="15.85546875" style="27" customWidth="1"/>
    <col min="15619" max="15619" width="20.5703125" style="27" customWidth="1"/>
    <col min="15620" max="15620" width="14.85546875" style="27" customWidth="1"/>
    <col min="15621" max="15621" width="24" style="27" bestFit="1" customWidth="1"/>
    <col min="15622" max="15622" width="5.5703125" style="27" customWidth="1"/>
    <col min="15623" max="15623" width="18.85546875" style="27" customWidth="1"/>
    <col min="15624" max="15624" width="20.28515625" style="27" customWidth="1"/>
    <col min="15625" max="15625" width="17.5703125" style="27" customWidth="1"/>
    <col min="15626" max="15626" width="17.28515625" style="27" customWidth="1"/>
    <col min="15627" max="15627" width="7.7109375" style="27" customWidth="1"/>
    <col min="15628" max="15628" width="44.140625" style="27" bestFit="1" customWidth="1"/>
    <col min="15629" max="15629" width="12" style="27" bestFit="1" customWidth="1"/>
    <col min="15630" max="15872" width="11.42578125" style="27"/>
    <col min="15873" max="15873" width="33.7109375" style="27" customWidth="1"/>
    <col min="15874" max="15874" width="15.85546875" style="27" customWidth="1"/>
    <col min="15875" max="15875" width="20.5703125" style="27" customWidth="1"/>
    <col min="15876" max="15876" width="14.85546875" style="27" customWidth="1"/>
    <col min="15877" max="15877" width="24" style="27" bestFit="1" customWidth="1"/>
    <col min="15878" max="15878" width="5.5703125" style="27" customWidth="1"/>
    <col min="15879" max="15879" width="18.85546875" style="27" customWidth="1"/>
    <col min="15880" max="15880" width="20.28515625" style="27" customWidth="1"/>
    <col min="15881" max="15881" width="17.5703125" style="27" customWidth="1"/>
    <col min="15882" max="15882" width="17.28515625" style="27" customWidth="1"/>
    <col min="15883" max="15883" width="7.7109375" style="27" customWidth="1"/>
    <col min="15884" max="15884" width="44.140625" style="27" bestFit="1" customWidth="1"/>
    <col min="15885" max="15885" width="12" style="27" bestFit="1" customWidth="1"/>
    <col min="15886" max="16128" width="11.42578125" style="27"/>
    <col min="16129" max="16129" width="33.7109375" style="27" customWidth="1"/>
    <col min="16130" max="16130" width="15.85546875" style="27" customWidth="1"/>
    <col min="16131" max="16131" width="20.5703125" style="27" customWidth="1"/>
    <col min="16132" max="16132" width="14.85546875" style="27" customWidth="1"/>
    <col min="16133" max="16133" width="24" style="27" bestFit="1" customWidth="1"/>
    <col min="16134" max="16134" width="5.5703125" style="27" customWidth="1"/>
    <col min="16135" max="16135" width="18.85546875" style="27" customWidth="1"/>
    <col min="16136" max="16136" width="20.28515625" style="27" customWidth="1"/>
    <col min="16137" max="16137" width="17.5703125" style="27" customWidth="1"/>
    <col min="16138" max="16138" width="17.28515625" style="27" customWidth="1"/>
    <col min="16139" max="16139" width="7.7109375" style="27" customWidth="1"/>
    <col min="16140" max="16140" width="44.140625" style="27" bestFit="1" customWidth="1"/>
    <col min="16141" max="16141" width="12" style="27" bestFit="1" customWidth="1"/>
    <col min="16142" max="16384" width="11.42578125" style="27"/>
  </cols>
  <sheetData>
    <row r="1" spans="1:13" ht="21" customHeight="1" x14ac:dyDescent="0.2">
      <c r="C1" s="28"/>
      <c r="D1" s="28"/>
      <c r="E1" s="28"/>
      <c r="F1" s="28"/>
    </row>
    <row r="2" spans="1:13" ht="30" customHeight="1" thickBot="1" x14ac:dyDescent="0.25">
      <c r="A2" s="29" t="s">
        <v>169</v>
      </c>
      <c r="B2" s="375"/>
      <c r="C2" s="375"/>
      <c r="D2" s="375"/>
      <c r="E2" s="375"/>
      <c r="F2" s="28"/>
      <c r="G2" s="374"/>
      <c r="H2" s="374"/>
      <c r="I2" s="374"/>
      <c r="J2" s="374"/>
      <c r="K2" s="374"/>
    </row>
    <row r="3" spans="1:13" ht="30" customHeight="1" thickBot="1" x14ac:dyDescent="0.25">
      <c r="A3" s="29" t="s">
        <v>170</v>
      </c>
      <c r="B3" s="375"/>
      <c r="C3" s="375"/>
      <c r="D3" s="375"/>
      <c r="E3" s="375"/>
      <c r="F3" s="28"/>
      <c r="G3" s="374"/>
      <c r="H3" s="374"/>
      <c r="I3" s="374"/>
      <c r="J3" s="374"/>
      <c r="K3" s="374"/>
    </row>
    <row r="4" spans="1:13" ht="30" customHeight="1" thickBot="1" x14ac:dyDescent="0.25">
      <c r="A4" s="29" t="s">
        <v>171</v>
      </c>
      <c r="B4" s="375"/>
      <c r="C4" s="375"/>
      <c r="D4" s="375"/>
      <c r="E4" s="375"/>
      <c r="F4" s="28"/>
      <c r="G4" s="374"/>
      <c r="H4" s="374"/>
      <c r="I4" s="374"/>
      <c r="J4" s="374"/>
      <c r="K4" s="374"/>
    </row>
    <row r="5" spans="1:13" ht="30" customHeight="1" thickBot="1" x14ac:dyDescent="0.25">
      <c r="A5" s="29" t="s">
        <v>172</v>
      </c>
      <c r="B5" s="375"/>
      <c r="C5" s="375"/>
      <c r="D5" s="375"/>
      <c r="E5" s="375"/>
      <c r="F5" s="28"/>
      <c r="G5" s="374"/>
      <c r="H5" s="374"/>
      <c r="I5" s="374"/>
      <c r="J5" s="374"/>
      <c r="K5" s="374"/>
    </row>
    <row r="6" spans="1:13" ht="30" customHeight="1" x14ac:dyDescent="0.2">
      <c r="A6" s="29"/>
      <c r="B6" s="28"/>
      <c r="C6" s="28"/>
      <c r="D6" s="28"/>
      <c r="E6" s="28"/>
      <c r="F6" s="28"/>
      <c r="G6" s="28"/>
      <c r="H6" s="28"/>
    </row>
    <row r="7" spans="1:13" ht="12.75" customHeight="1" x14ac:dyDescent="0.2">
      <c r="A7" s="374" t="s">
        <v>173</v>
      </c>
      <c r="B7" s="374"/>
      <c r="C7" s="374"/>
      <c r="D7" s="374"/>
      <c r="E7" s="374"/>
      <c r="F7" s="28"/>
      <c r="G7" s="28"/>
      <c r="H7" s="28"/>
    </row>
    <row r="8" spans="1:13" ht="12.75" customHeight="1" x14ac:dyDescent="0.2">
      <c r="A8" s="374"/>
      <c r="B8" s="374"/>
      <c r="C8" s="374"/>
      <c r="D8" s="374"/>
      <c r="E8" s="374"/>
      <c r="F8" s="28"/>
      <c r="G8" s="28"/>
      <c r="H8" s="28"/>
    </row>
    <row r="9" spans="1:13" ht="29.25" customHeight="1" x14ac:dyDescent="0.2">
      <c r="B9" s="28"/>
      <c r="C9" s="28"/>
      <c r="D9" s="28"/>
      <c r="E9" s="28"/>
      <c r="F9" s="28"/>
      <c r="I9" s="30">
        <v>480000</v>
      </c>
    </row>
    <row r="10" spans="1:13" ht="24" customHeight="1" x14ac:dyDescent="0.2">
      <c r="B10" s="28"/>
      <c r="C10" s="28"/>
      <c r="D10" s="28"/>
      <c r="E10" s="28"/>
      <c r="F10" s="28"/>
      <c r="I10" s="27">
        <v>1500000</v>
      </c>
      <c r="J10" s="27">
        <v>1176000</v>
      </c>
      <c r="K10" s="27">
        <f>+I10-J10</f>
        <v>324000</v>
      </c>
      <c r="L10" s="27">
        <f>+K10+11340</f>
        <v>335340</v>
      </c>
      <c r="M10" s="27">
        <f>+L10/4</f>
        <v>83835</v>
      </c>
    </row>
    <row r="11" spans="1:13" ht="15.75" customHeight="1" thickBot="1" x14ac:dyDescent="0.25">
      <c r="B11" s="28"/>
      <c r="C11" s="28"/>
      <c r="D11" s="28"/>
      <c r="E11" s="28"/>
      <c r="F11" s="28"/>
      <c r="I11" s="27">
        <f>+I10+I9</f>
        <v>1980000</v>
      </c>
    </row>
    <row r="12" spans="1:13" ht="12" thickBot="1" x14ac:dyDescent="0.25">
      <c r="A12" s="357" t="s">
        <v>174</v>
      </c>
      <c r="B12" s="358"/>
      <c r="C12" s="358"/>
      <c r="D12" s="358"/>
      <c r="E12" s="31">
        <v>200000</v>
      </c>
      <c r="G12" s="359" t="s">
        <v>175</v>
      </c>
      <c r="H12" s="360"/>
      <c r="I12" s="360"/>
      <c r="J12" s="361"/>
      <c r="L12" s="362" t="s">
        <v>176</v>
      </c>
      <c r="M12" s="363"/>
    </row>
    <row r="13" spans="1:13" ht="63" customHeight="1" x14ac:dyDescent="0.2">
      <c r="A13" s="364" t="s">
        <v>177</v>
      </c>
      <c r="B13" s="365"/>
      <c r="C13" s="365"/>
      <c r="D13" s="365"/>
      <c r="E13" s="32">
        <v>8</v>
      </c>
      <c r="G13" s="366" t="s">
        <v>178</v>
      </c>
      <c r="H13" s="367"/>
      <c r="I13" s="368"/>
      <c r="J13" s="33">
        <v>3.5000000000000003E-2</v>
      </c>
      <c r="L13" s="34" t="s">
        <v>179</v>
      </c>
      <c r="M13" s="35">
        <f>+E12*0.004</f>
        <v>800</v>
      </c>
    </row>
    <row r="14" spans="1:13" ht="34.5" customHeight="1" x14ac:dyDescent="0.2">
      <c r="A14" s="369" t="s">
        <v>180</v>
      </c>
      <c r="B14" s="370"/>
      <c r="C14" s="370"/>
      <c r="D14" s="370"/>
      <c r="E14" s="36">
        <f>+I14</f>
        <v>3.5000000000000003E-2</v>
      </c>
      <c r="G14" s="371" t="s">
        <v>181</v>
      </c>
      <c r="H14" s="372"/>
      <c r="I14" s="373">
        <v>3.5000000000000003E-2</v>
      </c>
      <c r="J14" s="37">
        <v>3.5000000000000003E-2</v>
      </c>
      <c r="L14" s="38" t="s">
        <v>182</v>
      </c>
      <c r="M14" s="39" t="b">
        <f>+IF(AND($E$13&gt;=25,$E$13&lt;=36),$E$12*1.2%)</f>
        <v>0</v>
      </c>
    </row>
    <row r="15" spans="1:13" ht="32.25" customHeight="1" thickBot="1" x14ac:dyDescent="0.25">
      <c r="A15" s="350" t="s">
        <v>183</v>
      </c>
      <c r="B15" s="351"/>
      <c r="C15" s="351"/>
      <c r="D15" s="351"/>
      <c r="E15" s="40">
        <f>-PMT(E14,E13,E12,0,0)</f>
        <v>29095.329309714754</v>
      </c>
      <c r="G15" s="352" t="s">
        <v>184</v>
      </c>
      <c r="H15" s="353"/>
      <c r="I15" s="354">
        <v>0.01</v>
      </c>
      <c r="J15" s="41">
        <v>0.01</v>
      </c>
      <c r="L15" s="38" t="s">
        <v>185</v>
      </c>
      <c r="M15" s="39" t="b">
        <f>+IF(AND($E$13&gt;=37,$E$13&lt;=48),$E$12*1.6%)</f>
        <v>0</v>
      </c>
    </row>
    <row r="16" spans="1:13" ht="27" customHeight="1" thickBot="1" x14ac:dyDescent="0.25">
      <c r="A16" s="355" t="s">
        <v>186</v>
      </c>
      <c r="B16" s="355"/>
      <c r="C16" s="355"/>
      <c r="D16" s="355"/>
      <c r="E16" s="355"/>
      <c r="F16" s="42"/>
      <c r="G16" s="43"/>
      <c r="H16" s="44"/>
      <c r="L16" s="38" t="s">
        <v>187</v>
      </c>
      <c r="M16" s="39" t="b">
        <f>+(IF($E$13&gt;=49,$E$12*1.7%))</f>
        <v>0</v>
      </c>
    </row>
    <row r="17" spans="1:13" ht="27" customHeight="1" thickBot="1" x14ac:dyDescent="0.25">
      <c r="A17" s="45" t="s">
        <v>188</v>
      </c>
      <c r="B17" s="45" t="s">
        <v>189</v>
      </c>
      <c r="C17" s="45" t="s">
        <v>190</v>
      </c>
      <c r="D17" s="45" t="s">
        <v>190</v>
      </c>
      <c r="E17" s="45" t="s">
        <v>191</v>
      </c>
      <c r="G17" s="43"/>
      <c r="H17" s="44"/>
      <c r="L17" s="46" t="s">
        <v>192</v>
      </c>
      <c r="M17" s="47"/>
    </row>
    <row r="18" spans="1:13" ht="27" customHeight="1" thickBot="1" x14ac:dyDescent="0.25">
      <c r="A18" s="48" t="s">
        <v>193</v>
      </c>
      <c r="B18" s="48" t="s">
        <v>193</v>
      </c>
      <c r="C18" s="48" t="s">
        <v>194</v>
      </c>
      <c r="D18" s="48" t="s">
        <v>195</v>
      </c>
      <c r="E18" s="48" t="s">
        <v>196</v>
      </c>
      <c r="G18" s="356" t="s">
        <v>197</v>
      </c>
      <c r="H18" s="356"/>
      <c r="I18" s="356"/>
      <c r="J18" s="356"/>
    </row>
    <row r="19" spans="1:13" ht="18.75" customHeight="1" x14ac:dyDescent="0.2">
      <c r="E19" s="49">
        <f>+E12</f>
        <v>200000</v>
      </c>
      <c r="G19" s="50" t="s">
        <v>198</v>
      </c>
      <c r="H19" s="50" t="s">
        <v>199</v>
      </c>
      <c r="I19" s="50" t="s">
        <v>200</v>
      </c>
      <c r="J19" s="50" t="s">
        <v>201</v>
      </c>
    </row>
    <row r="20" spans="1:13" ht="16.5" customHeight="1" x14ac:dyDescent="0.2">
      <c r="A20" s="51">
        <v>1</v>
      </c>
      <c r="B20" s="52">
        <f t="shared" ref="B20:B83" si="0">$E$15</f>
        <v>29095.329309714754</v>
      </c>
      <c r="C20" s="53">
        <f t="shared" ref="C20:C83" si="1">+E19*$E$14</f>
        <v>7000.0000000000009</v>
      </c>
      <c r="D20" s="52">
        <f t="shared" ref="D20:D83" si="2">+B20-C20</f>
        <v>22095.329309714754</v>
      </c>
      <c r="E20" s="52">
        <f t="shared" ref="E20:E83" si="3">+E19-D20</f>
        <v>177904.67069028525</v>
      </c>
      <c r="G20" s="108">
        <f>(+$E$12+$E$15)/8</f>
        <v>28636.916163714344</v>
      </c>
      <c r="H20" s="108">
        <f t="shared" ref="H20:J21" si="4">(+$E$12+$E$15)/8</f>
        <v>28636.916163714344</v>
      </c>
      <c r="I20" s="108">
        <f t="shared" si="4"/>
        <v>28636.916163714344</v>
      </c>
      <c r="J20" s="108">
        <f t="shared" si="4"/>
        <v>28636.916163714344</v>
      </c>
    </row>
    <row r="21" spans="1:13" x14ac:dyDescent="0.2">
      <c r="A21" s="51">
        <f t="shared" ref="A21:A84" si="5">+A20+1</f>
        <v>2</v>
      </c>
      <c r="B21" s="52">
        <f t="shared" si="0"/>
        <v>29095.329309714754</v>
      </c>
      <c r="C21" s="53">
        <f t="shared" si="1"/>
        <v>6226.6634741599846</v>
      </c>
      <c r="D21" s="52">
        <f t="shared" si="2"/>
        <v>22868.66583555477</v>
      </c>
      <c r="E21" s="52">
        <f t="shared" si="3"/>
        <v>155036.00485473048</v>
      </c>
      <c r="G21" s="108">
        <f>(+$E$12+$E$15)/8</f>
        <v>28636.916163714344</v>
      </c>
      <c r="H21" s="108">
        <f t="shared" si="4"/>
        <v>28636.916163714344</v>
      </c>
      <c r="I21" s="108">
        <f t="shared" si="4"/>
        <v>28636.916163714344</v>
      </c>
      <c r="J21" s="108">
        <f t="shared" si="4"/>
        <v>28636.916163714344</v>
      </c>
    </row>
    <row r="22" spans="1:13" x14ac:dyDescent="0.2">
      <c r="A22" s="51">
        <f t="shared" si="5"/>
        <v>3</v>
      </c>
      <c r="B22" s="52">
        <f t="shared" si="0"/>
        <v>29095.329309714754</v>
      </c>
      <c r="C22" s="53">
        <f t="shared" si="1"/>
        <v>5426.2601699155675</v>
      </c>
      <c r="D22" s="52">
        <f t="shared" si="2"/>
        <v>23669.069139799187</v>
      </c>
      <c r="E22" s="52">
        <f t="shared" si="3"/>
        <v>131366.93571493129</v>
      </c>
      <c r="G22" s="108"/>
      <c r="H22" s="108"/>
      <c r="I22" s="108"/>
      <c r="J22" s="108"/>
      <c r="L22" s="27">
        <f>64690*4</f>
        <v>258760</v>
      </c>
    </row>
    <row r="23" spans="1:13" x14ac:dyDescent="0.2">
      <c r="A23" s="51">
        <f t="shared" si="5"/>
        <v>4</v>
      </c>
      <c r="B23" s="52">
        <f t="shared" si="0"/>
        <v>29095.329309714754</v>
      </c>
      <c r="C23" s="53">
        <f t="shared" si="1"/>
        <v>4597.8427500225953</v>
      </c>
      <c r="D23" s="52">
        <f t="shared" si="2"/>
        <v>24497.486559692159</v>
      </c>
      <c r="E23" s="52">
        <f t="shared" si="3"/>
        <v>106869.44915523913</v>
      </c>
      <c r="G23" s="108"/>
      <c r="H23" s="108"/>
      <c r="I23" s="108"/>
      <c r="J23" s="108"/>
    </row>
    <row r="24" spans="1:13" x14ac:dyDescent="0.2">
      <c r="A24" s="51">
        <f t="shared" si="5"/>
        <v>5</v>
      </c>
      <c r="B24" s="52">
        <f t="shared" si="0"/>
        <v>29095.329309714754</v>
      </c>
      <c r="C24" s="53">
        <f t="shared" si="1"/>
        <v>3740.43072043337</v>
      </c>
      <c r="D24" s="52">
        <f t="shared" si="2"/>
        <v>25354.898589281383</v>
      </c>
      <c r="E24" s="52">
        <f t="shared" si="3"/>
        <v>81514.550565957747</v>
      </c>
      <c r="G24" s="108"/>
      <c r="H24" s="108"/>
      <c r="I24" s="108"/>
      <c r="J24" s="108"/>
    </row>
    <row r="25" spans="1:13" x14ac:dyDescent="0.2">
      <c r="A25" s="51">
        <f t="shared" si="5"/>
        <v>6</v>
      </c>
      <c r="B25" s="52">
        <f t="shared" si="0"/>
        <v>29095.329309714754</v>
      </c>
      <c r="C25" s="53">
        <f t="shared" si="1"/>
        <v>2853.0092698085214</v>
      </c>
      <c r="D25" s="52">
        <f t="shared" si="2"/>
        <v>26242.320039906233</v>
      </c>
      <c r="E25" s="52">
        <f t="shared" si="3"/>
        <v>55272.230526051513</v>
      </c>
      <c r="G25" s="108"/>
      <c r="H25" s="108"/>
      <c r="I25" s="108"/>
      <c r="J25" s="108"/>
    </row>
    <row r="26" spans="1:13" x14ac:dyDescent="0.2">
      <c r="A26" s="51">
        <f t="shared" si="5"/>
        <v>7</v>
      </c>
      <c r="B26" s="52">
        <f t="shared" si="0"/>
        <v>29095.329309714754</v>
      </c>
      <c r="C26" s="53">
        <f t="shared" si="1"/>
        <v>1934.5280684118031</v>
      </c>
      <c r="D26" s="52">
        <f t="shared" si="2"/>
        <v>27160.80124130295</v>
      </c>
      <c r="E26" s="52">
        <f t="shared" si="3"/>
        <v>28111.429284748563</v>
      </c>
      <c r="G26" s="55"/>
      <c r="H26" s="55"/>
      <c r="I26" s="54"/>
      <c r="J26" s="54"/>
    </row>
    <row r="27" spans="1:13" x14ac:dyDescent="0.2">
      <c r="A27" s="51">
        <f t="shared" si="5"/>
        <v>8</v>
      </c>
      <c r="B27" s="52">
        <f t="shared" si="0"/>
        <v>29095.329309714754</v>
      </c>
      <c r="C27" s="53">
        <f t="shared" si="1"/>
        <v>983.90002496619979</v>
      </c>
      <c r="D27" s="52">
        <f t="shared" si="2"/>
        <v>28111.429284748556</v>
      </c>
      <c r="E27" s="52">
        <f t="shared" si="3"/>
        <v>0</v>
      </c>
      <c r="G27" s="55"/>
      <c r="H27" s="55"/>
      <c r="I27" s="54"/>
      <c r="J27" s="54"/>
    </row>
    <row r="28" spans="1:13" x14ac:dyDescent="0.2">
      <c r="A28" s="51">
        <f t="shared" si="5"/>
        <v>9</v>
      </c>
      <c r="B28" s="52">
        <f t="shared" si="0"/>
        <v>29095.329309714754</v>
      </c>
      <c r="C28" s="53">
        <f t="shared" si="1"/>
        <v>0</v>
      </c>
      <c r="D28" s="52">
        <f t="shared" si="2"/>
        <v>29095.329309714754</v>
      </c>
      <c r="E28" s="52">
        <f t="shared" si="3"/>
        <v>-29095.329309714754</v>
      </c>
      <c r="G28" s="55"/>
      <c r="H28" s="55"/>
      <c r="I28" s="54"/>
      <c r="J28" s="54"/>
    </row>
    <row r="29" spans="1:13" x14ac:dyDescent="0.2">
      <c r="A29" s="51">
        <f t="shared" si="5"/>
        <v>10</v>
      </c>
      <c r="B29" s="52">
        <f t="shared" si="0"/>
        <v>29095.329309714754</v>
      </c>
      <c r="C29" s="53">
        <f t="shared" si="1"/>
        <v>-1018.3365258400165</v>
      </c>
      <c r="D29" s="52">
        <f t="shared" si="2"/>
        <v>30113.66583555477</v>
      </c>
      <c r="E29" s="52">
        <f t="shared" si="3"/>
        <v>-59208.995145269524</v>
      </c>
      <c r="G29" s="55"/>
      <c r="H29" s="55"/>
      <c r="I29" s="54"/>
      <c r="J29" s="54"/>
    </row>
    <row r="30" spans="1:13" x14ac:dyDescent="0.2">
      <c r="A30" s="51">
        <f t="shared" si="5"/>
        <v>11</v>
      </c>
      <c r="B30" s="52">
        <f t="shared" si="0"/>
        <v>29095.329309714754</v>
      </c>
      <c r="C30" s="53">
        <f t="shared" si="1"/>
        <v>-2072.3148300844337</v>
      </c>
      <c r="D30" s="52">
        <f t="shared" si="2"/>
        <v>31167.644139799188</v>
      </c>
      <c r="E30" s="52">
        <f t="shared" si="3"/>
        <v>-90376.639285068712</v>
      </c>
      <c r="G30" s="55"/>
      <c r="H30" s="55"/>
      <c r="I30" s="54"/>
      <c r="J30" s="54"/>
    </row>
    <row r="31" spans="1:13" x14ac:dyDescent="0.2">
      <c r="A31" s="51">
        <f t="shared" si="5"/>
        <v>12</v>
      </c>
      <c r="B31" s="52">
        <f t="shared" si="0"/>
        <v>29095.329309714754</v>
      </c>
      <c r="C31" s="53">
        <f t="shared" si="1"/>
        <v>-3163.1823749774053</v>
      </c>
      <c r="D31" s="52">
        <f t="shared" si="2"/>
        <v>32258.511684692159</v>
      </c>
      <c r="E31" s="52">
        <f t="shared" si="3"/>
        <v>-122635.15096976087</v>
      </c>
      <c r="G31" s="55"/>
      <c r="H31" s="55"/>
      <c r="I31" s="54"/>
      <c r="J31" s="54"/>
    </row>
    <row r="32" spans="1:13" x14ac:dyDescent="0.2">
      <c r="A32" s="51">
        <f t="shared" si="5"/>
        <v>13</v>
      </c>
      <c r="B32" s="52">
        <f t="shared" si="0"/>
        <v>29095.329309714754</v>
      </c>
      <c r="C32" s="53">
        <f t="shared" si="1"/>
        <v>-4292.2302839416307</v>
      </c>
      <c r="D32" s="52">
        <f t="shared" si="2"/>
        <v>33387.559593656384</v>
      </c>
      <c r="E32" s="52">
        <f t="shared" si="3"/>
        <v>-156022.71056341726</v>
      </c>
      <c r="G32" s="55"/>
      <c r="H32" s="55"/>
      <c r="I32" s="54"/>
      <c r="J32" s="54"/>
    </row>
    <row r="33" spans="1:10" x14ac:dyDescent="0.2">
      <c r="A33" s="51">
        <f t="shared" si="5"/>
        <v>14</v>
      </c>
      <c r="B33" s="52">
        <f t="shared" si="0"/>
        <v>29095.329309714754</v>
      </c>
      <c r="C33" s="53">
        <f t="shared" si="1"/>
        <v>-5460.7948697196043</v>
      </c>
      <c r="D33" s="52">
        <f t="shared" si="2"/>
        <v>34556.124179434359</v>
      </c>
      <c r="E33" s="52">
        <f t="shared" si="3"/>
        <v>-190578.83474285161</v>
      </c>
      <c r="G33" s="55"/>
      <c r="H33" s="55"/>
      <c r="I33" s="54"/>
      <c r="J33" s="54"/>
    </row>
    <row r="34" spans="1:10" ht="15" customHeight="1" x14ac:dyDescent="0.2">
      <c r="A34" s="51">
        <f t="shared" si="5"/>
        <v>15</v>
      </c>
      <c r="B34" s="52">
        <f t="shared" si="0"/>
        <v>29095.329309714754</v>
      </c>
      <c r="C34" s="53">
        <f t="shared" si="1"/>
        <v>-6670.2592159998067</v>
      </c>
      <c r="D34" s="52">
        <f t="shared" si="2"/>
        <v>35765.588525714564</v>
      </c>
      <c r="E34" s="52">
        <f t="shared" si="3"/>
        <v>-226344.42326856617</v>
      </c>
      <c r="G34" s="55"/>
      <c r="H34" s="55"/>
      <c r="I34" s="54"/>
      <c r="J34" s="54"/>
    </row>
    <row r="35" spans="1:10" x14ac:dyDescent="0.2">
      <c r="A35" s="51">
        <f t="shared" si="5"/>
        <v>16</v>
      </c>
      <c r="B35" s="52">
        <f t="shared" si="0"/>
        <v>29095.329309714754</v>
      </c>
      <c r="C35" s="53">
        <f t="shared" si="1"/>
        <v>-7922.0548143998167</v>
      </c>
      <c r="D35" s="52">
        <f t="shared" si="2"/>
        <v>37017.384124114571</v>
      </c>
      <c r="E35" s="52">
        <f t="shared" si="3"/>
        <v>-263361.80739268073</v>
      </c>
      <c r="G35" s="55"/>
      <c r="H35" s="55"/>
      <c r="I35" s="54"/>
      <c r="J35" s="54"/>
    </row>
    <row r="36" spans="1:10" x14ac:dyDescent="0.2">
      <c r="A36" s="51">
        <f t="shared" si="5"/>
        <v>17</v>
      </c>
      <c r="B36" s="52">
        <f t="shared" si="0"/>
        <v>29095.329309714754</v>
      </c>
      <c r="C36" s="53">
        <f t="shared" si="1"/>
        <v>-9217.6632587438271</v>
      </c>
      <c r="D36" s="52">
        <f t="shared" si="2"/>
        <v>38312.992568458583</v>
      </c>
      <c r="E36" s="52">
        <f t="shared" si="3"/>
        <v>-301674.79996113933</v>
      </c>
      <c r="G36" s="55"/>
      <c r="H36" s="55"/>
      <c r="I36" s="54"/>
      <c r="J36" s="54"/>
    </row>
    <row r="37" spans="1:10" ht="17.25" customHeight="1" x14ac:dyDescent="0.2">
      <c r="A37" s="51">
        <f t="shared" si="5"/>
        <v>18</v>
      </c>
      <c r="B37" s="52">
        <f t="shared" si="0"/>
        <v>29095.329309714754</v>
      </c>
      <c r="C37" s="53">
        <f t="shared" si="1"/>
        <v>-10558.617998639878</v>
      </c>
      <c r="D37" s="52">
        <f t="shared" si="2"/>
        <v>39653.947308354633</v>
      </c>
      <c r="E37" s="52">
        <f t="shared" si="3"/>
        <v>-341328.74726949399</v>
      </c>
      <c r="G37" s="54"/>
      <c r="H37" s="55"/>
      <c r="I37" s="54"/>
      <c r="J37" s="54"/>
    </row>
    <row r="38" spans="1:10" ht="29.25" customHeight="1" x14ac:dyDescent="0.2">
      <c r="A38" s="51">
        <f t="shared" si="5"/>
        <v>19</v>
      </c>
      <c r="B38" s="52">
        <f t="shared" si="0"/>
        <v>29095.329309714754</v>
      </c>
      <c r="C38" s="53">
        <f t="shared" si="1"/>
        <v>-11946.506154432291</v>
      </c>
      <c r="D38" s="52">
        <f t="shared" si="2"/>
        <v>41041.835464147043</v>
      </c>
      <c r="E38" s="52">
        <f t="shared" si="3"/>
        <v>-382370.58273364103</v>
      </c>
      <c r="G38" s="54"/>
      <c r="H38" s="55"/>
      <c r="I38" s="54"/>
      <c r="J38" s="54"/>
    </row>
    <row r="39" spans="1:10" ht="18" customHeight="1" x14ac:dyDescent="0.2">
      <c r="A39" s="51">
        <f t="shared" si="5"/>
        <v>20</v>
      </c>
      <c r="B39" s="52">
        <f t="shared" si="0"/>
        <v>29095.329309714754</v>
      </c>
      <c r="C39" s="53">
        <f t="shared" si="1"/>
        <v>-13382.970395677437</v>
      </c>
      <c r="D39" s="52">
        <f t="shared" si="2"/>
        <v>42478.299705392194</v>
      </c>
      <c r="E39" s="52">
        <f t="shared" si="3"/>
        <v>-424848.88243903324</v>
      </c>
      <c r="G39" s="54"/>
      <c r="H39" s="55"/>
      <c r="I39" s="54"/>
      <c r="J39" s="54"/>
    </row>
    <row r="40" spans="1:10" x14ac:dyDescent="0.2">
      <c r="A40" s="51">
        <f t="shared" si="5"/>
        <v>21</v>
      </c>
      <c r="B40" s="52">
        <f t="shared" si="0"/>
        <v>29095.329309714754</v>
      </c>
      <c r="C40" s="53">
        <f t="shared" si="1"/>
        <v>-14869.710885366165</v>
      </c>
      <c r="D40" s="52">
        <f t="shared" si="2"/>
        <v>43965.040195080917</v>
      </c>
      <c r="E40" s="52">
        <f t="shared" si="3"/>
        <v>-468813.92263411416</v>
      </c>
      <c r="G40" s="54"/>
      <c r="H40" s="55"/>
      <c r="I40" s="54"/>
      <c r="J40" s="54"/>
    </row>
    <row r="41" spans="1:10" x14ac:dyDescent="0.2">
      <c r="A41" s="51">
        <f t="shared" si="5"/>
        <v>22</v>
      </c>
      <c r="B41" s="52">
        <f t="shared" si="0"/>
        <v>29095.329309714754</v>
      </c>
      <c r="C41" s="53">
        <f t="shared" si="1"/>
        <v>-16408.487292193997</v>
      </c>
      <c r="D41" s="52">
        <f t="shared" si="2"/>
        <v>45503.816601908751</v>
      </c>
      <c r="E41" s="52">
        <f t="shared" si="3"/>
        <v>-514317.73923602293</v>
      </c>
      <c r="G41" s="54"/>
      <c r="H41" s="55"/>
      <c r="I41" s="54"/>
      <c r="J41" s="54"/>
    </row>
    <row r="42" spans="1:10" x14ac:dyDescent="0.2">
      <c r="A42" s="51">
        <f t="shared" si="5"/>
        <v>23</v>
      </c>
      <c r="B42" s="52">
        <f t="shared" si="0"/>
        <v>29095.329309714754</v>
      </c>
      <c r="C42" s="53">
        <f t="shared" si="1"/>
        <v>-18001.120873260803</v>
      </c>
      <c r="D42" s="52">
        <f t="shared" si="2"/>
        <v>47096.450182975561</v>
      </c>
      <c r="E42" s="52">
        <f t="shared" si="3"/>
        <v>-561414.18941899855</v>
      </c>
      <c r="G42" s="54"/>
      <c r="H42" s="55"/>
      <c r="I42" s="54"/>
      <c r="J42" s="54"/>
    </row>
    <row r="43" spans="1:10" x14ac:dyDescent="0.2">
      <c r="A43" s="51">
        <f t="shared" si="5"/>
        <v>24</v>
      </c>
      <c r="B43" s="52">
        <f t="shared" si="0"/>
        <v>29095.329309714754</v>
      </c>
      <c r="C43" s="53">
        <f t="shared" si="1"/>
        <v>-19649.496629664951</v>
      </c>
      <c r="D43" s="52">
        <f t="shared" si="2"/>
        <v>48744.825939379705</v>
      </c>
      <c r="E43" s="52">
        <f t="shared" si="3"/>
        <v>-610159.0153583783</v>
      </c>
      <c r="G43" s="54"/>
      <c r="H43" s="54"/>
      <c r="I43" s="54"/>
      <c r="J43" s="54"/>
    </row>
    <row r="44" spans="1:10" x14ac:dyDescent="0.2">
      <c r="A44" s="51">
        <f t="shared" si="5"/>
        <v>25</v>
      </c>
      <c r="B44" s="52">
        <f t="shared" si="0"/>
        <v>29095.329309714754</v>
      </c>
      <c r="C44" s="53">
        <f t="shared" si="1"/>
        <v>-21355.565537543243</v>
      </c>
      <c r="D44" s="52">
        <f t="shared" si="2"/>
        <v>50450.894847257994</v>
      </c>
      <c r="E44" s="52">
        <f t="shared" si="3"/>
        <v>-660609.91020563629</v>
      </c>
      <c r="G44" s="54"/>
      <c r="H44" s="54"/>
      <c r="I44" s="54"/>
      <c r="J44" s="54"/>
    </row>
    <row r="45" spans="1:10" x14ac:dyDescent="0.2">
      <c r="A45" s="51">
        <f t="shared" si="5"/>
        <v>26</v>
      </c>
      <c r="B45" s="52">
        <f t="shared" si="0"/>
        <v>29095.329309714754</v>
      </c>
      <c r="C45" s="53">
        <f t="shared" si="1"/>
        <v>-23121.346857197273</v>
      </c>
      <c r="D45" s="52">
        <f t="shared" si="2"/>
        <v>52216.676166912031</v>
      </c>
      <c r="E45" s="52">
        <f t="shared" si="3"/>
        <v>-712826.58637254837</v>
      </c>
      <c r="G45" s="54"/>
      <c r="H45" s="54"/>
      <c r="I45" s="54"/>
      <c r="J45" s="54"/>
    </row>
    <row r="46" spans="1:10" x14ac:dyDescent="0.2">
      <c r="A46" s="51">
        <f t="shared" si="5"/>
        <v>27</v>
      </c>
      <c r="B46" s="52">
        <f t="shared" si="0"/>
        <v>29095.329309714754</v>
      </c>
      <c r="C46" s="53">
        <f t="shared" si="1"/>
        <v>-24948.930523039195</v>
      </c>
      <c r="D46" s="52">
        <f t="shared" si="2"/>
        <v>54044.259832753945</v>
      </c>
      <c r="E46" s="52">
        <f t="shared" si="3"/>
        <v>-766870.84620530228</v>
      </c>
      <c r="G46" s="54"/>
      <c r="H46" s="54"/>
      <c r="I46" s="54"/>
      <c r="J46" s="54"/>
    </row>
    <row r="47" spans="1:10" x14ac:dyDescent="0.2">
      <c r="A47" s="51">
        <f t="shared" si="5"/>
        <v>28</v>
      </c>
      <c r="B47" s="52">
        <f t="shared" si="0"/>
        <v>29095.329309714754</v>
      </c>
      <c r="C47" s="53">
        <f t="shared" si="1"/>
        <v>-26840.479617185581</v>
      </c>
      <c r="D47" s="52">
        <f t="shared" si="2"/>
        <v>55935.808926900339</v>
      </c>
      <c r="E47" s="52">
        <f t="shared" si="3"/>
        <v>-822806.65513220266</v>
      </c>
      <c r="G47" s="54"/>
      <c r="H47" s="54"/>
      <c r="I47" s="54"/>
      <c r="J47" s="54"/>
    </row>
    <row r="48" spans="1:10" ht="12" customHeight="1" x14ac:dyDescent="0.2">
      <c r="A48" s="51">
        <f t="shared" si="5"/>
        <v>29</v>
      </c>
      <c r="B48" s="52">
        <f t="shared" si="0"/>
        <v>29095.329309714754</v>
      </c>
      <c r="C48" s="53">
        <f t="shared" si="1"/>
        <v>-28798.232929627095</v>
      </c>
      <c r="D48" s="52">
        <f t="shared" si="2"/>
        <v>57893.562239341845</v>
      </c>
      <c r="E48" s="52">
        <f t="shared" si="3"/>
        <v>-880700.21737154457</v>
      </c>
      <c r="G48" s="54"/>
      <c r="H48" s="54"/>
      <c r="I48" s="54"/>
      <c r="J48" s="54"/>
    </row>
    <row r="49" spans="1:10" x14ac:dyDescent="0.2">
      <c r="A49" s="51">
        <f t="shared" si="5"/>
        <v>30</v>
      </c>
      <c r="B49" s="52">
        <f t="shared" si="0"/>
        <v>29095.329309714754</v>
      </c>
      <c r="C49" s="53">
        <f t="shared" si="1"/>
        <v>-30824.507608004064</v>
      </c>
      <c r="D49" s="52">
        <f t="shared" si="2"/>
        <v>59919.836917718814</v>
      </c>
      <c r="E49" s="52">
        <f t="shared" si="3"/>
        <v>-940620.05428926344</v>
      </c>
      <c r="G49" s="54"/>
      <c r="H49" s="54"/>
      <c r="I49" s="54"/>
      <c r="J49" s="54"/>
    </row>
    <row r="50" spans="1:10" x14ac:dyDescent="0.2">
      <c r="A50" s="51">
        <f t="shared" si="5"/>
        <v>31</v>
      </c>
      <c r="B50" s="52">
        <f t="shared" si="0"/>
        <v>29095.329309714754</v>
      </c>
      <c r="C50" s="53">
        <f t="shared" si="1"/>
        <v>-32921.701900124222</v>
      </c>
      <c r="D50" s="52">
        <f t="shared" si="2"/>
        <v>62017.031209838977</v>
      </c>
      <c r="E50" s="52">
        <f t="shared" si="3"/>
        <v>-1002637.0854991024</v>
      </c>
      <c r="G50" s="54"/>
      <c r="H50" s="54"/>
      <c r="I50" s="54"/>
      <c r="J50" s="54"/>
    </row>
    <row r="51" spans="1:10" x14ac:dyDescent="0.2">
      <c r="A51" s="51">
        <f t="shared" si="5"/>
        <v>32</v>
      </c>
      <c r="B51" s="52">
        <f t="shared" si="0"/>
        <v>29095.329309714754</v>
      </c>
      <c r="C51" s="53">
        <f t="shared" si="1"/>
        <v>-35092.297992468586</v>
      </c>
      <c r="D51" s="52">
        <f t="shared" si="2"/>
        <v>64187.62730218334</v>
      </c>
      <c r="E51" s="52">
        <f t="shared" si="3"/>
        <v>-1066824.7128012858</v>
      </c>
      <c r="G51" s="54"/>
      <c r="H51" s="54"/>
      <c r="I51" s="54"/>
      <c r="J51" s="54"/>
    </row>
    <row r="52" spans="1:10" x14ac:dyDescent="0.2">
      <c r="A52" s="51">
        <f t="shared" si="5"/>
        <v>33</v>
      </c>
      <c r="B52" s="52">
        <f t="shared" si="0"/>
        <v>29095.329309714754</v>
      </c>
      <c r="C52" s="53">
        <f t="shared" si="1"/>
        <v>-37338.864948045004</v>
      </c>
      <c r="D52" s="52">
        <f t="shared" si="2"/>
        <v>66434.194257759751</v>
      </c>
      <c r="E52" s="52">
        <f t="shared" si="3"/>
        <v>-1133258.9070590455</v>
      </c>
      <c r="G52" s="54"/>
      <c r="H52" s="54"/>
      <c r="I52" s="54"/>
      <c r="J52" s="54"/>
    </row>
    <row r="53" spans="1:10" x14ac:dyDescent="0.2">
      <c r="A53" s="51">
        <f t="shared" si="5"/>
        <v>34</v>
      </c>
      <c r="B53" s="52">
        <f t="shared" si="0"/>
        <v>29095.329309714754</v>
      </c>
      <c r="C53" s="53">
        <f t="shared" si="1"/>
        <v>-39664.061747066597</v>
      </c>
      <c r="D53" s="52">
        <f t="shared" si="2"/>
        <v>68759.391056781344</v>
      </c>
      <c r="E53" s="52">
        <f t="shared" si="3"/>
        <v>-1202018.2981158269</v>
      </c>
      <c r="G53" s="54"/>
      <c r="H53" s="54"/>
      <c r="I53" s="54"/>
      <c r="J53" s="54"/>
    </row>
    <row r="54" spans="1:10" x14ac:dyDescent="0.2">
      <c r="A54" s="51">
        <f t="shared" si="5"/>
        <v>35</v>
      </c>
      <c r="B54" s="52">
        <f t="shared" si="0"/>
        <v>29095.329309714754</v>
      </c>
      <c r="C54" s="53">
        <f t="shared" si="1"/>
        <v>-42070.640434053945</v>
      </c>
      <c r="D54" s="52">
        <f t="shared" si="2"/>
        <v>71165.969743768699</v>
      </c>
      <c r="E54" s="52">
        <f t="shared" si="3"/>
        <v>-1273184.2678595956</v>
      </c>
      <c r="G54" s="54"/>
      <c r="H54" s="54"/>
      <c r="I54" s="54"/>
      <c r="J54" s="54"/>
    </row>
    <row r="55" spans="1:10" x14ac:dyDescent="0.2">
      <c r="A55" s="51">
        <f t="shared" si="5"/>
        <v>36</v>
      </c>
      <c r="B55" s="52">
        <f t="shared" si="0"/>
        <v>29095.329309714754</v>
      </c>
      <c r="C55" s="53">
        <f t="shared" si="1"/>
        <v>-44561.449375085853</v>
      </c>
      <c r="D55" s="52">
        <f t="shared" si="2"/>
        <v>73656.778684800607</v>
      </c>
      <c r="E55" s="52">
        <f t="shared" si="3"/>
        <v>-1346841.0465443963</v>
      </c>
      <c r="G55" s="54"/>
      <c r="H55" s="54"/>
      <c r="I55" s="54"/>
      <c r="J55" s="54"/>
    </row>
    <row r="56" spans="1:10" x14ac:dyDescent="0.2">
      <c r="A56" s="51">
        <f t="shared" si="5"/>
        <v>37</v>
      </c>
      <c r="B56" s="52">
        <f t="shared" si="0"/>
        <v>29095.329309714754</v>
      </c>
      <c r="C56" s="53">
        <f t="shared" si="1"/>
        <v>-47139.436629053875</v>
      </c>
      <c r="D56" s="52">
        <f t="shared" si="2"/>
        <v>76234.765938768629</v>
      </c>
      <c r="E56" s="52">
        <f t="shared" si="3"/>
        <v>-1423075.8124831649</v>
      </c>
      <c r="G56" s="54"/>
      <c r="H56" s="54"/>
      <c r="I56" s="54"/>
      <c r="J56" s="54"/>
    </row>
    <row r="57" spans="1:10" x14ac:dyDescent="0.2">
      <c r="A57" s="51">
        <f t="shared" si="5"/>
        <v>38</v>
      </c>
      <c r="B57" s="52">
        <f t="shared" si="0"/>
        <v>29095.329309714754</v>
      </c>
      <c r="C57" s="53">
        <f t="shared" si="1"/>
        <v>-49807.653436910776</v>
      </c>
      <c r="D57" s="52">
        <f t="shared" si="2"/>
        <v>78902.982746625523</v>
      </c>
      <c r="E57" s="52">
        <f t="shared" si="3"/>
        <v>-1501978.7952297905</v>
      </c>
      <c r="G57" s="54"/>
      <c r="H57" s="54"/>
      <c r="I57" s="54"/>
      <c r="J57" s="54"/>
    </row>
    <row r="58" spans="1:10" x14ac:dyDescent="0.2">
      <c r="A58" s="51">
        <f t="shared" si="5"/>
        <v>39</v>
      </c>
      <c r="B58" s="52">
        <f t="shared" si="0"/>
        <v>29095.329309714754</v>
      </c>
      <c r="C58" s="53">
        <f t="shared" si="1"/>
        <v>-52569.25783304267</v>
      </c>
      <c r="D58" s="52">
        <f t="shared" si="2"/>
        <v>81664.587142757431</v>
      </c>
      <c r="E58" s="52">
        <f t="shared" si="3"/>
        <v>-1583643.3823725479</v>
      </c>
      <c r="G58" s="54"/>
      <c r="H58" s="54"/>
      <c r="I58" s="54"/>
      <c r="J58" s="54"/>
    </row>
    <row r="59" spans="1:10" x14ac:dyDescent="0.2">
      <c r="A59" s="51">
        <f t="shared" si="5"/>
        <v>40</v>
      </c>
      <c r="B59" s="52">
        <f t="shared" si="0"/>
        <v>29095.329309714754</v>
      </c>
      <c r="C59" s="53">
        <f t="shared" si="1"/>
        <v>-55427.518383039183</v>
      </c>
      <c r="D59" s="52">
        <f t="shared" si="2"/>
        <v>84522.847692753945</v>
      </c>
      <c r="E59" s="52">
        <f t="shared" si="3"/>
        <v>-1668166.2300653018</v>
      </c>
      <c r="G59" s="54"/>
      <c r="H59" s="54"/>
      <c r="I59" s="54"/>
      <c r="J59" s="54"/>
    </row>
    <row r="60" spans="1:10" x14ac:dyDescent="0.2">
      <c r="A60" s="51">
        <f t="shared" si="5"/>
        <v>41</v>
      </c>
      <c r="B60" s="52">
        <f t="shared" si="0"/>
        <v>29095.329309714754</v>
      </c>
      <c r="C60" s="53">
        <f t="shared" si="1"/>
        <v>-58385.818052285569</v>
      </c>
      <c r="D60" s="52">
        <f t="shared" si="2"/>
        <v>87481.147362000323</v>
      </c>
      <c r="E60" s="52">
        <f t="shared" si="3"/>
        <v>-1755647.3774273021</v>
      </c>
      <c r="G60" s="54"/>
      <c r="H60" s="54"/>
      <c r="I60" s="54"/>
      <c r="J60" s="54"/>
    </row>
    <row r="61" spans="1:10" x14ac:dyDescent="0.2">
      <c r="A61" s="51">
        <f t="shared" si="5"/>
        <v>42</v>
      </c>
      <c r="B61" s="52">
        <f t="shared" si="0"/>
        <v>29095.329309714754</v>
      </c>
      <c r="C61" s="53">
        <f t="shared" si="1"/>
        <v>-61447.658209955582</v>
      </c>
      <c r="D61" s="52">
        <f t="shared" si="2"/>
        <v>90542.987519670336</v>
      </c>
      <c r="E61" s="52">
        <f t="shared" si="3"/>
        <v>-1846190.3649469723</v>
      </c>
      <c r="G61" s="54"/>
      <c r="H61" s="54"/>
      <c r="I61" s="54"/>
      <c r="J61" s="54"/>
    </row>
    <row r="62" spans="1:10" x14ac:dyDescent="0.2">
      <c r="A62" s="51">
        <f t="shared" si="5"/>
        <v>43</v>
      </c>
      <c r="B62" s="52">
        <f t="shared" si="0"/>
        <v>29095.329309714754</v>
      </c>
      <c r="C62" s="53">
        <f t="shared" si="1"/>
        <v>-64616.662773144039</v>
      </c>
      <c r="D62" s="52">
        <f t="shared" si="2"/>
        <v>93711.992082858793</v>
      </c>
      <c r="E62" s="52">
        <f t="shared" si="3"/>
        <v>-1939902.357029831</v>
      </c>
      <c r="G62" s="54"/>
      <c r="H62" s="54"/>
      <c r="I62" s="54"/>
      <c r="J62" s="54"/>
    </row>
    <row r="63" spans="1:10" x14ac:dyDescent="0.2">
      <c r="A63" s="51">
        <f t="shared" si="5"/>
        <v>44</v>
      </c>
      <c r="B63" s="52">
        <f t="shared" si="0"/>
        <v>29095.329309714754</v>
      </c>
      <c r="C63" s="53">
        <f t="shared" si="1"/>
        <v>-67896.582496044095</v>
      </c>
      <c r="D63" s="52">
        <f t="shared" si="2"/>
        <v>96991.911805758849</v>
      </c>
      <c r="E63" s="52">
        <f t="shared" si="3"/>
        <v>-2036894.26883559</v>
      </c>
      <c r="G63" s="54"/>
      <c r="H63" s="54"/>
      <c r="I63" s="54"/>
      <c r="J63" s="54"/>
    </row>
    <row r="64" spans="1:10" x14ac:dyDescent="0.2">
      <c r="A64" s="51">
        <f t="shared" si="5"/>
        <v>45</v>
      </c>
      <c r="B64" s="52">
        <f t="shared" si="0"/>
        <v>29095.329309714754</v>
      </c>
      <c r="C64" s="53">
        <f t="shared" si="1"/>
        <v>-71291.29940924565</v>
      </c>
      <c r="D64" s="52">
        <f t="shared" si="2"/>
        <v>100386.6287189604</v>
      </c>
      <c r="E64" s="52">
        <f t="shared" si="3"/>
        <v>-2137280.8975545503</v>
      </c>
      <c r="G64" s="54"/>
      <c r="H64" s="54"/>
      <c r="I64" s="54"/>
      <c r="J64" s="54"/>
    </row>
    <row r="65" spans="1:10" x14ac:dyDescent="0.2">
      <c r="A65" s="51">
        <f t="shared" si="5"/>
        <v>46</v>
      </c>
      <c r="B65" s="52">
        <f t="shared" si="0"/>
        <v>29095.329309714754</v>
      </c>
      <c r="C65" s="53">
        <f t="shared" si="1"/>
        <v>-74804.831414409273</v>
      </c>
      <c r="D65" s="52">
        <f t="shared" si="2"/>
        <v>103900.16072412403</v>
      </c>
      <c r="E65" s="52">
        <f t="shared" si="3"/>
        <v>-2241181.0582786743</v>
      </c>
      <c r="G65" s="54"/>
      <c r="H65" s="54"/>
      <c r="I65" s="54"/>
      <c r="J65" s="54"/>
    </row>
    <row r="66" spans="1:10" x14ac:dyDescent="0.2">
      <c r="A66" s="51">
        <f t="shared" si="5"/>
        <v>47</v>
      </c>
      <c r="B66" s="52">
        <f t="shared" si="0"/>
        <v>29095.329309714754</v>
      </c>
      <c r="C66" s="53">
        <f t="shared" si="1"/>
        <v>-78441.337039753605</v>
      </c>
      <c r="D66" s="52">
        <f t="shared" si="2"/>
        <v>107536.66634946836</v>
      </c>
      <c r="E66" s="52">
        <f t="shared" si="3"/>
        <v>-2348717.7246281425</v>
      </c>
      <c r="G66" s="54"/>
      <c r="H66" s="54"/>
      <c r="I66" s="54"/>
      <c r="J66" s="54"/>
    </row>
    <row r="67" spans="1:10" x14ac:dyDescent="0.2">
      <c r="A67" s="51">
        <f t="shared" si="5"/>
        <v>48</v>
      </c>
      <c r="B67" s="52">
        <f t="shared" si="0"/>
        <v>29095.329309714754</v>
      </c>
      <c r="C67" s="53">
        <f t="shared" si="1"/>
        <v>-82205.120361984998</v>
      </c>
      <c r="D67" s="52">
        <f t="shared" si="2"/>
        <v>111300.44967169975</v>
      </c>
      <c r="E67" s="52">
        <f t="shared" si="3"/>
        <v>-2460018.1742998422</v>
      </c>
      <c r="G67" s="54"/>
      <c r="H67" s="54"/>
      <c r="I67" s="54"/>
      <c r="J67" s="54"/>
    </row>
    <row r="68" spans="1:10" x14ac:dyDescent="0.2">
      <c r="A68" s="51">
        <f t="shared" si="5"/>
        <v>49</v>
      </c>
      <c r="B68" s="52">
        <f t="shared" si="0"/>
        <v>29095.329309714754</v>
      </c>
      <c r="C68" s="53">
        <f t="shared" si="1"/>
        <v>-86100.636100494492</v>
      </c>
      <c r="D68" s="52">
        <f t="shared" si="2"/>
        <v>115195.96541020925</v>
      </c>
      <c r="E68" s="52">
        <f t="shared" si="3"/>
        <v>-2575214.1397100515</v>
      </c>
      <c r="G68" s="54"/>
      <c r="H68" s="54"/>
      <c r="I68" s="54"/>
      <c r="J68" s="54"/>
    </row>
    <row r="69" spans="1:10" x14ac:dyDescent="0.2">
      <c r="A69" s="51">
        <f t="shared" si="5"/>
        <v>50</v>
      </c>
      <c r="B69" s="52">
        <f t="shared" si="0"/>
        <v>29095.329309714754</v>
      </c>
      <c r="C69" s="53">
        <f t="shared" si="1"/>
        <v>-90132.494889851805</v>
      </c>
      <c r="D69" s="52">
        <f t="shared" si="2"/>
        <v>119227.82419956656</v>
      </c>
      <c r="E69" s="52">
        <f t="shared" si="3"/>
        <v>-2694441.9639096181</v>
      </c>
      <c r="G69" s="54"/>
      <c r="H69" s="54"/>
      <c r="I69" s="54"/>
      <c r="J69" s="54"/>
    </row>
    <row r="70" spans="1:10" x14ac:dyDescent="0.2">
      <c r="A70" s="51">
        <f t="shared" si="5"/>
        <v>51</v>
      </c>
      <c r="B70" s="52">
        <f t="shared" si="0"/>
        <v>29095.329309714754</v>
      </c>
      <c r="C70" s="53">
        <f t="shared" si="1"/>
        <v>-94305.468736836643</v>
      </c>
      <c r="D70" s="52">
        <f t="shared" si="2"/>
        <v>123400.7980465514</v>
      </c>
      <c r="E70" s="52">
        <f t="shared" si="3"/>
        <v>-2817842.7619561693</v>
      </c>
      <c r="G70" s="54"/>
      <c r="H70" s="54"/>
      <c r="I70" s="54"/>
      <c r="J70" s="54"/>
    </row>
    <row r="71" spans="1:10" x14ac:dyDescent="0.2">
      <c r="A71" s="51">
        <f t="shared" si="5"/>
        <v>52</v>
      </c>
      <c r="B71" s="52">
        <f t="shared" si="0"/>
        <v>29095.329309714754</v>
      </c>
      <c r="C71" s="53">
        <f t="shared" si="1"/>
        <v>-98624.49666846593</v>
      </c>
      <c r="D71" s="52">
        <f t="shared" si="2"/>
        <v>127719.82597818068</v>
      </c>
      <c r="E71" s="52">
        <f t="shared" si="3"/>
        <v>-2945562.5879343501</v>
      </c>
      <c r="G71" s="54"/>
      <c r="H71" s="54"/>
      <c r="I71" s="54"/>
      <c r="J71" s="54"/>
    </row>
    <row r="72" spans="1:10" x14ac:dyDescent="0.2">
      <c r="A72" s="51">
        <f t="shared" si="5"/>
        <v>53</v>
      </c>
      <c r="B72" s="52">
        <f t="shared" si="0"/>
        <v>29095.329309714754</v>
      </c>
      <c r="C72" s="53">
        <f t="shared" si="1"/>
        <v>-103094.69057770226</v>
      </c>
      <c r="D72" s="52">
        <f t="shared" si="2"/>
        <v>132190.01988741703</v>
      </c>
      <c r="E72" s="52">
        <f t="shared" si="3"/>
        <v>-3077752.6078217672</v>
      </c>
      <c r="G72" s="54"/>
      <c r="H72" s="54"/>
      <c r="I72" s="54"/>
      <c r="J72" s="54"/>
    </row>
    <row r="73" spans="1:10" x14ac:dyDescent="0.2">
      <c r="A73" s="51">
        <f t="shared" si="5"/>
        <v>54</v>
      </c>
      <c r="B73" s="52">
        <f t="shared" si="0"/>
        <v>29095.329309714754</v>
      </c>
      <c r="C73" s="53">
        <f t="shared" si="1"/>
        <v>-107721.34127376186</v>
      </c>
      <c r="D73" s="52">
        <f t="shared" si="2"/>
        <v>136816.6705834766</v>
      </c>
      <c r="E73" s="52">
        <f t="shared" si="3"/>
        <v>-3214569.278405244</v>
      </c>
      <c r="G73" s="54"/>
      <c r="H73" s="54"/>
      <c r="I73" s="54"/>
      <c r="J73" s="54"/>
    </row>
    <row r="74" spans="1:10" x14ac:dyDescent="0.2">
      <c r="A74" s="51">
        <f t="shared" si="5"/>
        <v>55</v>
      </c>
      <c r="B74" s="52">
        <f t="shared" si="0"/>
        <v>29095.329309714754</v>
      </c>
      <c r="C74" s="53">
        <f t="shared" si="1"/>
        <v>-112509.92474418355</v>
      </c>
      <c r="D74" s="52">
        <f t="shared" si="2"/>
        <v>141605.2540538983</v>
      </c>
      <c r="E74" s="52">
        <f t="shared" si="3"/>
        <v>-3356174.5324591422</v>
      </c>
      <c r="G74" s="54"/>
      <c r="H74" s="54"/>
      <c r="I74" s="54"/>
      <c r="J74" s="54"/>
    </row>
    <row r="75" spans="1:10" x14ac:dyDescent="0.2">
      <c r="A75" s="51">
        <f t="shared" si="5"/>
        <v>56</v>
      </c>
      <c r="B75" s="52">
        <f t="shared" si="0"/>
        <v>29095.329309714754</v>
      </c>
      <c r="C75" s="53">
        <f t="shared" si="1"/>
        <v>-117466.10863606998</v>
      </c>
      <c r="D75" s="52">
        <f t="shared" si="2"/>
        <v>146561.43794578474</v>
      </c>
      <c r="E75" s="52">
        <f t="shared" si="3"/>
        <v>-3502735.9704049267</v>
      </c>
      <c r="G75" s="54"/>
      <c r="H75" s="54"/>
      <c r="I75" s="54"/>
      <c r="J75" s="54"/>
    </row>
    <row r="76" spans="1:10" x14ac:dyDescent="0.2">
      <c r="A76" s="51">
        <f t="shared" si="5"/>
        <v>57</v>
      </c>
      <c r="B76" s="52">
        <f t="shared" si="0"/>
        <v>29095.329309714754</v>
      </c>
      <c r="C76" s="53">
        <f t="shared" si="1"/>
        <v>-122595.75896417245</v>
      </c>
      <c r="D76" s="52">
        <f t="shared" si="2"/>
        <v>151691.0882738872</v>
      </c>
      <c r="E76" s="52">
        <f t="shared" si="3"/>
        <v>-3654427.0586788137</v>
      </c>
      <c r="G76" s="54"/>
      <c r="H76" s="54"/>
      <c r="I76" s="54"/>
      <c r="J76" s="54"/>
    </row>
    <row r="77" spans="1:10" x14ac:dyDescent="0.2">
      <c r="A77" s="51">
        <f t="shared" si="5"/>
        <v>58</v>
      </c>
      <c r="B77" s="52">
        <f t="shared" si="0"/>
        <v>29095.329309714754</v>
      </c>
      <c r="C77" s="53">
        <f t="shared" si="1"/>
        <v>-127904.9470537585</v>
      </c>
      <c r="D77" s="52">
        <f t="shared" si="2"/>
        <v>157000.27636347327</v>
      </c>
      <c r="E77" s="52">
        <f t="shared" si="3"/>
        <v>-3811427.3350422871</v>
      </c>
      <c r="G77" s="54"/>
      <c r="H77" s="54"/>
      <c r="I77" s="54"/>
      <c r="J77" s="54"/>
    </row>
    <row r="78" spans="1:10" x14ac:dyDescent="0.2">
      <c r="A78" s="51">
        <f t="shared" si="5"/>
        <v>59</v>
      </c>
      <c r="B78" s="52">
        <f t="shared" si="0"/>
        <v>29095.329309714754</v>
      </c>
      <c r="C78" s="53">
        <f t="shared" si="1"/>
        <v>-133399.95672648007</v>
      </c>
      <c r="D78" s="52">
        <f t="shared" si="2"/>
        <v>162495.28603619483</v>
      </c>
      <c r="E78" s="52">
        <f t="shared" si="3"/>
        <v>-3973922.6210784819</v>
      </c>
      <c r="G78" s="54"/>
      <c r="H78" s="54"/>
      <c r="I78" s="54"/>
      <c r="J78" s="54"/>
    </row>
    <row r="79" spans="1:10" x14ac:dyDescent="0.2">
      <c r="A79" s="51">
        <f t="shared" si="5"/>
        <v>60</v>
      </c>
      <c r="B79" s="52">
        <f t="shared" si="0"/>
        <v>29095.329309714754</v>
      </c>
      <c r="C79" s="53">
        <f t="shared" si="1"/>
        <v>-139087.29173774688</v>
      </c>
      <c r="D79" s="52">
        <f t="shared" si="2"/>
        <v>168182.62104746164</v>
      </c>
      <c r="E79" s="52">
        <f t="shared" si="3"/>
        <v>-4142105.2421259433</v>
      </c>
      <c r="G79" s="54"/>
      <c r="H79" s="54"/>
      <c r="I79" s="54"/>
      <c r="J79" s="54"/>
    </row>
    <row r="80" spans="1:10" x14ac:dyDescent="0.2">
      <c r="A80" s="51">
        <f t="shared" si="5"/>
        <v>61</v>
      </c>
      <c r="B80" s="52">
        <f t="shared" si="0"/>
        <v>29095.329309714754</v>
      </c>
      <c r="C80" s="53">
        <f t="shared" si="1"/>
        <v>-144973.68347440803</v>
      </c>
      <c r="D80" s="52">
        <f t="shared" si="2"/>
        <v>174069.01278412278</v>
      </c>
      <c r="E80" s="52">
        <f t="shared" si="3"/>
        <v>-4316174.2549100658</v>
      </c>
      <c r="G80" s="54"/>
      <c r="H80" s="54"/>
      <c r="I80" s="54"/>
      <c r="J80" s="54"/>
    </row>
    <row r="81" spans="1:10" x14ac:dyDescent="0.2">
      <c r="A81" s="51">
        <f t="shared" si="5"/>
        <v>62</v>
      </c>
      <c r="B81" s="52">
        <f t="shared" si="0"/>
        <v>29095.329309714754</v>
      </c>
      <c r="C81" s="53">
        <f t="shared" si="1"/>
        <v>-151066.0989218523</v>
      </c>
      <c r="D81" s="52">
        <f t="shared" si="2"/>
        <v>180161.42823156706</v>
      </c>
      <c r="E81" s="52">
        <f t="shared" si="3"/>
        <v>-4496335.6831416329</v>
      </c>
      <c r="G81" s="54"/>
      <c r="H81" s="54"/>
      <c r="I81" s="54"/>
      <c r="J81" s="54"/>
    </row>
    <row r="82" spans="1:10" x14ac:dyDescent="0.2">
      <c r="A82" s="51">
        <f t="shared" si="5"/>
        <v>63</v>
      </c>
      <c r="B82" s="52">
        <f t="shared" si="0"/>
        <v>29095.329309714754</v>
      </c>
      <c r="C82" s="53">
        <f t="shared" si="1"/>
        <v>-157371.74890995715</v>
      </c>
      <c r="D82" s="52">
        <f t="shared" si="2"/>
        <v>186467.07821967191</v>
      </c>
      <c r="E82" s="52">
        <f t="shared" si="3"/>
        <v>-4682802.7613613047</v>
      </c>
      <c r="G82" s="54"/>
      <c r="H82" s="54"/>
      <c r="I82" s="54"/>
      <c r="J82" s="54"/>
    </row>
    <row r="83" spans="1:10" x14ac:dyDescent="0.2">
      <c r="A83" s="51">
        <f t="shared" si="5"/>
        <v>64</v>
      </c>
      <c r="B83" s="52">
        <f t="shared" si="0"/>
        <v>29095.329309714754</v>
      </c>
      <c r="C83" s="53">
        <f t="shared" si="1"/>
        <v>-163898.09664764567</v>
      </c>
      <c r="D83" s="52">
        <f t="shared" si="2"/>
        <v>192993.42595736042</v>
      </c>
      <c r="E83" s="52">
        <f t="shared" si="3"/>
        <v>-4875796.187318665</v>
      </c>
      <c r="G83" s="54"/>
      <c r="H83" s="54"/>
      <c r="I83" s="54"/>
      <c r="J83" s="54"/>
    </row>
    <row r="84" spans="1:10" x14ac:dyDescent="0.2">
      <c r="A84" s="51">
        <f t="shared" si="5"/>
        <v>65</v>
      </c>
      <c r="B84" s="52">
        <f t="shared" ref="B84:B103" si="6">$E$15</f>
        <v>29095.329309714754</v>
      </c>
      <c r="C84" s="53">
        <f t="shared" ref="C84:C103" si="7">+E83*$E$14</f>
        <v>-170652.86655615328</v>
      </c>
      <c r="D84" s="52">
        <f t="shared" ref="D84:D103" si="8">+B84-C84</f>
        <v>199748.19586586804</v>
      </c>
      <c r="E84" s="52">
        <f t="shared" ref="E84:E103" si="9">+E83-D84</f>
        <v>-5075544.3831845326</v>
      </c>
      <c r="G84" s="54"/>
      <c r="H84" s="54"/>
      <c r="I84" s="54"/>
      <c r="J84" s="54"/>
    </row>
    <row r="85" spans="1:10" x14ac:dyDescent="0.2">
      <c r="A85" s="51">
        <f t="shared" ref="A85:A103" si="10">+A84+1</f>
        <v>66</v>
      </c>
      <c r="B85" s="52">
        <f t="shared" si="6"/>
        <v>29095.329309714754</v>
      </c>
      <c r="C85" s="53">
        <f t="shared" si="7"/>
        <v>-177644.05341145865</v>
      </c>
      <c r="D85" s="52">
        <f t="shared" si="8"/>
        <v>206739.3827211734</v>
      </c>
      <c r="E85" s="52">
        <f t="shared" si="9"/>
        <v>-5282283.7659057062</v>
      </c>
      <c r="G85" s="54"/>
      <c r="H85" s="54"/>
      <c r="I85" s="54"/>
      <c r="J85" s="54"/>
    </row>
    <row r="86" spans="1:10" x14ac:dyDescent="0.2">
      <c r="A86" s="51">
        <f t="shared" si="10"/>
        <v>67</v>
      </c>
      <c r="B86" s="52">
        <f t="shared" si="6"/>
        <v>29095.329309714754</v>
      </c>
      <c r="C86" s="53">
        <f t="shared" si="7"/>
        <v>-184879.93180669972</v>
      </c>
      <c r="D86" s="52">
        <f t="shared" si="8"/>
        <v>213975.26111641448</v>
      </c>
      <c r="E86" s="52">
        <f t="shared" si="9"/>
        <v>-5496259.0270221205</v>
      </c>
      <c r="G86" s="54"/>
      <c r="H86" s="54"/>
      <c r="I86" s="54"/>
      <c r="J86" s="54"/>
    </row>
    <row r="87" spans="1:10" x14ac:dyDescent="0.2">
      <c r="A87" s="51">
        <f t="shared" si="10"/>
        <v>68</v>
      </c>
      <c r="B87" s="52">
        <f t="shared" si="6"/>
        <v>29095.329309714754</v>
      </c>
      <c r="C87" s="53">
        <f t="shared" si="7"/>
        <v>-192369.06594577423</v>
      </c>
      <c r="D87" s="52">
        <f t="shared" si="8"/>
        <v>221464.39525548898</v>
      </c>
      <c r="E87" s="52">
        <f t="shared" si="9"/>
        <v>-5717723.4222776098</v>
      </c>
      <c r="G87" s="54"/>
      <c r="H87" s="54"/>
      <c r="I87" s="54"/>
      <c r="J87" s="54"/>
    </row>
    <row r="88" spans="1:10" x14ac:dyDescent="0.2">
      <c r="A88" s="51">
        <f t="shared" si="10"/>
        <v>69</v>
      </c>
      <c r="B88" s="52">
        <f t="shared" si="6"/>
        <v>29095.329309714754</v>
      </c>
      <c r="C88" s="53">
        <f t="shared" si="7"/>
        <v>-200120.31977971637</v>
      </c>
      <c r="D88" s="52">
        <f t="shared" si="8"/>
        <v>229215.64908943113</v>
      </c>
      <c r="E88" s="52">
        <f t="shared" si="9"/>
        <v>-5946939.0713670412</v>
      </c>
      <c r="G88" s="54"/>
      <c r="H88" s="54"/>
      <c r="I88" s="54"/>
      <c r="J88" s="54"/>
    </row>
    <row r="89" spans="1:10" x14ac:dyDescent="0.2">
      <c r="A89" s="51">
        <f t="shared" si="10"/>
        <v>70</v>
      </c>
      <c r="B89" s="52">
        <f t="shared" si="6"/>
        <v>29095.329309714754</v>
      </c>
      <c r="C89" s="53">
        <f t="shared" si="7"/>
        <v>-208142.86749784646</v>
      </c>
      <c r="D89" s="52">
        <f t="shared" si="8"/>
        <v>237238.19680756121</v>
      </c>
      <c r="E89" s="52">
        <f t="shared" si="9"/>
        <v>-6184177.2681746027</v>
      </c>
      <c r="G89" s="54"/>
      <c r="H89" s="54"/>
      <c r="I89" s="54"/>
      <c r="J89" s="54"/>
    </row>
    <row r="90" spans="1:10" x14ac:dyDescent="0.2">
      <c r="A90" s="51">
        <f t="shared" si="10"/>
        <v>71</v>
      </c>
      <c r="B90" s="52">
        <f t="shared" si="6"/>
        <v>29095.329309714754</v>
      </c>
      <c r="C90" s="53">
        <f t="shared" si="7"/>
        <v>-216446.20438611112</v>
      </c>
      <c r="D90" s="52">
        <f t="shared" si="8"/>
        <v>245541.53369582587</v>
      </c>
      <c r="E90" s="52">
        <f t="shared" si="9"/>
        <v>-6429718.801870429</v>
      </c>
      <c r="G90" s="54"/>
      <c r="H90" s="54"/>
      <c r="I90" s="54"/>
      <c r="J90" s="54"/>
    </row>
    <row r="91" spans="1:10" x14ac:dyDescent="0.2">
      <c r="A91" s="51">
        <f t="shared" si="10"/>
        <v>72</v>
      </c>
      <c r="B91" s="52">
        <f t="shared" si="6"/>
        <v>29095.329309714754</v>
      </c>
      <c r="C91" s="53">
        <f t="shared" si="7"/>
        <v>-225040.15806546505</v>
      </c>
      <c r="D91" s="52">
        <f t="shared" si="8"/>
        <v>254135.4873751798</v>
      </c>
      <c r="E91" s="52">
        <f t="shared" si="9"/>
        <v>-6683854.2892456092</v>
      </c>
      <c r="G91" s="54"/>
      <c r="H91" s="54"/>
      <c r="I91" s="54"/>
      <c r="J91" s="54"/>
    </row>
    <row r="92" spans="1:10" x14ac:dyDescent="0.2">
      <c r="A92" s="51">
        <f t="shared" si="10"/>
        <v>73</v>
      </c>
      <c r="B92" s="52">
        <f t="shared" si="6"/>
        <v>29095.329309714754</v>
      </c>
      <c r="C92" s="53">
        <f t="shared" si="7"/>
        <v>-233934.90012359634</v>
      </c>
      <c r="D92" s="52">
        <f t="shared" si="8"/>
        <v>263030.22943331109</v>
      </c>
      <c r="E92" s="52">
        <f t="shared" si="9"/>
        <v>-6946884.5186789203</v>
      </c>
      <c r="G92" s="54"/>
      <c r="H92" s="54"/>
      <c r="I92" s="54"/>
      <c r="J92" s="54"/>
    </row>
    <row r="93" spans="1:10" x14ac:dyDescent="0.2">
      <c r="A93" s="51">
        <f t="shared" si="10"/>
        <v>74</v>
      </c>
      <c r="B93" s="52">
        <f t="shared" si="6"/>
        <v>29095.329309714754</v>
      </c>
      <c r="C93" s="53">
        <f t="shared" si="7"/>
        <v>-243140.95815376224</v>
      </c>
      <c r="D93" s="52">
        <f t="shared" si="8"/>
        <v>272236.287463477</v>
      </c>
      <c r="E93" s="52">
        <f t="shared" si="9"/>
        <v>-7219120.8061423972</v>
      </c>
      <c r="G93" s="54"/>
      <c r="H93" s="54"/>
      <c r="I93" s="54"/>
      <c r="J93" s="54"/>
    </row>
    <row r="94" spans="1:10" x14ac:dyDescent="0.2">
      <c r="A94" s="51">
        <f t="shared" si="10"/>
        <v>75</v>
      </c>
      <c r="B94" s="52">
        <f t="shared" si="6"/>
        <v>29095.329309714754</v>
      </c>
      <c r="C94" s="53">
        <f t="shared" si="7"/>
        <v>-252669.22821498392</v>
      </c>
      <c r="D94" s="52">
        <f t="shared" si="8"/>
        <v>281764.55752469867</v>
      </c>
      <c r="E94" s="52">
        <f t="shared" si="9"/>
        <v>-7500885.363667096</v>
      </c>
      <c r="G94" s="54"/>
      <c r="H94" s="54"/>
      <c r="I94" s="54"/>
      <c r="J94" s="54"/>
    </row>
    <row r="95" spans="1:10" x14ac:dyDescent="0.2">
      <c r="A95" s="51">
        <f t="shared" si="10"/>
        <v>76</v>
      </c>
      <c r="B95" s="52">
        <f t="shared" si="6"/>
        <v>29095.329309714754</v>
      </c>
      <c r="C95" s="53">
        <f t="shared" si="7"/>
        <v>-262530.98772834841</v>
      </c>
      <c r="D95" s="52">
        <f t="shared" si="8"/>
        <v>291626.31703806319</v>
      </c>
      <c r="E95" s="52">
        <f t="shared" si="9"/>
        <v>-7792511.680705159</v>
      </c>
      <c r="G95" s="54"/>
      <c r="H95" s="54"/>
      <c r="I95" s="54"/>
      <c r="J95" s="54"/>
    </row>
    <row r="96" spans="1:10" x14ac:dyDescent="0.2">
      <c r="A96" s="51">
        <f t="shared" si="10"/>
        <v>77</v>
      </c>
      <c r="B96" s="52">
        <f t="shared" si="6"/>
        <v>29095.329309714754</v>
      </c>
      <c r="C96" s="53">
        <f t="shared" si="7"/>
        <v>-272737.90882468061</v>
      </c>
      <c r="D96" s="52">
        <f t="shared" si="8"/>
        <v>301833.23813439533</v>
      </c>
      <c r="E96" s="52">
        <f t="shared" si="9"/>
        <v>-8094344.9188395543</v>
      </c>
      <c r="G96" s="54"/>
      <c r="H96" s="54"/>
      <c r="I96" s="54"/>
      <c r="J96" s="54"/>
    </row>
    <row r="97" spans="1:10" x14ac:dyDescent="0.2">
      <c r="A97" s="51">
        <f t="shared" si="10"/>
        <v>78</v>
      </c>
      <c r="B97" s="52">
        <f t="shared" si="6"/>
        <v>29095.329309714754</v>
      </c>
      <c r="C97" s="53">
        <f t="shared" si="7"/>
        <v>-283302.07215938444</v>
      </c>
      <c r="D97" s="52">
        <f t="shared" si="8"/>
        <v>312397.40146909922</v>
      </c>
      <c r="E97" s="52">
        <f t="shared" si="9"/>
        <v>-8406742.3203086536</v>
      </c>
      <c r="G97" s="54"/>
      <c r="H97" s="54"/>
      <c r="I97" s="54"/>
      <c r="J97" s="54"/>
    </row>
    <row r="98" spans="1:10" x14ac:dyDescent="0.2">
      <c r="A98" s="51">
        <f t="shared" si="10"/>
        <v>79</v>
      </c>
      <c r="B98" s="52">
        <f t="shared" si="6"/>
        <v>29095.329309714754</v>
      </c>
      <c r="C98" s="53">
        <f t="shared" si="7"/>
        <v>-294235.98121080291</v>
      </c>
      <c r="D98" s="52">
        <f t="shared" si="8"/>
        <v>323331.31052051764</v>
      </c>
      <c r="E98" s="52">
        <f t="shared" si="9"/>
        <v>-8730073.6308291703</v>
      </c>
      <c r="G98" s="54"/>
      <c r="H98" s="54"/>
      <c r="I98" s="54"/>
      <c r="J98" s="54"/>
    </row>
    <row r="99" spans="1:10" x14ac:dyDescent="0.2">
      <c r="A99" s="51">
        <f t="shared" si="10"/>
        <v>80</v>
      </c>
      <c r="B99" s="52">
        <f t="shared" si="6"/>
        <v>29095.329309714754</v>
      </c>
      <c r="C99" s="53">
        <f t="shared" si="7"/>
        <v>-305552.57707902096</v>
      </c>
      <c r="D99" s="52">
        <f t="shared" si="8"/>
        <v>334647.90638873575</v>
      </c>
      <c r="E99" s="52">
        <f t="shared" si="9"/>
        <v>-9064721.5372179057</v>
      </c>
      <c r="G99" s="54"/>
      <c r="H99" s="54"/>
      <c r="I99" s="54"/>
      <c r="J99" s="54"/>
    </row>
    <row r="100" spans="1:10" x14ac:dyDescent="0.2">
      <c r="A100" s="51">
        <f t="shared" si="10"/>
        <v>81</v>
      </c>
      <c r="B100" s="52">
        <f t="shared" si="6"/>
        <v>29095.329309714754</v>
      </c>
      <c r="C100" s="53">
        <f t="shared" si="7"/>
        <v>-317265.25380262674</v>
      </c>
      <c r="D100" s="52">
        <f t="shared" si="8"/>
        <v>346360.58311234147</v>
      </c>
      <c r="E100" s="52">
        <f t="shared" si="9"/>
        <v>-9411082.120330248</v>
      </c>
      <c r="G100" s="54"/>
      <c r="H100" s="54"/>
      <c r="I100" s="54"/>
      <c r="J100" s="54"/>
    </row>
    <row r="101" spans="1:10" x14ac:dyDescent="0.2">
      <c r="A101" s="51">
        <f t="shared" si="10"/>
        <v>82</v>
      </c>
      <c r="B101" s="52">
        <f t="shared" si="6"/>
        <v>29095.329309714754</v>
      </c>
      <c r="C101" s="53">
        <f t="shared" si="7"/>
        <v>-329387.87421155872</v>
      </c>
      <c r="D101" s="52">
        <f t="shared" si="8"/>
        <v>358483.20352127345</v>
      </c>
      <c r="E101" s="52">
        <f t="shared" si="9"/>
        <v>-9769565.3238515221</v>
      </c>
      <c r="G101" s="54"/>
      <c r="H101" s="54"/>
      <c r="I101" s="54"/>
      <c r="J101" s="54"/>
    </row>
    <row r="102" spans="1:10" x14ac:dyDescent="0.2">
      <c r="A102" s="51">
        <f t="shared" si="10"/>
        <v>83</v>
      </c>
      <c r="B102" s="52">
        <f t="shared" si="6"/>
        <v>29095.329309714754</v>
      </c>
      <c r="C102" s="53">
        <f t="shared" si="7"/>
        <v>-341934.78633480333</v>
      </c>
      <c r="D102" s="52">
        <f t="shared" si="8"/>
        <v>371030.11564451805</v>
      </c>
      <c r="E102" s="52">
        <f t="shared" si="9"/>
        <v>-10140595.43949604</v>
      </c>
      <c r="G102" s="54"/>
      <c r="H102" s="54"/>
      <c r="I102" s="54"/>
      <c r="J102" s="54"/>
    </row>
    <row r="103" spans="1:10" x14ac:dyDescent="0.2">
      <c r="A103" s="51">
        <f t="shared" si="10"/>
        <v>84</v>
      </c>
      <c r="B103" s="52">
        <f t="shared" si="6"/>
        <v>29095.329309714754</v>
      </c>
      <c r="C103" s="53">
        <f t="shared" si="7"/>
        <v>-354920.84038236144</v>
      </c>
      <c r="D103" s="52">
        <f t="shared" si="8"/>
        <v>384016.16969207616</v>
      </c>
      <c r="E103" s="52">
        <f t="shared" si="9"/>
        <v>-10524611.609188117</v>
      </c>
      <c r="G103" s="54"/>
      <c r="H103" s="54"/>
      <c r="I103" s="54"/>
      <c r="J103" s="54"/>
    </row>
  </sheetData>
  <mergeCells count="17">
    <mergeCell ref="A7:E8"/>
    <mergeCell ref="B2:E2"/>
    <mergeCell ref="G2:K5"/>
    <mergeCell ref="B3:E3"/>
    <mergeCell ref="B4:E4"/>
    <mergeCell ref="B5:E5"/>
    <mergeCell ref="L12:M12"/>
    <mergeCell ref="A13:D13"/>
    <mergeCell ref="G13:I13"/>
    <mergeCell ref="A14:D14"/>
    <mergeCell ref="G14:I14"/>
    <mergeCell ref="A15:D15"/>
    <mergeCell ref="G15:I15"/>
    <mergeCell ref="A16:E16"/>
    <mergeCell ref="G18:J18"/>
    <mergeCell ref="A12:D12"/>
    <mergeCell ref="G12:J12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6A6A50527BC44B2C79EC7DBF3908C" ma:contentTypeVersion="14" ma:contentTypeDescription="Crear nuevo documento." ma:contentTypeScope="" ma:versionID="ec4dd5b6ab54cad94bda766b9e1a6371">
  <xsd:schema xmlns:xsd="http://www.w3.org/2001/XMLSchema" xmlns:xs="http://www.w3.org/2001/XMLSchema" xmlns:p="http://schemas.microsoft.com/office/2006/metadata/properties" xmlns:ns3="47af6cc0-a854-4d94-ba36-162bdd8fbf39" xmlns:ns4="89e1ac04-a524-4bfe-ae2f-250465b0e2f1" targetNamespace="http://schemas.microsoft.com/office/2006/metadata/properties" ma:root="true" ma:fieldsID="c7a06899de23be060ade40721dd7c6b3" ns3:_="" ns4:_="">
    <xsd:import namespace="47af6cc0-a854-4d94-ba36-162bdd8fbf39"/>
    <xsd:import namespace="89e1ac04-a524-4bfe-ae2f-250465b0e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f6cc0-a854-4d94-ba36-162bdd8fbf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ac04-a524-4bfe-ae2f-250465b0e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905AD0-2219-44AF-B16B-6C9BEFAF0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af6cc0-a854-4d94-ba36-162bdd8fbf39"/>
    <ds:schemaRef ds:uri="89e1ac04-a524-4bfe-ae2f-250465b0e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BE5DD7-92B4-481B-9FF2-C17E27E67B95}">
  <ds:schemaRefs>
    <ds:schemaRef ds:uri="http://schemas.microsoft.com/office/2006/documentManagement/types"/>
    <ds:schemaRef ds:uri="http://schemas.openxmlformats.org/package/2006/metadata/core-properties"/>
    <ds:schemaRef ds:uri="89e1ac04-a524-4bfe-ae2f-250465b0e2f1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47af6cc0-a854-4d94-ba36-162bdd8fbf3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0DB302-192F-4FE5-B20A-97EDC41EB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PARAMETROS</vt:lpstr>
      <vt:lpstr>JUNIO</vt:lpstr>
      <vt:lpstr>BASE PASAJEROS</vt:lpstr>
      <vt:lpstr>BASE CONDUCTORES</vt:lpstr>
      <vt:lpstr>MATRIZ</vt:lpstr>
      <vt:lpstr>TABLA DINAMICA DE PAGOS </vt:lpstr>
      <vt:lpstr>PRESTAMOS CONDUCTORES</vt:lpstr>
      <vt:lpstr>BASE BANCOS</vt:lpstr>
      <vt:lpstr>LIQUIDACIÓN DE PRESTAMOS</vt:lpstr>
      <vt:lpstr>Hoja de pruebas</vt:lpstr>
      <vt:lpstr>Melissa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RapidExpress</dc:creator>
  <cp:lastModifiedBy>Melissa Gomez Florez</cp:lastModifiedBy>
  <dcterms:created xsi:type="dcterms:W3CDTF">2020-09-25T00:43:37Z</dcterms:created>
  <dcterms:modified xsi:type="dcterms:W3CDTF">2021-07-02T18:36:26Z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0x010100BA26A6A50527BC44B2C79EC7DBF3908C</vt:lpwstr>
  </property>
</Properties>
</file>