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 UPNYK\## Penelitian dan PKM On Going\Lomba Mahasiswa\Maulana dan Gita\Data MekBat\Data MekBat\"/>
    </mc:Choice>
  </mc:AlternateContent>
  <xr:revisionPtr revIDLastSave="0" documentId="13_ncr:1_{5F519EB0-7776-49D2-B256-4A15B037CE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MR-SMR" sheetId="6" r:id="rId1"/>
    <sheet name="RMR" sheetId="4" r:id="rId2"/>
    <sheet name="RQD" sheetId="5" r:id="rId3"/>
    <sheet name="SMR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4" i="6" l="1"/>
  <c r="AA14" i="6" s="1"/>
  <c r="X13" i="6"/>
  <c r="AA13" i="6" s="1"/>
  <c r="X12" i="6"/>
  <c r="AA12" i="6" s="1"/>
  <c r="X11" i="6"/>
  <c r="AA11" i="6" s="1"/>
  <c r="X10" i="6"/>
  <c r="AA10" i="6" s="1"/>
  <c r="X9" i="6"/>
  <c r="AA9" i="6" s="1"/>
  <c r="X8" i="6"/>
  <c r="AA8" i="6" s="1"/>
  <c r="X7" i="6"/>
  <c r="AA7" i="6" s="1"/>
  <c r="X6" i="6"/>
  <c r="AA6" i="6" s="1"/>
  <c r="X5" i="6"/>
  <c r="AA5" i="6" s="1"/>
  <c r="X4" i="6"/>
  <c r="AA4" i="6" s="1"/>
  <c r="X3" i="6"/>
  <c r="AA3" i="6" s="1"/>
  <c r="X2" i="6"/>
  <c r="AA2" i="6" s="1"/>
  <c r="AE8" i="4" l="1"/>
  <c r="AE9" i="4" s="1"/>
  <c r="X11" i="4"/>
  <c r="X12" i="4"/>
  <c r="X13" i="4"/>
  <c r="X14" i="4"/>
  <c r="X15" i="4"/>
  <c r="X16" i="4"/>
  <c r="X17" i="4"/>
  <c r="X18" i="4"/>
  <c r="X19" i="4"/>
  <c r="X20" i="4"/>
  <c r="X21" i="4"/>
  <c r="X22" i="4"/>
  <c r="X10" i="4"/>
  <c r="H5" i="3" l="1"/>
  <c r="H6" i="3"/>
  <c r="H7" i="3"/>
  <c r="H8" i="3"/>
  <c r="H9" i="3"/>
  <c r="H10" i="3"/>
  <c r="H11" i="3"/>
  <c r="H12" i="3"/>
  <c r="H13" i="3"/>
  <c r="H14" i="3"/>
  <c r="H15" i="3"/>
  <c r="H16" i="3"/>
  <c r="H4" i="3"/>
  <c r="N15" i="3" l="1"/>
  <c r="O15" i="3"/>
  <c r="P15" i="3" s="1"/>
  <c r="V15" i="3"/>
  <c r="W15" i="3"/>
  <c r="L16" i="3"/>
  <c r="F13" i="5"/>
  <c r="H13" i="5" s="1"/>
  <c r="J13" i="5" s="1"/>
  <c r="I13" i="5"/>
  <c r="K13" i="5" s="1"/>
  <c r="L13" i="5"/>
  <c r="N13" i="5"/>
  <c r="F14" i="5"/>
  <c r="H14" i="5" s="1"/>
  <c r="J14" i="5" s="1"/>
  <c r="I14" i="5"/>
  <c r="K14" i="5" s="1"/>
  <c r="L14" i="5"/>
  <c r="N14" i="5"/>
  <c r="S14" i="5"/>
  <c r="F15" i="5"/>
  <c r="H15" i="5" s="1"/>
  <c r="J15" i="5" s="1"/>
  <c r="I15" i="5"/>
  <c r="K15" i="5" s="1"/>
  <c r="L15" i="5"/>
  <c r="N15" i="5"/>
  <c r="S15" i="5"/>
  <c r="F16" i="5"/>
  <c r="H16" i="5" s="1"/>
  <c r="J16" i="5" s="1"/>
  <c r="I16" i="5"/>
  <c r="K16" i="5" s="1"/>
  <c r="L16" i="5"/>
  <c r="N16" i="5"/>
  <c r="S16" i="5"/>
  <c r="F17" i="5"/>
  <c r="H17" i="5"/>
  <c r="J17" i="5" s="1"/>
  <c r="I17" i="5"/>
  <c r="K17" i="5" s="1"/>
  <c r="L17" i="5"/>
  <c r="N17" i="5"/>
  <c r="F20" i="5"/>
  <c r="H20" i="5" s="1"/>
  <c r="J20" i="5" s="1"/>
  <c r="I20" i="5"/>
  <c r="K20" i="5" s="1"/>
  <c r="L20" i="5"/>
  <c r="N20" i="5"/>
  <c r="F21" i="5"/>
  <c r="H21" i="5" s="1"/>
  <c r="J21" i="5" s="1"/>
  <c r="I21" i="5"/>
  <c r="M21" i="5" s="1"/>
  <c r="L21" i="5"/>
  <c r="N21" i="5"/>
  <c r="S21" i="5"/>
  <c r="F24" i="5"/>
  <c r="H24" i="5" s="1"/>
  <c r="J24" i="5" s="1"/>
  <c r="I24" i="5"/>
  <c r="K24" i="5" s="1"/>
  <c r="L24" i="5"/>
  <c r="N24" i="5"/>
  <c r="F25" i="5"/>
  <c r="H25" i="5" s="1"/>
  <c r="J25" i="5" s="1"/>
  <c r="I25" i="5"/>
  <c r="M25" i="5" s="1"/>
  <c r="L25" i="5"/>
  <c r="N25" i="5"/>
  <c r="S25" i="5"/>
  <c r="F26" i="5"/>
  <c r="H26" i="5" s="1"/>
  <c r="J26" i="5" s="1"/>
  <c r="I26" i="5"/>
  <c r="M26" i="5" s="1"/>
  <c r="L26" i="5"/>
  <c r="N26" i="5"/>
  <c r="S26" i="5"/>
  <c r="F27" i="5"/>
  <c r="H27" i="5" s="1"/>
  <c r="J27" i="5" s="1"/>
  <c r="I27" i="5"/>
  <c r="M27" i="5" s="1"/>
  <c r="L27" i="5"/>
  <c r="N27" i="5"/>
  <c r="F30" i="5"/>
  <c r="H30" i="5" s="1"/>
  <c r="J30" i="5" s="1"/>
  <c r="I30" i="5"/>
  <c r="M30" i="5" s="1"/>
  <c r="L30" i="5"/>
  <c r="N30" i="5"/>
  <c r="S30" i="5"/>
  <c r="F31" i="5"/>
  <c r="H31" i="5" s="1"/>
  <c r="J31" i="5" s="1"/>
  <c r="I31" i="5"/>
  <c r="M31" i="5" s="1"/>
  <c r="L31" i="5"/>
  <c r="N31" i="5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23" i="4" l="1"/>
  <c r="K25" i="5"/>
  <c r="O25" i="5" s="1"/>
  <c r="P25" i="5" s="1"/>
  <c r="K27" i="5"/>
  <c r="O27" i="5" s="1"/>
  <c r="P27" i="5" s="1"/>
  <c r="K31" i="5"/>
  <c r="O31" i="5" s="1"/>
  <c r="P31" i="5" s="1"/>
  <c r="K30" i="5"/>
  <c r="O30" i="5" s="1"/>
  <c r="P30" i="5" s="1"/>
  <c r="K26" i="5"/>
  <c r="O26" i="5" s="1"/>
  <c r="P26" i="5" s="1"/>
  <c r="T27" i="5" s="1"/>
  <c r="K21" i="5"/>
  <c r="O21" i="5" s="1"/>
  <c r="P21" i="5" s="1"/>
  <c r="M16" i="5"/>
  <c r="O16" i="5" s="1"/>
  <c r="P16" i="5" s="1"/>
  <c r="M20" i="5"/>
  <c r="O20" i="5" s="1"/>
  <c r="P20" i="5" s="1"/>
  <c r="T21" i="5" s="1"/>
  <c r="M13" i="5"/>
  <c r="O13" i="5" s="1"/>
  <c r="P13" i="5" s="1"/>
  <c r="M17" i="5"/>
  <c r="O17" i="5" s="1"/>
  <c r="P17" i="5" s="1"/>
  <c r="M15" i="5"/>
  <c r="O15" i="5" s="1"/>
  <c r="P15" i="5" s="1"/>
  <c r="M14" i="5"/>
  <c r="O14" i="5" s="1"/>
  <c r="P14" i="5" s="1"/>
  <c r="M24" i="5"/>
  <c r="O24" i="5" s="1"/>
  <c r="P24" i="5" s="1"/>
  <c r="T25" i="5" s="1"/>
  <c r="L4" i="3"/>
  <c r="M4" i="3" s="1"/>
  <c r="N4" i="3"/>
  <c r="O4" i="3"/>
  <c r="P4" i="3" s="1"/>
  <c r="V4" i="3"/>
  <c r="W4" i="3"/>
  <c r="L5" i="3"/>
  <c r="M5" i="3" s="1"/>
  <c r="N5" i="3"/>
  <c r="O5" i="3"/>
  <c r="P5" i="3" s="1"/>
  <c r="V5" i="3"/>
  <c r="W5" i="3"/>
  <c r="L6" i="3"/>
  <c r="M6" i="3" s="1"/>
  <c r="N6" i="3"/>
  <c r="O6" i="3"/>
  <c r="P6" i="3" s="1"/>
  <c r="V6" i="3"/>
  <c r="W6" i="3"/>
  <c r="L7" i="3"/>
  <c r="M7" i="3" s="1"/>
  <c r="N7" i="3"/>
  <c r="O7" i="3"/>
  <c r="P7" i="3" s="1"/>
  <c r="V7" i="3"/>
  <c r="W7" i="3"/>
  <c r="L8" i="3"/>
  <c r="M8" i="3" s="1"/>
  <c r="N8" i="3"/>
  <c r="O8" i="3"/>
  <c r="P8" i="3" s="1"/>
  <c r="V8" i="3"/>
  <c r="W8" i="3"/>
  <c r="L9" i="3"/>
  <c r="M9" i="3" s="1"/>
  <c r="N9" i="3"/>
  <c r="O9" i="3"/>
  <c r="P9" i="3"/>
  <c r="V9" i="3"/>
  <c r="W9" i="3"/>
  <c r="L10" i="3"/>
  <c r="M10" i="3" s="1"/>
  <c r="N10" i="3"/>
  <c r="O10" i="3"/>
  <c r="P10" i="3" s="1"/>
  <c r="V10" i="3"/>
  <c r="W10" i="3"/>
  <c r="L11" i="3"/>
  <c r="M11" i="3" s="1"/>
  <c r="N11" i="3"/>
  <c r="O11" i="3"/>
  <c r="P11" i="3" s="1"/>
  <c r="V11" i="3"/>
  <c r="W11" i="3"/>
  <c r="L12" i="3"/>
  <c r="M12" i="3" s="1"/>
  <c r="N12" i="3"/>
  <c r="O12" i="3"/>
  <c r="P12" i="3"/>
  <c r="V12" i="3"/>
  <c r="W12" i="3"/>
  <c r="L13" i="3"/>
  <c r="M13" i="3" s="1"/>
  <c r="N13" i="3"/>
  <c r="O13" i="3"/>
  <c r="P13" i="3" s="1"/>
  <c r="V13" i="3"/>
  <c r="W13" i="3"/>
  <c r="L14" i="3"/>
  <c r="M14" i="3" s="1"/>
  <c r="N14" i="3"/>
  <c r="O14" i="3"/>
  <c r="P14" i="3" s="1"/>
  <c r="V14" i="3"/>
  <c r="W14" i="3"/>
  <c r="L15" i="3"/>
  <c r="N16" i="3"/>
  <c r="O16" i="3"/>
  <c r="P16" i="3" s="1"/>
  <c r="V16" i="3"/>
  <c r="W16" i="3"/>
  <c r="T26" i="5" l="1"/>
  <c r="T31" i="5"/>
  <c r="T30" i="5"/>
  <c r="U33" i="5" s="1"/>
  <c r="U29" i="5"/>
  <c r="T16" i="5"/>
  <c r="U23" i="5"/>
  <c r="M16" i="3"/>
  <c r="R16" i="3" s="1"/>
  <c r="M15" i="3"/>
  <c r="R15" i="3" s="1"/>
  <c r="W17" i="3"/>
  <c r="T15" i="5"/>
  <c r="T14" i="5"/>
  <c r="T17" i="5"/>
  <c r="R9" i="3"/>
  <c r="R13" i="3"/>
  <c r="R10" i="3"/>
  <c r="R6" i="3"/>
  <c r="R14" i="3"/>
  <c r="R5" i="3"/>
  <c r="R11" i="3"/>
  <c r="R7" i="3"/>
  <c r="R12" i="3"/>
  <c r="R8" i="3"/>
  <c r="V17" i="3"/>
  <c r="R4" i="3"/>
  <c r="T15" i="3" l="1"/>
  <c r="S15" i="3"/>
  <c r="T10" i="3"/>
  <c r="S10" i="3"/>
  <c r="S16" i="3"/>
  <c r="T16" i="3"/>
  <c r="T7" i="3"/>
  <c r="S7" i="3"/>
  <c r="S8" i="3"/>
  <c r="T8" i="3"/>
  <c r="S5" i="3"/>
  <c r="T5" i="3"/>
  <c r="S13" i="3"/>
  <c r="T13" i="3"/>
  <c r="T4" i="3"/>
  <c r="S4" i="3"/>
  <c r="T6" i="3"/>
  <c r="S6" i="3"/>
  <c r="T11" i="3"/>
  <c r="S11" i="3"/>
  <c r="T12" i="3"/>
  <c r="S12" i="3"/>
  <c r="T14" i="3"/>
  <c r="S14" i="3"/>
  <c r="S9" i="3"/>
  <c r="T9" i="3"/>
  <c r="U19" i="5"/>
  <c r="V13" i="5" s="1"/>
  <c r="W13" i="5" s="1"/>
  <c r="X13" i="5" s="1"/>
  <c r="R17" i="3"/>
  <c r="T17" i="3" l="1"/>
  <c r="S17" i="3"/>
</calcChain>
</file>

<file path=xl/sharedStrings.xml><?xml version="1.0" encoding="utf-8"?>
<sst xmlns="http://schemas.openxmlformats.org/spreadsheetml/2006/main" count="528" uniqueCount="211">
  <si>
    <r>
      <rPr>
        <sz val="9"/>
        <rFont val="Arial MT"/>
        <family val="2"/>
      </rPr>
      <t>Meter</t>
    </r>
  </si>
  <si>
    <r>
      <rPr>
        <sz val="8.5"/>
        <rFont val="Arial MT"/>
        <family val="2"/>
      </rPr>
      <t>Bidang Diskontinuitas</t>
    </r>
  </si>
  <si>
    <r>
      <rPr>
        <sz val="9"/>
        <rFont val="Arial MT"/>
        <family val="2"/>
      </rPr>
      <t>Strength of Rock</t>
    </r>
  </si>
  <si>
    <r>
      <rPr>
        <sz val="9"/>
        <rFont val="Arial MT"/>
        <family val="2"/>
      </rPr>
      <t>RQD</t>
    </r>
  </si>
  <si>
    <r>
      <rPr>
        <sz val="9"/>
        <rFont val="Arial MT"/>
        <family val="2"/>
      </rPr>
      <t>Jarak antar diskontinuitas</t>
    </r>
  </si>
  <si>
    <r>
      <rPr>
        <sz val="9"/>
        <rFont val="Arial MT"/>
        <family val="2"/>
      </rPr>
      <t>Kondisi Diskontinuitas</t>
    </r>
  </si>
  <si>
    <r>
      <rPr>
        <sz val="9"/>
        <rFont val="Arial MT"/>
        <family val="2"/>
      </rPr>
      <t xml:space="preserve">BN
</t>
    </r>
    <r>
      <rPr>
        <sz val="9"/>
        <rFont val="Arial MT"/>
        <family val="2"/>
      </rPr>
      <t>Kondisi Diskon- tinuitas</t>
    </r>
  </si>
  <si>
    <r>
      <rPr>
        <sz val="9"/>
        <rFont val="Arial MT"/>
        <family val="2"/>
      </rPr>
      <t>Kondisi Air Tanah</t>
    </r>
  </si>
  <si>
    <r>
      <rPr>
        <sz val="9"/>
        <rFont val="Arial MT"/>
        <family val="2"/>
      </rPr>
      <t>RMR</t>
    </r>
  </si>
  <si>
    <r>
      <rPr>
        <sz val="8.5"/>
        <rFont val="Arial MT"/>
        <family val="2"/>
      </rPr>
      <t>Strike</t>
    </r>
  </si>
  <si>
    <r>
      <rPr>
        <sz val="8.5"/>
        <rFont val="Arial MT"/>
        <family val="2"/>
      </rPr>
      <t>Dip</t>
    </r>
  </si>
  <si>
    <r>
      <rPr>
        <sz val="9"/>
        <rFont val="Arial MT"/>
        <family val="2"/>
      </rPr>
      <t>Intact Rock Strength</t>
    </r>
  </si>
  <si>
    <r>
      <rPr>
        <sz val="9"/>
        <rFont val="Arial MT"/>
        <family val="2"/>
      </rPr>
      <t>BN</t>
    </r>
  </si>
  <si>
    <r>
      <rPr>
        <sz val="9"/>
        <rFont val="Arial MT"/>
        <family val="2"/>
      </rPr>
      <t>Nilai (%)</t>
    </r>
  </si>
  <si>
    <r>
      <rPr>
        <sz val="9"/>
        <rFont val="Arial MT"/>
        <family val="2"/>
      </rPr>
      <t>Nilai (m)</t>
    </r>
  </si>
  <si>
    <r>
      <rPr>
        <sz val="9"/>
        <rFont val="Arial MT"/>
        <family val="2"/>
      </rPr>
      <t>Panjang</t>
    </r>
  </si>
  <si>
    <r>
      <rPr>
        <sz val="9"/>
        <rFont val="Arial MT"/>
        <family val="2"/>
      </rPr>
      <t>Bukaan</t>
    </r>
  </si>
  <si>
    <r>
      <rPr>
        <sz val="9"/>
        <rFont val="Arial MT"/>
        <family val="2"/>
      </rPr>
      <t>Kekasaran</t>
    </r>
  </si>
  <si>
    <r>
      <rPr>
        <sz val="9"/>
        <rFont val="Arial MT"/>
        <family val="2"/>
      </rPr>
      <t>Isian</t>
    </r>
  </si>
  <si>
    <r>
      <rPr>
        <sz val="9"/>
        <rFont val="Arial MT"/>
        <family val="2"/>
      </rPr>
      <t>Pelapukan</t>
    </r>
  </si>
  <si>
    <r>
      <rPr>
        <sz val="9"/>
        <rFont val="Arial MT"/>
        <family val="2"/>
      </rPr>
      <t>Kondisi</t>
    </r>
  </si>
  <si>
    <r>
      <rPr>
        <sz val="9"/>
        <rFont val="Arial MT"/>
        <family val="2"/>
      </rPr>
      <t>Nilai Total</t>
    </r>
  </si>
  <si>
    <r>
      <rPr>
        <sz val="9"/>
        <rFont val="Arial MT"/>
        <family val="2"/>
      </rPr>
      <t>Kategori</t>
    </r>
  </si>
  <si>
    <r>
      <rPr>
        <sz val="9"/>
        <rFont val="Arial MT"/>
        <family val="2"/>
      </rPr>
      <t>Nilai</t>
    </r>
  </si>
  <si>
    <t>RMR</t>
  </si>
  <si>
    <t>Lereng</t>
  </si>
  <si>
    <t>SMR</t>
  </si>
  <si>
    <t>Jenis keruntuhan</t>
  </si>
  <si>
    <t>Diskontinuitas</t>
  </si>
  <si>
    <t xml:space="preserve"> Nilai F1</t>
  </si>
  <si>
    <t>Nilai F2</t>
  </si>
  <si>
    <t>Nilai F3</t>
  </si>
  <si>
    <t>Nilai F4</t>
  </si>
  <si>
    <t>Strike</t>
  </si>
  <si>
    <t>Dip</t>
  </si>
  <si>
    <t>Laubscher</t>
  </si>
  <si>
    <t>Hall</t>
  </si>
  <si>
    <t>Orr</t>
  </si>
  <si>
    <t>Strike J-S</t>
  </si>
  <si>
    <t>BN</t>
  </si>
  <si>
    <t>Dip J-S</t>
  </si>
  <si>
    <t>Nilai</t>
  </si>
  <si>
    <t>Kelas</t>
  </si>
  <si>
    <t>Wedge</t>
  </si>
  <si>
    <t>Rata-Rata =</t>
  </si>
  <si>
    <t>Romana</t>
  </si>
  <si>
    <t>Meter</t>
  </si>
  <si>
    <t>Diskon-tinuitas</t>
  </si>
  <si>
    <t>Planar</t>
  </si>
  <si>
    <t>Toppling</t>
  </si>
  <si>
    <t>Intersection</t>
  </si>
  <si>
    <t>Trend</t>
  </si>
  <si>
    <t>Plunge</t>
  </si>
  <si>
    <t>Dip Direction</t>
  </si>
  <si>
    <t>Failure</t>
  </si>
  <si>
    <t>Lokasi                     : Sambirejo, Prambanan</t>
  </si>
  <si>
    <r>
      <rPr>
        <b/>
        <u/>
        <sz val="10"/>
        <rFont val="Times New Roman"/>
        <family val="1"/>
      </rPr>
      <t>Geometri</t>
    </r>
  </si>
  <si>
    <t>Koordinat                : 7 47 20 S 110 31 04.2 E</t>
  </si>
  <si>
    <t>Tanggal/Waktu       : 21/5/2023</t>
  </si>
  <si>
    <t>Cuaca                      : Cerah</t>
  </si>
  <si>
    <t>Slope Direction    : N015E</t>
  </si>
  <si>
    <t>15 m</t>
  </si>
  <si>
    <t>Litologi                   : Tuff, Lapili</t>
  </si>
  <si>
    <r>
      <rPr>
        <sz val="8.5"/>
        <rFont val="Arial MT"/>
        <family val="2"/>
      </rPr>
      <t>Set / Family of Discon- tinuity</t>
    </r>
  </si>
  <si>
    <t>RQD</t>
  </si>
  <si>
    <t>1A</t>
  </si>
  <si>
    <t>R3</t>
  </si>
  <si>
    <t>25-50</t>
  </si>
  <si>
    <t>R</t>
  </si>
  <si>
    <t>Clay</t>
  </si>
  <si>
    <t>W2</t>
  </si>
  <si>
    <t>2A</t>
  </si>
  <si>
    <t>3B</t>
  </si>
  <si>
    <t>-</t>
  </si>
  <si>
    <t>4C</t>
  </si>
  <si>
    <t>5C</t>
  </si>
  <si>
    <t>λ</t>
  </si>
  <si>
    <t>6C</t>
  </si>
  <si>
    <t>7A</t>
  </si>
  <si>
    <t>SM</t>
  </si>
  <si>
    <t>8A</t>
  </si>
  <si>
    <t>9D</t>
  </si>
  <si>
    <t>10D</t>
  </si>
  <si>
    <t>11A</t>
  </si>
  <si>
    <t>SR</t>
  </si>
  <si>
    <t>13C</t>
  </si>
  <si>
    <t>12B</t>
  </si>
  <si>
    <t>B</t>
  </si>
  <si>
    <t>dip dari scan line</t>
  </si>
  <si>
    <t>βs</t>
  </si>
  <si>
    <t>azimuth scanline</t>
  </si>
  <si>
    <t>arah dip scan line</t>
  </si>
  <si>
    <t>αs</t>
  </si>
  <si>
    <t>dip dari kekar</t>
  </si>
  <si>
    <t>βd</t>
  </si>
  <si>
    <t>arah dip dari kekar</t>
  </si>
  <si>
    <t>αd</t>
  </si>
  <si>
    <t>dip dari garis normal</t>
  </si>
  <si>
    <t>βn</t>
  </si>
  <si>
    <t>arah dip dari garis normal</t>
  </si>
  <si>
    <t>αn</t>
  </si>
  <si>
    <t>sudut normal harusnya di bentang tegak lurus kekar, koreksi rqd mengeakluruskan kekar</t>
  </si>
  <si>
    <t>sudut normal</t>
  </si>
  <si>
    <t>θ</t>
  </si>
  <si>
    <t>Keterangan</t>
  </si>
  <si>
    <t>D</t>
  </si>
  <si>
    <t>C</t>
  </si>
  <si>
    <t>A</t>
  </si>
  <si>
    <r>
      <t>90-</t>
    </r>
    <r>
      <rPr>
        <b/>
        <sz val="11"/>
        <color theme="1"/>
        <rFont val="Calibri"/>
        <family val="2"/>
        <scheme val="minor"/>
      </rPr>
      <t>dip</t>
    </r>
  </si>
  <si>
    <t>αd+180</t>
  </si>
  <si>
    <t>(…...°)</t>
  </si>
  <si>
    <t>(N….....°E)</t>
  </si>
  <si>
    <t>(m)</t>
  </si>
  <si>
    <t>RQD (%)</t>
  </si>
  <si>
    <t>Rata-rata spasi (m)</t>
  </si>
  <si>
    <t>dxw (m)</t>
  </si>
  <si>
    <t>d i-m (m)</t>
  </si>
  <si>
    <t>J i-m (m)</t>
  </si>
  <si>
    <t>i-m</t>
  </si>
  <si>
    <t>abs cos (θ)</t>
  </si>
  <si>
    <t>sin βs</t>
  </si>
  <si>
    <t>sin βn</t>
  </si>
  <si>
    <t>cos βs</t>
  </si>
  <si>
    <t>cos βn</t>
  </si>
  <si>
    <t>cos (αn - αs)</t>
  </si>
  <si>
    <t xml:space="preserve">Strike </t>
  </si>
  <si>
    <t>Distance</t>
  </si>
  <si>
    <t>No. joint</t>
  </si>
  <si>
    <t>Tipe Join set</t>
  </si>
  <si>
    <t>No</t>
  </si>
  <si>
    <t>jarak antar kekar perfamily</t>
  </si>
  <si>
    <t>jarak antar kekar pada umumnya</t>
  </si>
  <si>
    <t>plunge scanline</t>
  </si>
  <si>
    <t>azimuth zcanline</t>
  </si>
  <si>
    <t>jarak terduga</t>
  </si>
  <si>
    <t>jarak semu</t>
  </si>
  <si>
    <t>Azimuth</t>
  </si>
  <si>
    <t>Scanline Plunge</t>
  </si>
  <si>
    <t>Scanline Length</t>
  </si>
  <si>
    <t>Elevation</t>
  </si>
  <si>
    <t>Northing (y)</t>
  </si>
  <si>
    <t>Easting (x)</t>
  </si>
  <si>
    <t>Sambirejo</t>
  </si>
  <si>
    <t>Location</t>
  </si>
  <si>
    <t>Time</t>
  </si>
  <si>
    <t>Day/Date</t>
  </si>
  <si>
    <t>N230E</t>
  </si>
  <si>
    <t>Perhitungan RMR</t>
  </si>
  <si>
    <t>Tinggi Lereng      : 9,6 m</t>
  </si>
  <si>
    <t>Rata-Rata</t>
  </si>
  <si>
    <t>Good</t>
  </si>
  <si>
    <t>No Filling</t>
  </si>
  <si>
    <t>Dry</t>
  </si>
  <si>
    <t>Nilai (m)</t>
  </si>
  <si>
    <t>Very Good</t>
  </si>
  <si>
    <t>No Joint</t>
  </si>
  <si>
    <t>Joint Set</t>
  </si>
  <si>
    <t>Panjang :</t>
  </si>
  <si>
    <t>UCS (Mpa)</t>
  </si>
  <si>
    <t>Scanline</t>
  </si>
  <si>
    <t>Azimuth:</t>
  </si>
  <si>
    <t>Plunge  :</t>
  </si>
  <si>
    <t>Slope                  : 73</t>
  </si>
  <si>
    <t>jumlah joint/panjang scanline</t>
  </si>
  <si>
    <t>Kategori</t>
  </si>
  <si>
    <t>Joint_ID</t>
  </si>
  <si>
    <t>12C</t>
  </si>
  <si>
    <t>Strike_Discontinuity</t>
  </si>
  <si>
    <t>Joint_Set</t>
  </si>
  <si>
    <t>Intact_Rock_Strength</t>
  </si>
  <si>
    <t>UCS(MPa)_Strength</t>
  </si>
  <si>
    <r>
      <t>BN</t>
    </r>
    <r>
      <rPr>
        <sz val="9"/>
        <rFont val="Arial MT"/>
      </rPr>
      <t>_Strength</t>
    </r>
  </si>
  <si>
    <t>RQD_Value(%)</t>
  </si>
  <si>
    <r>
      <rPr>
        <sz val="9"/>
        <rFont val="Arial MT"/>
        <family val="2"/>
      </rPr>
      <t>BN</t>
    </r>
    <r>
      <rPr>
        <sz val="9"/>
        <rFont val="Arial MT"/>
      </rPr>
      <t>_RQD</t>
    </r>
  </si>
  <si>
    <t>Joint_Spacing_Value(m)</t>
  </si>
  <si>
    <t>BN_Joint_Spacing</t>
  </si>
  <si>
    <t>Joint_Length_Value(m)</t>
  </si>
  <si>
    <t>BN_Joint_Length</t>
  </si>
  <si>
    <t>Joint_Aperture_Value</t>
  </si>
  <si>
    <r>
      <t>BN</t>
    </r>
    <r>
      <rPr>
        <sz val="9"/>
        <rFont val="Arial MT"/>
      </rPr>
      <t>_Joint_Aperture</t>
    </r>
  </si>
  <si>
    <t>Joint_Roughness_Value</t>
  </si>
  <si>
    <r>
      <rPr>
        <sz val="9"/>
        <rFont val="Arial MT"/>
        <family val="2"/>
      </rPr>
      <t>BN</t>
    </r>
    <r>
      <rPr>
        <sz val="9"/>
        <rFont val="Arial MT"/>
      </rPr>
      <t>_Joint_Roughness</t>
    </r>
  </si>
  <si>
    <t>Filling_Value</t>
  </si>
  <si>
    <t>BN_Filling</t>
  </si>
  <si>
    <t>Wheathering_Value</t>
  </si>
  <si>
    <r>
      <rPr>
        <sz val="9"/>
        <rFont val="Arial MT"/>
        <family val="2"/>
      </rPr>
      <t>BN_</t>
    </r>
    <r>
      <rPr>
        <sz val="9"/>
        <rFont val="Arial MT"/>
      </rPr>
      <t>Wheathering</t>
    </r>
  </si>
  <si>
    <t>BN_Total_Condition_Discontinuities</t>
  </si>
  <si>
    <t>Groundwater_Condition_Value</t>
  </si>
  <si>
    <r>
      <rPr>
        <sz val="9"/>
        <rFont val="Arial MT"/>
        <family val="2"/>
      </rPr>
      <t>BN</t>
    </r>
    <r>
      <rPr>
        <sz val="9"/>
        <rFont val="Arial MT"/>
      </rPr>
      <t>_Groundwater_Condition</t>
    </r>
  </si>
  <si>
    <t>RMR_Value</t>
  </si>
  <si>
    <t>RMR_Category</t>
  </si>
  <si>
    <t>Scanline_Length(m)</t>
  </si>
  <si>
    <r>
      <t>Dip_</t>
    </r>
    <r>
      <rPr>
        <sz val="8.5"/>
        <rFont val="Arial MT"/>
      </rPr>
      <t>Discontinuity</t>
    </r>
  </si>
  <si>
    <t>Dip_Direction_Discontinuity</t>
  </si>
  <si>
    <t>Slope_Azimuth</t>
  </si>
  <si>
    <t>Slope_Dip</t>
  </si>
  <si>
    <t>Landslide_Type</t>
  </si>
  <si>
    <t>II</t>
  </si>
  <si>
    <t>I</t>
  </si>
  <si>
    <t>Strike_J-S_F1</t>
  </si>
  <si>
    <t>BN_F1</t>
  </si>
  <si>
    <t>BN_F2</t>
  </si>
  <si>
    <t>BN_F3</t>
  </si>
  <si>
    <t>Dip_J-S_F3</t>
  </si>
  <si>
    <t>BN_F4</t>
  </si>
  <si>
    <t>SMR_Category</t>
  </si>
  <si>
    <t>SMR_Laubscher</t>
  </si>
  <si>
    <t>SMR_Hall</t>
  </si>
  <si>
    <t>SMR_Orr</t>
  </si>
  <si>
    <t>RMR_Class</t>
  </si>
  <si>
    <t>SMR_Class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</si>
</sst>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 MT"/>
    </font>
    <font>
      <sz val="8.5"/>
      <name val="Arial MT"/>
    </font>
    <font>
      <sz val="9"/>
      <name val="Arial MT"/>
      <family val="2"/>
    </font>
    <font>
      <sz val="8.5"/>
      <name val="Arial MT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</font>
    <font>
      <b/>
      <sz val="10"/>
      <name val="Times New Roman"/>
    </font>
    <font>
      <b/>
      <u/>
      <sz val="10"/>
      <name val="Times New Roman"/>
      <family val="1"/>
    </font>
    <font>
      <b/>
      <sz val="12"/>
      <name val="Times New Roman"/>
      <family val="1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8"/>
      <name val="Times New Roman"/>
      <charset val="204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21"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0" borderId="1" xfId="0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0" fillId="0" borderId="12" xfId="0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0" fontId="0" fillId="0" borderId="4" xfId="0" applyBorder="1" applyAlignment="1">
      <alignment horizontal="left" wrapText="1"/>
    </xf>
    <xf numFmtId="0" fontId="2" fillId="0" borderId="0" xfId="1"/>
    <xf numFmtId="0" fontId="2" fillId="2" borderId="1" xfId="1" applyFill="1" applyBorder="1" applyAlignment="1">
      <alignment horizontal="left" wrapText="1"/>
    </xf>
    <xf numFmtId="0" fontId="2" fillId="3" borderId="1" xfId="1" applyFill="1" applyBorder="1" applyAlignment="1">
      <alignment horizontal="left" wrapText="1"/>
    </xf>
    <xf numFmtId="0" fontId="7" fillId="3" borderId="1" xfId="1" applyFont="1" applyFill="1" applyBorder="1" applyAlignment="1">
      <alignment horizontal="left" wrapText="1"/>
    </xf>
    <xf numFmtId="0" fontId="2" fillId="4" borderId="1" xfId="1" applyFill="1" applyBorder="1" applyAlignment="1">
      <alignment horizontal="left" wrapText="1"/>
    </xf>
    <xf numFmtId="0" fontId="2" fillId="5" borderId="1" xfId="1" applyFill="1" applyBorder="1" applyAlignment="1">
      <alignment horizontal="left" wrapText="1"/>
    </xf>
    <xf numFmtId="0" fontId="2" fillId="6" borderId="12" xfId="1" applyFill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7" fillId="4" borderId="1" xfId="1" applyFont="1" applyFill="1" applyBorder="1" applyAlignment="1">
      <alignment horizontal="left" wrapText="1"/>
    </xf>
    <xf numFmtId="0" fontId="2" fillId="7" borderId="0" xfId="1" applyFill="1" applyAlignment="1">
      <alignment horizontal="center"/>
    </xf>
    <xf numFmtId="0" fontId="10" fillId="6" borderId="12" xfId="1" applyFont="1" applyFill="1" applyBorder="1" applyAlignment="1">
      <alignment horizontal="center" vertical="center"/>
    </xf>
    <xf numFmtId="0" fontId="2" fillId="0" borderId="12" xfId="1" applyBorder="1"/>
    <xf numFmtId="0" fontId="2" fillId="6" borderId="0" xfId="1" applyFill="1" applyAlignment="1">
      <alignment horizontal="center" vertical="center"/>
    </xf>
    <xf numFmtId="0" fontId="2" fillId="6" borderId="13" xfId="1" applyFill="1" applyBorder="1" applyAlignment="1">
      <alignment horizontal="center" vertical="center"/>
    </xf>
    <xf numFmtId="0" fontId="2" fillId="6" borderId="15" xfId="1" applyFill="1" applyBorder="1" applyAlignment="1">
      <alignment horizontal="center" vertical="center"/>
    </xf>
    <xf numFmtId="0" fontId="2" fillId="6" borderId="16" xfId="1" applyFill="1" applyBorder="1" applyAlignment="1">
      <alignment horizontal="center" vertical="center"/>
    </xf>
    <xf numFmtId="0" fontId="2" fillId="6" borderId="17" xfId="1" applyFill="1" applyBorder="1" applyAlignment="1">
      <alignment horizontal="center" vertical="center"/>
    </xf>
    <xf numFmtId="0" fontId="2" fillId="6" borderId="18" xfId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6" borderId="12" xfId="1" quotePrefix="1" applyFill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2" fillId="0" borderId="0" xfId="1" applyAlignment="1">
      <alignment wrapText="1"/>
    </xf>
    <xf numFmtId="14" fontId="2" fillId="0" borderId="0" xfId="1" applyNumberFormat="1" applyAlignment="1">
      <alignment horizontal="center" vertical="center"/>
    </xf>
    <xf numFmtId="0" fontId="0" fillId="0" borderId="0" xfId="0" applyAlignment="1">
      <alignment horizontal="left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2" fillId="0" borderId="12" xfId="1" applyBorder="1" applyAlignment="1">
      <alignment horizontal="center" vertical="center" wrapText="1"/>
    </xf>
    <xf numFmtId="0" fontId="2" fillId="0" borderId="15" xfId="1" applyBorder="1" applyAlignment="1">
      <alignment vertical="center" wrapText="1"/>
    </xf>
    <xf numFmtId="0" fontId="2" fillId="0" borderId="12" xfId="1" applyBorder="1" applyAlignment="1">
      <alignment vertical="center"/>
    </xf>
    <xf numFmtId="0" fontId="10" fillId="0" borderId="12" xfId="1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vertical="center"/>
    </xf>
    <xf numFmtId="20" fontId="2" fillId="0" borderId="0" xfId="1" applyNumberForma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1" applyAlignment="1">
      <alignment horizontal="center"/>
    </xf>
    <xf numFmtId="0" fontId="2" fillId="0" borderId="19" xfId="1" applyBorder="1" applyAlignment="1">
      <alignment horizontal="center" wrapText="1"/>
    </xf>
    <xf numFmtId="0" fontId="2" fillId="0" borderId="1" xfId="1" applyBorder="1" applyAlignment="1">
      <alignment horizontal="center" wrapText="1"/>
    </xf>
    <xf numFmtId="0" fontId="2" fillId="0" borderId="12" xfId="1" applyBorder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2" xfId="1" applyBorder="1" applyAlignment="1">
      <alignment vertical="center" wrapText="1"/>
    </xf>
    <xf numFmtId="0" fontId="17" fillId="0" borderId="12" xfId="1" applyFont="1" applyBorder="1" applyAlignment="1">
      <alignment vertical="center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 indent="14"/>
    </xf>
    <xf numFmtId="0" fontId="11" fillId="0" borderId="0" xfId="0" applyFont="1" applyAlignment="1">
      <alignment horizontal="right" vertical="top" wrapText="1"/>
    </xf>
    <xf numFmtId="0" fontId="12" fillId="0" borderId="0" xfId="0" applyFont="1" applyAlignment="1">
      <alignment horizontal="right" vertical="top" wrapText="1"/>
    </xf>
    <xf numFmtId="0" fontId="0" fillId="0" borderId="0" xfId="0" applyAlignment="1">
      <alignment horizontal="left" wrapText="1"/>
    </xf>
    <xf numFmtId="0" fontId="15" fillId="0" borderId="1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 indent="14"/>
    </xf>
    <xf numFmtId="0" fontId="14" fillId="0" borderId="0" xfId="0" applyFont="1" applyAlignment="1">
      <alignment horizontal="right" vertical="top" wrapText="1"/>
    </xf>
    <xf numFmtId="0" fontId="2" fillId="0" borderId="18" xfId="1" applyBorder="1" applyAlignment="1">
      <alignment horizontal="center" vertical="center" wrapText="1"/>
    </xf>
    <xf numFmtId="0" fontId="2" fillId="0" borderId="20" xfId="1" applyBorder="1" applyAlignment="1">
      <alignment horizontal="center" vertical="center" wrapText="1"/>
    </xf>
    <xf numFmtId="0" fontId="2" fillId="0" borderId="15" xfId="1" applyBorder="1" applyAlignment="1">
      <alignment horizontal="center" vertical="center" wrapText="1"/>
    </xf>
    <xf numFmtId="0" fontId="2" fillId="0" borderId="18" xfId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10" fillId="0" borderId="20" xfId="1" applyFont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/>
    </xf>
  </cellXfs>
  <cellStyles count="2">
    <cellStyle name="Normal" xfId="0" builtinId="0"/>
    <cellStyle name="Normal 2" xfId="1" xr:uid="{F6F0E339-A056-4C73-BCC5-B4A78F8377A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51</xdr:row>
      <xdr:rowOff>0</xdr:rowOff>
    </xdr:from>
    <xdr:ext cx="5937902" cy="10095934"/>
    <xdr:pic>
      <xdr:nvPicPr>
        <xdr:cNvPr id="2" name="image1.png">
          <a:extLst>
            <a:ext uri="{FF2B5EF4-FFF2-40B4-BE49-F238E27FC236}">
              <a16:creationId xmlns:a16="http://schemas.microsoft.com/office/drawing/2014/main" id="{55B7BAB7-FDC1-497D-868D-CE49B1A3F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72900"/>
          <a:ext cx="5937902" cy="100959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53</xdr:row>
      <xdr:rowOff>0</xdr:rowOff>
    </xdr:from>
    <xdr:ext cx="588303" cy="496871"/>
    <xdr:pic>
      <xdr:nvPicPr>
        <xdr:cNvPr id="3" name="image2.jpeg">
          <a:extLst>
            <a:ext uri="{FF2B5EF4-FFF2-40B4-BE49-F238E27FC236}">
              <a16:creationId xmlns:a16="http://schemas.microsoft.com/office/drawing/2014/main" id="{45973F0E-87FA-48B5-A451-5ADA0CD03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161500"/>
          <a:ext cx="588303" cy="49687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71649</xdr:colOff>
      <xdr:row>17</xdr:row>
      <xdr:rowOff>112488</xdr:rowOff>
    </xdr:from>
    <xdr:to>
      <xdr:col>8</xdr:col>
      <xdr:colOff>299421</xdr:colOff>
      <xdr:row>35</xdr:row>
      <xdr:rowOff>93763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306DB0-30EF-49B2-8031-421ABB015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126" y="2874000"/>
          <a:ext cx="4473411" cy="2905228"/>
        </a:xfrm>
        <a:prstGeom prst="rect">
          <a:avLst/>
        </a:prstGeom>
      </xdr:spPr>
    </xdr:pic>
    <xdr:clientData/>
  </xdr:twoCellAnchor>
  <xdr:twoCellAnchor editAs="oneCell">
    <xdr:from>
      <xdr:col>11</xdr:col>
      <xdr:colOff>78881</xdr:colOff>
      <xdr:row>18</xdr:row>
      <xdr:rowOff>42725</xdr:rowOff>
    </xdr:from>
    <xdr:to>
      <xdr:col>18</xdr:col>
      <xdr:colOff>311626</xdr:colOff>
      <xdr:row>28</xdr:row>
      <xdr:rowOff>65143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CB7B91-2FA4-4DDA-B8B2-3029D303997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3997" y="2966678"/>
          <a:ext cx="4677745" cy="1646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3899-FB52-4CBF-A2FC-E9C3FFFFC4FF}">
  <dimension ref="A1:AR14"/>
  <sheetViews>
    <sheetView tabSelected="1" topLeftCell="N1" workbookViewId="0">
      <selection activeCell="AI2" sqref="AI2:AI14"/>
    </sheetView>
  </sheetViews>
  <sheetFormatPr defaultRowHeight="12.75"/>
  <cols>
    <col min="2" max="3" width="10.33203125" customWidth="1"/>
    <col min="4" max="4" width="17" bestFit="1" customWidth="1"/>
    <col min="7" max="7" width="21" bestFit="1" customWidth="1"/>
    <col min="8" max="8" width="20" bestFit="1" customWidth="1"/>
  </cols>
  <sheetData>
    <row r="1" spans="1:44" s="68" customFormat="1" ht="31.5" customHeight="1">
      <c r="A1" s="76" t="s">
        <v>165</v>
      </c>
      <c r="B1" s="77" t="s">
        <v>168</v>
      </c>
      <c r="C1" s="77" t="s">
        <v>191</v>
      </c>
      <c r="D1" s="78" t="s">
        <v>167</v>
      </c>
      <c r="E1" s="78" t="s">
        <v>192</v>
      </c>
      <c r="F1" s="78" t="s">
        <v>193</v>
      </c>
      <c r="G1" s="79" t="s">
        <v>169</v>
      </c>
      <c r="H1" s="80" t="s">
        <v>170</v>
      </c>
      <c r="I1" s="79" t="s">
        <v>171</v>
      </c>
      <c r="J1" s="79" t="s">
        <v>172</v>
      </c>
      <c r="K1" s="79" t="s">
        <v>173</v>
      </c>
      <c r="L1" s="79" t="s">
        <v>174</v>
      </c>
      <c r="M1" s="79" t="s">
        <v>175</v>
      </c>
      <c r="N1" s="79" t="s">
        <v>176</v>
      </c>
      <c r="O1" s="79" t="s">
        <v>177</v>
      </c>
      <c r="P1" s="79" t="s">
        <v>178</v>
      </c>
      <c r="Q1" s="79" t="s">
        <v>179</v>
      </c>
      <c r="R1" s="79" t="s">
        <v>180</v>
      </c>
      <c r="S1" s="79" t="s">
        <v>181</v>
      </c>
      <c r="T1" s="79" t="s">
        <v>182</v>
      </c>
      <c r="U1" s="79" t="s">
        <v>183</v>
      </c>
      <c r="V1" s="79" t="s">
        <v>184</v>
      </c>
      <c r="W1" s="79" t="s">
        <v>185</v>
      </c>
      <c r="X1" s="76" t="s">
        <v>186</v>
      </c>
      <c r="Y1" s="79" t="s">
        <v>187</v>
      </c>
      <c r="Z1" s="79" t="s">
        <v>188</v>
      </c>
      <c r="AA1" s="79" t="s">
        <v>189</v>
      </c>
      <c r="AB1" s="79" t="s">
        <v>209</v>
      </c>
      <c r="AC1" s="79" t="s">
        <v>190</v>
      </c>
      <c r="AD1" s="84" t="s">
        <v>194</v>
      </c>
      <c r="AE1" s="76" t="s">
        <v>195</v>
      </c>
      <c r="AF1" s="76" t="s">
        <v>196</v>
      </c>
      <c r="AG1" s="76" t="s">
        <v>199</v>
      </c>
      <c r="AH1" s="76" t="s">
        <v>200</v>
      </c>
      <c r="AI1" s="76" t="s">
        <v>201</v>
      </c>
      <c r="AJ1" s="76" t="s">
        <v>203</v>
      </c>
      <c r="AK1" s="76" t="s">
        <v>202</v>
      </c>
      <c r="AL1" s="76" t="s">
        <v>204</v>
      </c>
      <c r="AM1" s="76" t="s">
        <v>26</v>
      </c>
      <c r="AN1" s="76" t="s">
        <v>210</v>
      </c>
      <c r="AO1" s="76" t="s">
        <v>205</v>
      </c>
      <c r="AP1" s="76" t="s">
        <v>206</v>
      </c>
      <c r="AQ1" s="76" t="s">
        <v>207</v>
      </c>
      <c r="AR1" s="76" t="s">
        <v>208</v>
      </c>
    </row>
    <row r="2" spans="1:44">
      <c r="A2" s="83" t="s">
        <v>65</v>
      </c>
      <c r="B2" s="83" t="s">
        <v>107</v>
      </c>
      <c r="C2" s="83">
        <v>0.6</v>
      </c>
      <c r="D2" s="83">
        <v>173</v>
      </c>
      <c r="E2" s="83">
        <v>78</v>
      </c>
      <c r="F2" s="83">
        <v>263</v>
      </c>
      <c r="G2" s="83" t="s">
        <v>66</v>
      </c>
      <c r="H2" s="85" t="s">
        <v>67</v>
      </c>
      <c r="I2" s="83">
        <v>4</v>
      </c>
      <c r="J2" s="83">
        <v>99.944319800812977</v>
      </c>
      <c r="K2" s="83">
        <v>20</v>
      </c>
      <c r="L2" s="83">
        <v>0.6</v>
      </c>
      <c r="M2" s="83">
        <v>15</v>
      </c>
      <c r="N2" s="83">
        <v>4</v>
      </c>
      <c r="O2" s="83">
        <v>2</v>
      </c>
      <c r="P2" s="83">
        <v>0.3</v>
      </c>
      <c r="Q2" s="83">
        <v>4</v>
      </c>
      <c r="R2" s="83" t="s">
        <v>68</v>
      </c>
      <c r="S2" s="83">
        <v>5</v>
      </c>
      <c r="T2" s="83" t="s">
        <v>69</v>
      </c>
      <c r="U2" s="83">
        <v>2</v>
      </c>
      <c r="V2" s="83" t="s">
        <v>70</v>
      </c>
      <c r="W2" s="83">
        <v>5</v>
      </c>
      <c r="X2" s="83">
        <f>SUM(O2,Q2,S2,U2,W2)</f>
        <v>18</v>
      </c>
      <c r="Y2" s="83" t="s">
        <v>152</v>
      </c>
      <c r="Z2" s="83">
        <v>15</v>
      </c>
      <c r="AA2" s="83">
        <f t="shared" ref="AA2:AA14" si="0">SUM(I2,K2,M2,X2,Z2)</f>
        <v>72</v>
      </c>
      <c r="AB2" s="83" t="s">
        <v>197</v>
      </c>
      <c r="AC2" s="83" t="s">
        <v>150</v>
      </c>
      <c r="AD2" s="83">
        <v>15</v>
      </c>
      <c r="AE2" s="83">
        <v>73</v>
      </c>
      <c r="AF2" s="83" t="s">
        <v>49</v>
      </c>
      <c r="AG2" s="83">
        <v>68</v>
      </c>
      <c r="AH2" s="83">
        <v>0.15</v>
      </c>
      <c r="AI2" s="120">
        <v>1</v>
      </c>
      <c r="AJ2" s="83">
        <v>151</v>
      </c>
      <c r="AK2" s="83">
        <v>-25</v>
      </c>
      <c r="AL2" s="83">
        <v>0</v>
      </c>
      <c r="AM2" s="83">
        <v>68.25</v>
      </c>
      <c r="AN2" s="83" t="s">
        <v>197</v>
      </c>
      <c r="AO2" s="83" t="s">
        <v>150</v>
      </c>
      <c r="AP2" s="83">
        <v>65</v>
      </c>
      <c r="AQ2" s="83">
        <v>71.800000000000011</v>
      </c>
      <c r="AR2" s="83">
        <v>78.683314165561939</v>
      </c>
    </row>
    <row r="3" spans="1:44">
      <c r="A3" s="83" t="s">
        <v>71</v>
      </c>
      <c r="B3" s="85" t="s">
        <v>107</v>
      </c>
      <c r="C3" s="83">
        <v>2.1</v>
      </c>
      <c r="D3" s="83">
        <v>187</v>
      </c>
      <c r="E3" s="83">
        <v>85</v>
      </c>
      <c r="F3" s="83">
        <v>277</v>
      </c>
      <c r="G3" s="83" t="s">
        <v>66</v>
      </c>
      <c r="H3" s="85" t="s">
        <v>67</v>
      </c>
      <c r="I3" s="83">
        <v>4</v>
      </c>
      <c r="J3" s="83">
        <v>99.944319800812977</v>
      </c>
      <c r="K3" s="83">
        <v>20</v>
      </c>
      <c r="L3" s="83">
        <v>1.5</v>
      </c>
      <c r="M3" s="83">
        <v>15</v>
      </c>
      <c r="N3" s="83">
        <v>0.6</v>
      </c>
      <c r="O3" s="83">
        <v>6</v>
      </c>
      <c r="P3" s="83">
        <v>0.1</v>
      </c>
      <c r="Q3" s="83">
        <v>4</v>
      </c>
      <c r="R3" s="83" t="s">
        <v>68</v>
      </c>
      <c r="S3" s="83">
        <v>5</v>
      </c>
      <c r="T3" s="83" t="s">
        <v>69</v>
      </c>
      <c r="U3" s="83">
        <v>2</v>
      </c>
      <c r="V3" s="83" t="s">
        <v>70</v>
      </c>
      <c r="W3" s="83">
        <v>5</v>
      </c>
      <c r="X3" s="83">
        <f t="shared" ref="X3:X14" si="1">SUM(O3,Q3,S3,U3,W3)</f>
        <v>22</v>
      </c>
      <c r="Y3" s="83" t="s">
        <v>152</v>
      </c>
      <c r="Z3" s="83">
        <v>15</v>
      </c>
      <c r="AA3" s="83">
        <f t="shared" si="0"/>
        <v>76</v>
      </c>
      <c r="AB3" s="83" t="s">
        <v>197</v>
      </c>
      <c r="AC3" s="83" t="s">
        <v>150</v>
      </c>
      <c r="AD3" s="83">
        <v>15</v>
      </c>
      <c r="AE3" s="83">
        <v>73</v>
      </c>
      <c r="AF3" s="83" t="s">
        <v>49</v>
      </c>
      <c r="AG3" s="83">
        <v>82</v>
      </c>
      <c r="AH3" s="83">
        <v>0.15</v>
      </c>
      <c r="AI3" s="120">
        <v>1</v>
      </c>
      <c r="AJ3" s="83">
        <v>158</v>
      </c>
      <c r="AK3" s="83">
        <v>-25</v>
      </c>
      <c r="AL3" s="83">
        <v>0</v>
      </c>
      <c r="AM3" s="83">
        <v>72.25</v>
      </c>
      <c r="AN3" s="83" t="s">
        <v>197</v>
      </c>
      <c r="AO3" s="83" t="s">
        <v>150</v>
      </c>
      <c r="AP3" s="83">
        <v>65</v>
      </c>
      <c r="AQ3" s="83">
        <v>74.400000000000006</v>
      </c>
      <c r="AR3" s="83">
        <v>80.575666910021596</v>
      </c>
    </row>
    <row r="4" spans="1:44">
      <c r="A4" s="83" t="s">
        <v>72</v>
      </c>
      <c r="B4" s="85" t="s">
        <v>87</v>
      </c>
      <c r="C4" s="83">
        <v>2.8</v>
      </c>
      <c r="D4" s="83">
        <v>150</v>
      </c>
      <c r="E4" s="83">
        <v>70</v>
      </c>
      <c r="F4" s="83">
        <v>240</v>
      </c>
      <c r="G4" s="83" t="s">
        <v>66</v>
      </c>
      <c r="H4" s="85" t="s">
        <v>67</v>
      </c>
      <c r="I4" s="83">
        <v>4</v>
      </c>
      <c r="J4" s="83">
        <v>99.944319800812977</v>
      </c>
      <c r="K4" s="83">
        <v>20</v>
      </c>
      <c r="L4" s="83">
        <v>0.7</v>
      </c>
      <c r="M4" s="83">
        <v>15</v>
      </c>
      <c r="N4" s="83">
        <v>1.5</v>
      </c>
      <c r="O4" s="83">
        <v>4</v>
      </c>
      <c r="P4" s="83">
        <v>0</v>
      </c>
      <c r="Q4" s="83">
        <v>6</v>
      </c>
      <c r="R4" s="83" t="s">
        <v>68</v>
      </c>
      <c r="S4" s="83">
        <v>5</v>
      </c>
      <c r="T4" s="83" t="s">
        <v>151</v>
      </c>
      <c r="U4" s="83">
        <v>6</v>
      </c>
      <c r="V4" s="83" t="s">
        <v>70</v>
      </c>
      <c r="W4" s="83">
        <v>5</v>
      </c>
      <c r="X4" s="83">
        <f t="shared" si="1"/>
        <v>26</v>
      </c>
      <c r="Y4" s="83" t="s">
        <v>152</v>
      </c>
      <c r="Z4" s="83">
        <v>15</v>
      </c>
      <c r="AA4" s="83">
        <f t="shared" si="0"/>
        <v>80</v>
      </c>
      <c r="AB4" s="83" t="s">
        <v>197</v>
      </c>
      <c r="AC4" s="83" t="s">
        <v>150</v>
      </c>
      <c r="AD4" s="83">
        <v>15</v>
      </c>
      <c r="AE4" s="83">
        <v>73</v>
      </c>
      <c r="AF4" s="83" t="s">
        <v>49</v>
      </c>
      <c r="AG4" s="83">
        <v>45</v>
      </c>
      <c r="AH4" s="83">
        <v>0.15</v>
      </c>
      <c r="AI4" s="120">
        <v>1</v>
      </c>
      <c r="AJ4" s="83">
        <v>143</v>
      </c>
      <c r="AK4" s="83">
        <v>-25</v>
      </c>
      <c r="AL4" s="83">
        <v>0</v>
      </c>
      <c r="AM4" s="83">
        <v>76.25</v>
      </c>
      <c r="AN4" s="83" t="s">
        <v>197</v>
      </c>
      <c r="AO4" s="83" t="s">
        <v>150</v>
      </c>
      <c r="AP4" s="83">
        <v>65</v>
      </c>
      <c r="AQ4" s="83">
        <v>77</v>
      </c>
      <c r="AR4" s="83">
        <v>82.370932213585832</v>
      </c>
    </row>
    <row r="5" spans="1:44">
      <c r="A5" s="83" t="s">
        <v>74</v>
      </c>
      <c r="B5" s="83" t="s">
        <v>106</v>
      </c>
      <c r="C5" s="83">
        <v>3.2</v>
      </c>
      <c r="D5" s="83">
        <v>215</v>
      </c>
      <c r="E5" s="83">
        <v>70</v>
      </c>
      <c r="F5" s="83">
        <v>305</v>
      </c>
      <c r="G5" s="83" t="s">
        <v>66</v>
      </c>
      <c r="H5" s="85" t="s">
        <v>67</v>
      </c>
      <c r="I5" s="83">
        <v>4</v>
      </c>
      <c r="J5" s="83">
        <v>99.944319800812977</v>
      </c>
      <c r="K5" s="83">
        <v>20</v>
      </c>
      <c r="L5" s="83">
        <v>0.4</v>
      </c>
      <c r="M5" s="83">
        <v>10</v>
      </c>
      <c r="N5" s="83">
        <v>0.5</v>
      </c>
      <c r="O5" s="83">
        <v>6</v>
      </c>
      <c r="P5" s="83">
        <v>0</v>
      </c>
      <c r="Q5" s="83">
        <v>6</v>
      </c>
      <c r="R5" s="83" t="s">
        <v>68</v>
      </c>
      <c r="S5" s="83">
        <v>5</v>
      </c>
      <c r="T5" s="83" t="s">
        <v>151</v>
      </c>
      <c r="U5" s="83">
        <v>6</v>
      </c>
      <c r="V5" s="83" t="s">
        <v>70</v>
      </c>
      <c r="W5" s="83">
        <v>5</v>
      </c>
      <c r="X5" s="83">
        <f t="shared" si="1"/>
        <v>28</v>
      </c>
      <c r="Y5" s="83" t="s">
        <v>152</v>
      </c>
      <c r="Z5" s="83">
        <v>15</v>
      </c>
      <c r="AA5" s="83">
        <f t="shared" si="0"/>
        <v>77</v>
      </c>
      <c r="AB5" s="83" t="s">
        <v>197</v>
      </c>
      <c r="AC5" s="83" t="s">
        <v>150</v>
      </c>
      <c r="AD5" s="83">
        <v>15</v>
      </c>
      <c r="AE5" s="83">
        <v>73</v>
      </c>
      <c r="AF5" s="83" t="s">
        <v>49</v>
      </c>
      <c r="AG5" s="83">
        <v>110</v>
      </c>
      <c r="AH5" s="83">
        <v>0.15</v>
      </c>
      <c r="AI5" s="120">
        <v>1</v>
      </c>
      <c r="AJ5" s="83">
        <v>143</v>
      </c>
      <c r="AK5" s="83">
        <v>-25</v>
      </c>
      <c r="AL5" s="83">
        <v>0</v>
      </c>
      <c r="AM5" s="83">
        <v>73.25</v>
      </c>
      <c r="AN5" s="83" t="s">
        <v>197</v>
      </c>
      <c r="AO5" s="83" t="s">
        <v>150</v>
      </c>
      <c r="AP5" s="83">
        <v>65</v>
      </c>
      <c r="AQ5" s="83">
        <v>75.050000000000011</v>
      </c>
      <c r="AR5" s="83">
        <v>81.033189764878955</v>
      </c>
    </row>
    <row r="6" spans="1:44">
      <c r="A6" s="83" t="s">
        <v>75</v>
      </c>
      <c r="B6" s="83" t="s">
        <v>106</v>
      </c>
      <c r="C6" s="83">
        <v>3.6</v>
      </c>
      <c r="D6" s="83">
        <v>210</v>
      </c>
      <c r="E6" s="83">
        <v>72</v>
      </c>
      <c r="F6" s="83">
        <v>300</v>
      </c>
      <c r="G6" s="83" t="s">
        <v>66</v>
      </c>
      <c r="H6" s="85" t="s">
        <v>67</v>
      </c>
      <c r="I6" s="83">
        <v>4</v>
      </c>
      <c r="J6" s="83">
        <v>99.944319800812977</v>
      </c>
      <c r="K6" s="83">
        <v>20</v>
      </c>
      <c r="L6" s="83">
        <v>0.4</v>
      </c>
      <c r="M6" s="83">
        <v>10</v>
      </c>
      <c r="N6" s="83">
        <v>0.5</v>
      </c>
      <c r="O6" s="83">
        <v>6</v>
      </c>
      <c r="P6" s="83">
        <v>0</v>
      </c>
      <c r="Q6" s="83">
        <v>6</v>
      </c>
      <c r="R6" s="83" t="s">
        <v>68</v>
      </c>
      <c r="S6" s="83">
        <v>5</v>
      </c>
      <c r="T6" s="83" t="s">
        <v>151</v>
      </c>
      <c r="U6" s="83">
        <v>6</v>
      </c>
      <c r="V6" s="83" t="s">
        <v>70</v>
      </c>
      <c r="W6" s="83">
        <v>5</v>
      </c>
      <c r="X6" s="83">
        <f t="shared" si="1"/>
        <v>28</v>
      </c>
      <c r="Y6" s="83" t="s">
        <v>152</v>
      </c>
      <c r="Z6" s="83">
        <v>15</v>
      </c>
      <c r="AA6" s="83">
        <f t="shared" si="0"/>
        <v>77</v>
      </c>
      <c r="AB6" s="83" t="s">
        <v>197</v>
      </c>
      <c r="AC6" s="83" t="s">
        <v>150</v>
      </c>
      <c r="AD6" s="83">
        <v>15</v>
      </c>
      <c r="AE6" s="83">
        <v>73</v>
      </c>
      <c r="AF6" s="83" t="s">
        <v>49</v>
      </c>
      <c r="AG6" s="83">
        <v>105</v>
      </c>
      <c r="AH6" s="83">
        <v>0.15</v>
      </c>
      <c r="AI6" s="120">
        <v>1</v>
      </c>
      <c r="AJ6" s="83">
        <v>145</v>
      </c>
      <c r="AK6" s="83">
        <v>-25</v>
      </c>
      <c r="AL6" s="83">
        <v>0</v>
      </c>
      <c r="AM6" s="83">
        <v>73.25</v>
      </c>
      <c r="AN6" s="83" t="s">
        <v>197</v>
      </c>
      <c r="AO6" s="83" t="s">
        <v>150</v>
      </c>
      <c r="AP6" s="83">
        <v>65</v>
      </c>
      <c r="AQ6" s="83">
        <v>75.050000000000011</v>
      </c>
      <c r="AR6" s="83">
        <v>81.033189764878955</v>
      </c>
    </row>
    <row r="7" spans="1:44">
      <c r="A7" s="83" t="s">
        <v>77</v>
      </c>
      <c r="B7" s="83" t="s">
        <v>106</v>
      </c>
      <c r="C7" s="83">
        <v>4.9000000000000004</v>
      </c>
      <c r="D7" s="83">
        <v>210</v>
      </c>
      <c r="E7" s="83">
        <v>72</v>
      </c>
      <c r="F7" s="83">
        <v>300</v>
      </c>
      <c r="G7" s="83" t="s">
        <v>66</v>
      </c>
      <c r="H7" s="85" t="s">
        <v>67</v>
      </c>
      <c r="I7" s="83">
        <v>4</v>
      </c>
      <c r="J7" s="83">
        <v>99.944319800812977</v>
      </c>
      <c r="K7" s="83">
        <v>20</v>
      </c>
      <c r="L7" s="83">
        <v>1.3</v>
      </c>
      <c r="M7" s="83">
        <v>15</v>
      </c>
      <c r="N7" s="83">
        <v>0.11</v>
      </c>
      <c r="O7" s="83">
        <v>6</v>
      </c>
      <c r="P7" s="83">
        <v>0</v>
      </c>
      <c r="Q7" s="83">
        <v>6</v>
      </c>
      <c r="R7" s="83" t="s">
        <v>68</v>
      </c>
      <c r="S7" s="83">
        <v>5</v>
      </c>
      <c r="T7" s="83" t="s">
        <v>151</v>
      </c>
      <c r="U7" s="83">
        <v>6</v>
      </c>
      <c r="V7" s="83" t="s">
        <v>70</v>
      </c>
      <c r="W7" s="83">
        <v>5</v>
      </c>
      <c r="X7" s="83">
        <f t="shared" si="1"/>
        <v>28</v>
      </c>
      <c r="Y7" s="83" t="s">
        <v>152</v>
      </c>
      <c r="Z7" s="83">
        <v>15</v>
      </c>
      <c r="AA7" s="83">
        <f t="shared" si="0"/>
        <v>82</v>
      </c>
      <c r="AB7" s="83" t="s">
        <v>198</v>
      </c>
      <c r="AC7" s="83" t="s">
        <v>154</v>
      </c>
      <c r="AD7" s="83">
        <v>15</v>
      </c>
      <c r="AE7" s="83">
        <v>73</v>
      </c>
      <c r="AF7" s="83" t="s">
        <v>49</v>
      </c>
      <c r="AG7" s="83">
        <v>105</v>
      </c>
      <c r="AH7" s="83">
        <v>0.15</v>
      </c>
      <c r="AI7" s="120">
        <v>1</v>
      </c>
      <c r="AJ7" s="83">
        <v>145</v>
      </c>
      <c r="AK7" s="83">
        <v>-25</v>
      </c>
      <c r="AL7" s="83">
        <v>0</v>
      </c>
      <c r="AM7" s="83">
        <v>78.25</v>
      </c>
      <c r="AN7" s="83" t="s">
        <v>197</v>
      </c>
      <c r="AO7" s="83" t="s">
        <v>150</v>
      </c>
      <c r="AP7" s="83">
        <v>65</v>
      </c>
      <c r="AQ7" s="83">
        <v>78.300000000000011</v>
      </c>
      <c r="AR7" s="83">
        <v>83.235173654248854</v>
      </c>
    </row>
    <row r="8" spans="1:44">
      <c r="A8" s="83" t="s">
        <v>78</v>
      </c>
      <c r="B8" s="83" t="s">
        <v>107</v>
      </c>
      <c r="C8" s="83">
        <v>6.6</v>
      </c>
      <c r="D8" s="83">
        <v>190</v>
      </c>
      <c r="E8" s="83">
        <v>85</v>
      </c>
      <c r="F8" s="83">
        <v>280</v>
      </c>
      <c r="G8" s="83" t="s">
        <v>66</v>
      </c>
      <c r="H8" s="85" t="s">
        <v>67</v>
      </c>
      <c r="I8" s="83">
        <v>4</v>
      </c>
      <c r="J8" s="83">
        <v>99.944319800812977</v>
      </c>
      <c r="K8" s="83">
        <v>20</v>
      </c>
      <c r="L8" s="83">
        <v>1.7</v>
      </c>
      <c r="M8" s="83">
        <v>15</v>
      </c>
      <c r="N8" s="83">
        <v>4</v>
      </c>
      <c r="O8" s="83">
        <v>2</v>
      </c>
      <c r="P8" s="83">
        <v>0</v>
      </c>
      <c r="Q8" s="83">
        <v>6</v>
      </c>
      <c r="R8" s="83" t="s">
        <v>79</v>
      </c>
      <c r="S8" s="83">
        <v>1</v>
      </c>
      <c r="T8" s="83" t="s">
        <v>151</v>
      </c>
      <c r="U8" s="83">
        <v>6</v>
      </c>
      <c r="V8" s="83" t="s">
        <v>70</v>
      </c>
      <c r="W8" s="83">
        <v>5</v>
      </c>
      <c r="X8" s="83">
        <f t="shared" si="1"/>
        <v>20</v>
      </c>
      <c r="Y8" s="83" t="s">
        <v>152</v>
      </c>
      <c r="Z8" s="83">
        <v>15</v>
      </c>
      <c r="AA8" s="83">
        <f t="shared" si="0"/>
        <v>74</v>
      </c>
      <c r="AB8" s="83" t="s">
        <v>197</v>
      </c>
      <c r="AC8" s="83" t="s">
        <v>150</v>
      </c>
      <c r="AD8" s="83">
        <v>15</v>
      </c>
      <c r="AE8" s="83">
        <v>73</v>
      </c>
      <c r="AF8" s="83" t="s">
        <v>49</v>
      </c>
      <c r="AG8" s="83">
        <v>85</v>
      </c>
      <c r="AH8" s="83">
        <v>0.15</v>
      </c>
      <c r="AI8" s="120">
        <v>1</v>
      </c>
      <c r="AJ8" s="83">
        <v>158</v>
      </c>
      <c r="AK8" s="83">
        <v>-25</v>
      </c>
      <c r="AL8" s="83">
        <v>0</v>
      </c>
      <c r="AM8" s="83">
        <v>70.25</v>
      </c>
      <c r="AN8" s="83" t="s">
        <v>197</v>
      </c>
      <c r="AO8" s="83" t="s">
        <v>150</v>
      </c>
      <c r="AP8" s="83">
        <v>65</v>
      </c>
      <c r="AQ8" s="83">
        <v>73.099999999999994</v>
      </c>
      <c r="AR8" s="83">
        <v>79.642278262145965</v>
      </c>
    </row>
    <row r="9" spans="1:44">
      <c r="A9" s="83" t="s">
        <v>80</v>
      </c>
      <c r="B9" s="83" t="s">
        <v>107</v>
      </c>
      <c r="C9" s="83">
        <v>8.4</v>
      </c>
      <c r="D9" s="83">
        <v>185</v>
      </c>
      <c r="E9" s="83">
        <v>80</v>
      </c>
      <c r="F9" s="83">
        <v>275</v>
      </c>
      <c r="G9" s="83" t="s">
        <v>66</v>
      </c>
      <c r="H9" s="85" t="s">
        <v>67</v>
      </c>
      <c r="I9" s="83">
        <v>4</v>
      </c>
      <c r="J9" s="83">
        <v>99.944319800812977</v>
      </c>
      <c r="K9" s="83">
        <v>20</v>
      </c>
      <c r="L9" s="83">
        <v>1.8</v>
      </c>
      <c r="M9" s="83">
        <v>15</v>
      </c>
      <c r="N9" s="83">
        <v>0.1</v>
      </c>
      <c r="O9" s="83">
        <v>6</v>
      </c>
      <c r="P9" s="83">
        <v>0</v>
      </c>
      <c r="Q9" s="83">
        <v>6</v>
      </c>
      <c r="R9" s="83" t="s">
        <v>68</v>
      </c>
      <c r="S9" s="83">
        <v>5</v>
      </c>
      <c r="T9" s="83" t="s">
        <v>151</v>
      </c>
      <c r="U9" s="83">
        <v>6</v>
      </c>
      <c r="V9" s="83" t="s">
        <v>70</v>
      </c>
      <c r="W9" s="83">
        <v>5</v>
      </c>
      <c r="X9" s="83">
        <f t="shared" si="1"/>
        <v>28</v>
      </c>
      <c r="Y9" s="83" t="s">
        <v>152</v>
      </c>
      <c r="Z9" s="83">
        <v>15</v>
      </c>
      <c r="AA9" s="83">
        <f t="shared" si="0"/>
        <v>82</v>
      </c>
      <c r="AB9" s="83" t="s">
        <v>198</v>
      </c>
      <c r="AC9" s="83" t="s">
        <v>154</v>
      </c>
      <c r="AD9" s="83">
        <v>15</v>
      </c>
      <c r="AE9" s="83">
        <v>73</v>
      </c>
      <c r="AF9" s="83" t="s">
        <v>49</v>
      </c>
      <c r="AG9" s="83">
        <v>80</v>
      </c>
      <c r="AH9" s="83">
        <v>0.15</v>
      </c>
      <c r="AI9" s="120">
        <v>1</v>
      </c>
      <c r="AJ9" s="83">
        <v>153</v>
      </c>
      <c r="AK9" s="83">
        <v>-25</v>
      </c>
      <c r="AL9" s="83">
        <v>0</v>
      </c>
      <c r="AM9" s="83">
        <v>78.25</v>
      </c>
      <c r="AN9" s="83" t="s">
        <v>197</v>
      </c>
      <c r="AO9" s="83" t="s">
        <v>150</v>
      </c>
      <c r="AP9" s="83">
        <v>65</v>
      </c>
      <c r="AQ9" s="83">
        <v>78.300000000000011</v>
      </c>
      <c r="AR9" s="83">
        <v>83.235173654248854</v>
      </c>
    </row>
    <row r="10" spans="1:44">
      <c r="A10" s="83" t="s">
        <v>81</v>
      </c>
      <c r="B10" s="83" t="s">
        <v>105</v>
      </c>
      <c r="C10" s="83">
        <v>8.65</v>
      </c>
      <c r="D10" s="83">
        <v>125</v>
      </c>
      <c r="E10" s="83">
        <v>22</v>
      </c>
      <c r="F10" s="83">
        <v>215</v>
      </c>
      <c r="G10" s="83" t="s">
        <v>66</v>
      </c>
      <c r="H10" s="85" t="s">
        <v>67</v>
      </c>
      <c r="I10" s="83">
        <v>4</v>
      </c>
      <c r="J10" s="83">
        <v>99.944319800812977</v>
      </c>
      <c r="K10" s="83">
        <v>20</v>
      </c>
      <c r="L10" s="83">
        <v>0.2</v>
      </c>
      <c r="M10" s="83">
        <v>10</v>
      </c>
      <c r="N10" s="83">
        <v>22</v>
      </c>
      <c r="O10" s="83">
        <v>0</v>
      </c>
      <c r="P10" s="83">
        <v>0</v>
      </c>
      <c r="Q10" s="83">
        <v>6</v>
      </c>
      <c r="R10" s="83" t="s">
        <v>79</v>
      </c>
      <c r="S10" s="83">
        <v>1</v>
      </c>
      <c r="T10" s="83" t="s">
        <v>151</v>
      </c>
      <c r="U10" s="83">
        <v>6</v>
      </c>
      <c r="V10" s="83" t="s">
        <v>70</v>
      </c>
      <c r="W10" s="83">
        <v>5</v>
      </c>
      <c r="X10" s="83">
        <f t="shared" si="1"/>
        <v>18</v>
      </c>
      <c r="Y10" s="83" t="s">
        <v>152</v>
      </c>
      <c r="Z10" s="83">
        <v>15</v>
      </c>
      <c r="AA10" s="83">
        <f t="shared" si="0"/>
        <v>67</v>
      </c>
      <c r="AB10" s="83" t="s">
        <v>197</v>
      </c>
      <c r="AC10" s="83" t="s">
        <v>150</v>
      </c>
      <c r="AD10" s="83">
        <v>15</v>
      </c>
      <c r="AE10" s="83">
        <v>73</v>
      </c>
      <c r="AF10" s="83" t="s">
        <v>49</v>
      </c>
      <c r="AG10" s="83">
        <v>19</v>
      </c>
      <c r="AH10" s="83">
        <v>0.7</v>
      </c>
      <c r="AI10" s="120">
        <v>0.4</v>
      </c>
      <c r="AJ10" s="83">
        <v>93</v>
      </c>
      <c r="AK10" s="83">
        <v>0</v>
      </c>
      <c r="AL10" s="83">
        <v>0</v>
      </c>
      <c r="AM10" s="83">
        <v>68</v>
      </c>
      <c r="AN10" s="83" t="s">
        <v>197</v>
      </c>
      <c r="AO10" s="83" t="s">
        <v>150</v>
      </c>
      <c r="AP10" s="83">
        <v>65</v>
      </c>
      <c r="AQ10" s="83">
        <v>69.2</v>
      </c>
      <c r="AR10" s="83">
        <v>76.682769681163734</v>
      </c>
    </row>
    <row r="11" spans="1:44">
      <c r="A11" s="83" t="s">
        <v>82</v>
      </c>
      <c r="B11" s="83" t="s">
        <v>105</v>
      </c>
      <c r="C11" s="83">
        <v>9.5</v>
      </c>
      <c r="D11" s="83">
        <v>125</v>
      </c>
      <c r="E11" s="83">
        <v>22</v>
      </c>
      <c r="F11" s="83">
        <v>215</v>
      </c>
      <c r="G11" s="83" t="s">
        <v>66</v>
      </c>
      <c r="H11" s="85" t="s">
        <v>67</v>
      </c>
      <c r="I11" s="83">
        <v>4</v>
      </c>
      <c r="J11" s="83">
        <v>99.944319800812977</v>
      </c>
      <c r="K11" s="83">
        <v>20</v>
      </c>
      <c r="L11" s="83">
        <v>0.9</v>
      </c>
      <c r="M11" s="83">
        <v>15</v>
      </c>
      <c r="N11" s="83">
        <v>22</v>
      </c>
      <c r="O11" s="83">
        <v>0</v>
      </c>
      <c r="P11" s="83">
        <v>0</v>
      </c>
      <c r="Q11" s="83">
        <v>6</v>
      </c>
      <c r="R11" s="83" t="s">
        <v>79</v>
      </c>
      <c r="S11" s="83">
        <v>1</v>
      </c>
      <c r="T11" s="83" t="s">
        <v>151</v>
      </c>
      <c r="U11" s="83">
        <v>6</v>
      </c>
      <c r="V11" s="83" t="s">
        <v>70</v>
      </c>
      <c r="W11" s="83">
        <v>5</v>
      </c>
      <c r="X11" s="83">
        <f t="shared" si="1"/>
        <v>18</v>
      </c>
      <c r="Y11" s="83" t="s">
        <v>152</v>
      </c>
      <c r="Z11" s="83">
        <v>15</v>
      </c>
      <c r="AA11" s="83">
        <f t="shared" si="0"/>
        <v>72</v>
      </c>
      <c r="AB11" s="83" t="s">
        <v>197</v>
      </c>
      <c r="AC11" s="83" t="s">
        <v>150</v>
      </c>
      <c r="AD11" s="83">
        <v>15</v>
      </c>
      <c r="AE11" s="83">
        <v>73</v>
      </c>
      <c r="AF11" s="83" t="s">
        <v>49</v>
      </c>
      <c r="AG11" s="83">
        <v>19</v>
      </c>
      <c r="AH11" s="83">
        <v>0.7</v>
      </c>
      <c r="AI11" s="120">
        <v>0.4</v>
      </c>
      <c r="AJ11" s="83">
        <v>95</v>
      </c>
      <c r="AK11" s="83">
        <v>0</v>
      </c>
      <c r="AL11" s="83">
        <v>0</v>
      </c>
      <c r="AM11" s="83">
        <v>72</v>
      </c>
      <c r="AN11" s="83" t="s">
        <v>197</v>
      </c>
      <c r="AO11" s="83" t="s">
        <v>150</v>
      </c>
      <c r="AP11" s="83">
        <v>65</v>
      </c>
      <c r="AQ11" s="83">
        <v>71.800000000000011</v>
      </c>
      <c r="AR11" s="83">
        <v>78.683314165561939</v>
      </c>
    </row>
    <row r="12" spans="1:44">
      <c r="A12" s="83" t="s">
        <v>83</v>
      </c>
      <c r="B12" s="83" t="s">
        <v>107</v>
      </c>
      <c r="C12" s="83">
        <v>13.2</v>
      </c>
      <c r="D12" s="83">
        <v>185</v>
      </c>
      <c r="E12" s="83">
        <v>78</v>
      </c>
      <c r="F12" s="83">
        <v>275</v>
      </c>
      <c r="G12" s="83" t="s">
        <v>66</v>
      </c>
      <c r="H12" s="85" t="s">
        <v>67</v>
      </c>
      <c r="I12" s="83">
        <v>4</v>
      </c>
      <c r="J12" s="83">
        <v>99.944319800812977</v>
      </c>
      <c r="K12" s="83">
        <v>20</v>
      </c>
      <c r="L12" s="83">
        <v>3.7</v>
      </c>
      <c r="M12" s="83">
        <v>20</v>
      </c>
      <c r="N12" s="83">
        <v>0.35</v>
      </c>
      <c r="O12" s="83">
        <v>6</v>
      </c>
      <c r="P12" s="83">
        <v>0</v>
      </c>
      <c r="Q12" s="83">
        <v>6</v>
      </c>
      <c r="R12" s="83" t="s">
        <v>84</v>
      </c>
      <c r="S12" s="83">
        <v>3</v>
      </c>
      <c r="T12" s="83" t="s">
        <v>151</v>
      </c>
      <c r="U12" s="83">
        <v>6</v>
      </c>
      <c r="V12" s="83" t="s">
        <v>70</v>
      </c>
      <c r="W12" s="83">
        <v>5</v>
      </c>
      <c r="X12" s="83">
        <f t="shared" si="1"/>
        <v>26</v>
      </c>
      <c r="Y12" s="83" t="s">
        <v>152</v>
      </c>
      <c r="Z12" s="83">
        <v>15</v>
      </c>
      <c r="AA12" s="83">
        <f t="shared" si="0"/>
        <v>85</v>
      </c>
      <c r="AB12" s="83" t="s">
        <v>198</v>
      </c>
      <c r="AC12" s="83" t="s">
        <v>154</v>
      </c>
      <c r="AD12" s="83">
        <v>15</v>
      </c>
      <c r="AE12" s="83">
        <v>73</v>
      </c>
      <c r="AF12" s="83" t="s">
        <v>49</v>
      </c>
      <c r="AG12" s="83">
        <v>80</v>
      </c>
      <c r="AH12" s="83">
        <v>0.15</v>
      </c>
      <c r="AI12" s="120">
        <v>1</v>
      </c>
      <c r="AJ12" s="83">
        <v>151</v>
      </c>
      <c r="AK12" s="83">
        <v>-25</v>
      </c>
      <c r="AL12" s="83">
        <v>0</v>
      </c>
      <c r="AM12" s="83">
        <v>81.25</v>
      </c>
      <c r="AN12" s="83" t="s">
        <v>198</v>
      </c>
      <c r="AO12" s="83" t="s">
        <v>154</v>
      </c>
      <c r="AP12" s="83">
        <v>65</v>
      </c>
      <c r="AQ12" s="83">
        <v>80.25</v>
      </c>
      <c r="AR12" s="83">
        <v>84.492793977161085</v>
      </c>
    </row>
    <row r="13" spans="1:44">
      <c r="A13" s="83" t="s">
        <v>166</v>
      </c>
      <c r="B13" s="85" t="s">
        <v>106</v>
      </c>
      <c r="C13" s="83">
        <v>13.3</v>
      </c>
      <c r="D13" s="83">
        <v>220</v>
      </c>
      <c r="E13" s="83">
        <v>85</v>
      </c>
      <c r="F13" s="83">
        <v>310</v>
      </c>
      <c r="G13" s="83" t="s">
        <v>66</v>
      </c>
      <c r="H13" s="85" t="s">
        <v>67</v>
      </c>
      <c r="I13" s="83">
        <v>4</v>
      </c>
      <c r="J13" s="83">
        <v>99.944319800812977</v>
      </c>
      <c r="K13" s="83">
        <v>20</v>
      </c>
      <c r="L13" s="83">
        <v>0.1</v>
      </c>
      <c r="M13" s="83">
        <v>8</v>
      </c>
      <c r="N13" s="83">
        <v>0.35</v>
      </c>
      <c r="O13" s="83">
        <v>6</v>
      </c>
      <c r="P13" s="83">
        <v>0</v>
      </c>
      <c r="Q13" s="83">
        <v>6</v>
      </c>
      <c r="R13" s="83" t="s">
        <v>68</v>
      </c>
      <c r="S13" s="83">
        <v>5</v>
      </c>
      <c r="T13" s="83" t="s">
        <v>151</v>
      </c>
      <c r="U13" s="83">
        <v>6</v>
      </c>
      <c r="V13" s="83" t="s">
        <v>70</v>
      </c>
      <c r="W13" s="83">
        <v>5</v>
      </c>
      <c r="X13" s="83">
        <f t="shared" si="1"/>
        <v>28</v>
      </c>
      <c r="Y13" s="83" t="s">
        <v>152</v>
      </c>
      <c r="Z13" s="83">
        <v>15</v>
      </c>
      <c r="AA13" s="83">
        <f t="shared" si="0"/>
        <v>75</v>
      </c>
      <c r="AB13" s="83" t="s">
        <v>197</v>
      </c>
      <c r="AC13" s="83" t="s">
        <v>150</v>
      </c>
      <c r="AD13" s="83">
        <v>15</v>
      </c>
      <c r="AE13" s="83">
        <v>73</v>
      </c>
      <c r="AF13" s="83" t="s">
        <v>49</v>
      </c>
      <c r="AG13" s="83">
        <v>115</v>
      </c>
      <c r="AH13" s="83">
        <v>0.15</v>
      </c>
      <c r="AI13" s="120">
        <v>1</v>
      </c>
      <c r="AJ13" s="83">
        <v>158</v>
      </c>
      <c r="AK13" s="83">
        <v>-25</v>
      </c>
      <c r="AL13" s="83">
        <v>0</v>
      </c>
      <c r="AM13" s="83">
        <v>71.25</v>
      </c>
      <c r="AN13" s="83" t="s">
        <v>197</v>
      </c>
      <c r="AO13" s="83" t="s">
        <v>150</v>
      </c>
      <c r="AP13" s="83">
        <v>66</v>
      </c>
      <c r="AQ13" s="83">
        <v>73.75</v>
      </c>
      <c r="AR13" s="83">
        <v>80.112083973770865</v>
      </c>
    </row>
    <row r="14" spans="1:44">
      <c r="A14" s="83" t="s">
        <v>85</v>
      </c>
      <c r="B14" s="83" t="s">
        <v>106</v>
      </c>
      <c r="C14" s="83">
        <v>14.2</v>
      </c>
      <c r="D14" s="83">
        <v>220</v>
      </c>
      <c r="E14" s="83">
        <v>85</v>
      </c>
      <c r="F14" s="83">
        <v>310</v>
      </c>
      <c r="G14" s="85" t="s">
        <v>66</v>
      </c>
      <c r="H14" s="85" t="s">
        <v>67</v>
      </c>
      <c r="I14" s="83">
        <v>4</v>
      </c>
      <c r="J14" s="83">
        <v>99.944319800812977</v>
      </c>
      <c r="K14" s="83">
        <v>20</v>
      </c>
      <c r="L14" s="83">
        <v>0.9</v>
      </c>
      <c r="M14" s="83">
        <v>15</v>
      </c>
      <c r="N14" s="83">
        <v>0.35</v>
      </c>
      <c r="O14" s="83">
        <v>6</v>
      </c>
      <c r="P14" s="83">
        <v>0</v>
      </c>
      <c r="Q14" s="83">
        <v>6</v>
      </c>
      <c r="R14" s="83" t="s">
        <v>68</v>
      </c>
      <c r="S14" s="83">
        <v>5</v>
      </c>
      <c r="T14" s="83" t="s">
        <v>151</v>
      </c>
      <c r="U14" s="83">
        <v>6</v>
      </c>
      <c r="V14" s="83" t="s">
        <v>70</v>
      </c>
      <c r="W14" s="83">
        <v>5</v>
      </c>
      <c r="X14" s="83">
        <f t="shared" si="1"/>
        <v>28</v>
      </c>
      <c r="Y14" s="83" t="s">
        <v>152</v>
      </c>
      <c r="Z14" s="83">
        <v>15</v>
      </c>
      <c r="AA14" s="83">
        <f t="shared" si="0"/>
        <v>82</v>
      </c>
      <c r="AB14" s="83" t="s">
        <v>198</v>
      </c>
      <c r="AC14" s="83" t="s">
        <v>154</v>
      </c>
      <c r="AD14" s="83">
        <v>15</v>
      </c>
      <c r="AE14" s="83">
        <v>73</v>
      </c>
      <c r="AF14" s="83" t="s">
        <v>49</v>
      </c>
      <c r="AG14" s="83">
        <v>115</v>
      </c>
      <c r="AH14" s="83">
        <v>0.15</v>
      </c>
      <c r="AI14" s="120">
        <v>1</v>
      </c>
      <c r="AJ14" s="83">
        <v>158</v>
      </c>
      <c r="AK14" s="83">
        <v>-25</v>
      </c>
      <c r="AL14" s="83">
        <v>0</v>
      </c>
      <c r="AM14" s="83">
        <v>71.25</v>
      </c>
      <c r="AN14" s="83" t="s">
        <v>197</v>
      </c>
      <c r="AO14" s="83" t="s">
        <v>150</v>
      </c>
      <c r="AP14" s="83">
        <v>65</v>
      </c>
      <c r="AQ14" s="83">
        <v>73.75</v>
      </c>
      <c r="AR14" s="83">
        <v>80.112083973770865</v>
      </c>
    </row>
  </sheetData>
  <dataValidations count="1">
    <dataValidation type="list" allowBlank="1" showInputMessage="1" showErrorMessage="1" sqref="AF2:AF14" xr:uid="{F4226396-4F2C-42EB-A282-91A877A601C2}">
      <formula1>$A$19:$A$21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4490-D9BF-42C6-BF95-9ED643349323}">
  <dimension ref="A1:AF54"/>
  <sheetViews>
    <sheetView topLeftCell="A7" zoomScaleNormal="100" workbookViewId="0">
      <selection activeCell="B10" sqref="B10:B22"/>
    </sheetView>
  </sheetViews>
  <sheetFormatPr defaultRowHeight="12.75"/>
  <cols>
    <col min="2" max="4" width="8" customWidth="1"/>
    <col min="5" max="5" width="8.1640625" customWidth="1"/>
    <col min="6" max="6" width="6.33203125" customWidth="1"/>
    <col min="7" max="7" width="10.33203125" customWidth="1"/>
    <col min="8" max="8" width="6" customWidth="1"/>
    <col min="9" max="9" width="4.83203125" customWidth="1"/>
    <col min="10" max="10" width="6.33203125" customWidth="1"/>
    <col min="11" max="11" width="4.83203125" customWidth="1"/>
    <col min="12" max="12" width="8.1640625" customWidth="1"/>
    <col min="13" max="13" width="6.33203125" customWidth="1"/>
    <col min="14" max="14" width="8.33203125" customWidth="1"/>
    <col min="15" max="15" width="5.33203125" customWidth="1"/>
    <col min="16" max="16" width="6.33203125" customWidth="1"/>
    <col min="17" max="17" width="5.6640625" customWidth="1"/>
    <col min="18" max="18" width="4.6640625" customWidth="1"/>
    <col min="19" max="19" width="5.83203125" customWidth="1"/>
    <col min="20" max="20" width="7.83203125" customWidth="1"/>
    <col min="21" max="21" width="4.1640625" customWidth="1"/>
    <col min="22" max="22" width="9.33203125" customWidth="1"/>
    <col min="23" max="23" width="3.83203125" customWidth="1"/>
    <col min="24" max="24" width="9.6640625" customWidth="1"/>
    <col min="25" max="25" width="7.6640625" customWidth="1"/>
    <col min="26" max="26" width="5.1640625" customWidth="1"/>
    <col min="27" max="28" width="8" customWidth="1"/>
  </cols>
  <sheetData>
    <row r="1" spans="1:32" ht="14.25" customHeight="1">
      <c r="B1" s="96" t="s">
        <v>55</v>
      </c>
      <c r="C1" s="96"/>
      <c r="D1" s="96"/>
      <c r="E1" s="96"/>
      <c r="F1" s="96"/>
      <c r="G1" s="96"/>
      <c r="H1" s="105" t="s">
        <v>56</v>
      </c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 t="s">
        <v>159</v>
      </c>
      <c r="T1" s="106"/>
      <c r="U1" s="106"/>
      <c r="V1" s="106"/>
      <c r="W1" s="106"/>
    </row>
    <row r="2" spans="1:32" ht="14.25" customHeight="1">
      <c r="B2" s="96" t="s">
        <v>57</v>
      </c>
      <c r="C2" s="96"/>
      <c r="D2" s="96"/>
      <c r="E2" s="96"/>
      <c r="F2" s="96"/>
      <c r="G2" s="96"/>
      <c r="H2" s="97" t="s">
        <v>148</v>
      </c>
      <c r="I2" s="97"/>
      <c r="J2" s="97"/>
      <c r="K2" s="97"/>
      <c r="L2" s="97"/>
      <c r="M2" s="97"/>
      <c r="N2" s="97"/>
      <c r="O2" s="97"/>
      <c r="P2" s="97"/>
      <c r="Q2" s="97"/>
      <c r="R2" s="97"/>
      <c r="S2" s="98" t="s">
        <v>160</v>
      </c>
      <c r="T2" s="99"/>
      <c r="U2" s="99"/>
      <c r="V2" s="99"/>
      <c r="W2" s="99"/>
      <c r="X2" s="14" t="s">
        <v>146</v>
      </c>
    </row>
    <row r="3" spans="1:32" ht="14.25" customHeight="1">
      <c r="B3" s="96" t="s">
        <v>58</v>
      </c>
      <c r="C3" s="96"/>
      <c r="D3" s="96"/>
      <c r="E3" s="96"/>
      <c r="F3" s="96"/>
      <c r="G3" s="96"/>
      <c r="H3" s="97" t="s">
        <v>162</v>
      </c>
      <c r="I3" s="97"/>
      <c r="J3" s="97"/>
      <c r="K3" s="97"/>
      <c r="L3" s="97"/>
      <c r="M3" s="97"/>
      <c r="N3" s="97"/>
      <c r="O3" s="97"/>
      <c r="P3" s="97"/>
      <c r="Q3" s="97"/>
      <c r="R3" s="97"/>
      <c r="S3" s="98" t="s">
        <v>161</v>
      </c>
      <c r="T3" s="99"/>
      <c r="U3" s="99"/>
      <c r="V3" s="99"/>
      <c r="W3" s="99"/>
      <c r="X3">
        <v>15</v>
      </c>
    </row>
    <row r="4" spans="1:32" ht="14.25" customHeight="1">
      <c r="B4" s="96" t="s">
        <v>59</v>
      </c>
      <c r="C4" s="96"/>
      <c r="D4" s="96"/>
      <c r="E4" s="96"/>
      <c r="F4" s="96"/>
      <c r="G4" s="96"/>
      <c r="H4" s="97" t="s">
        <v>60</v>
      </c>
      <c r="I4" s="97"/>
      <c r="J4" s="97"/>
      <c r="K4" s="97"/>
      <c r="L4" s="97"/>
      <c r="M4" s="97"/>
      <c r="N4" s="97"/>
      <c r="O4" s="97"/>
      <c r="P4" s="97"/>
      <c r="Q4" s="97"/>
      <c r="R4" s="97"/>
      <c r="S4" s="98" t="s">
        <v>157</v>
      </c>
      <c r="T4" s="99"/>
      <c r="U4" s="99"/>
      <c r="V4" s="99"/>
      <c r="W4" s="99"/>
      <c r="X4" s="14" t="s">
        <v>61</v>
      </c>
    </row>
    <row r="5" spans="1:32" ht="14.25" customHeight="1">
      <c r="B5" s="96" t="s">
        <v>62</v>
      </c>
      <c r="C5" s="96"/>
      <c r="D5" s="96"/>
      <c r="E5" s="96"/>
      <c r="F5" s="96"/>
      <c r="G5" s="96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</row>
    <row r="6" spans="1:32" ht="17.25" customHeight="1">
      <c r="B6" s="101" t="s">
        <v>147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</row>
    <row r="7" spans="1:32" ht="66" customHeight="1">
      <c r="B7" s="102" t="s">
        <v>0</v>
      </c>
      <c r="C7" s="86" t="s">
        <v>63</v>
      </c>
      <c r="D7" s="87"/>
      <c r="E7" s="103" t="s">
        <v>1</v>
      </c>
      <c r="F7" s="104"/>
      <c r="G7" s="91" t="s">
        <v>2</v>
      </c>
      <c r="H7" s="93"/>
      <c r="I7" s="92"/>
      <c r="J7" s="91" t="s">
        <v>3</v>
      </c>
      <c r="K7" s="92"/>
      <c r="L7" s="91" t="s">
        <v>4</v>
      </c>
      <c r="M7" s="92"/>
      <c r="N7" s="91" t="s">
        <v>5</v>
      </c>
      <c r="O7" s="93"/>
      <c r="P7" s="93"/>
      <c r="Q7" s="93"/>
      <c r="R7" s="93"/>
      <c r="S7" s="93"/>
      <c r="T7" s="93"/>
      <c r="U7" s="93"/>
      <c r="V7" s="93"/>
      <c r="W7" s="93"/>
      <c r="X7" s="69" t="s">
        <v>6</v>
      </c>
      <c r="Y7" s="91" t="s">
        <v>7</v>
      </c>
      <c r="Z7" s="92"/>
      <c r="AA7" s="91" t="s">
        <v>8</v>
      </c>
      <c r="AB7" s="92"/>
    </row>
    <row r="8" spans="1:32" ht="18" customHeight="1">
      <c r="B8" s="102"/>
      <c r="N8" s="88" t="s">
        <v>15</v>
      </c>
      <c r="O8" s="89"/>
      <c r="P8" s="88" t="s">
        <v>16</v>
      </c>
      <c r="Q8" s="89"/>
      <c r="R8" s="88" t="s">
        <v>17</v>
      </c>
      <c r="S8" s="89"/>
      <c r="T8" s="88" t="s">
        <v>18</v>
      </c>
      <c r="U8" s="89"/>
      <c r="V8" s="88" t="s">
        <v>19</v>
      </c>
      <c r="W8" s="90"/>
      <c r="X8" s="69"/>
      <c r="AD8" s="18" t="s">
        <v>76</v>
      </c>
      <c r="AE8">
        <f>13/15</f>
        <v>0.8666666666666667</v>
      </c>
      <c r="AF8" s="14" t="s">
        <v>163</v>
      </c>
    </row>
    <row r="9" spans="1:32" ht="18" customHeight="1">
      <c r="B9" s="91"/>
      <c r="C9" s="71" t="s">
        <v>155</v>
      </c>
      <c r="D9" s="71" t="s">
        <v>156</v>
      </c>
      <c r="E9" s="73" t="s">
        <v>9</v>
      </c>
      <c r="F9" s="74" t="s">
        <v>10</v>
      </c>
      <c r="G9" s="72" t="s">
        <v>11</v>
      </c>
      <c r="H9" s="75" t="s">
        <v>158</v>
      </c>
      <c r="I9" s="72" t="s">
        <v>12</v>
      </c>
      <c r="J9" s="72" t="s">
        <v>13</v>
      </c>
      <c r="K9" s="72" t="s">
        <v>12</v>
      </c>
      <c r="L9" s="72" t="s">
        <v>14</v>
      </c>
      <c r="M9" s="72" t="s">
        <v>12</v>
      </c>
      <c r="N9" s="51" t="s">
        <v>153</v>
      </c>
      <c r="O9" s="1" t="s">
        <v>12</v>
      </c>
      <c r="P9" s="1" t="s">
        <v>23</v>
      </c>
      <c r="Q9" s="1" t="s">
        <v>12</v>
      </c>
      <c r="R9" s="44" t="s">
        <v>23</v>
      </c>
      <c r="S9" s="1" t="s">
        <v>12</v>
      </c>
      <c r="T9" s="1" t="s">
        <v>23</v>
      </c>
      <c r="U9" s="66" t="s">
        <v>12</v>
      </c>
      <c r="V9" s="1" t="s">
        <v>20</v>
      </c>
      <c r="W9" s="44" t="s">
        <v>12</v>
      </c>
      <c r="X9" s="70"/>
      <c r="Y9" s="72" t="s">
        <v>20</v>
      </c>
      <c r="Z9" s="72" t="s">
        <v>12</v>
      </c>
      <c r="AA9" s="72" t="s">
        <v>21</v>
      </c>
      <c r="AB9" s="72" t="s">
        <v>22</v>
      </c>
      <c r="AD9" t="s">
        <v>64</v>
      </c>
      <c r="AE9">
        <f>100*(((0.1*AE8)+1)^(-0.1*AE8))</f>
        <v>99.282258961094755</v>
      </c>
    </row>
    <row r="10" spans="1:32" ht="18.600000000000001" customHeight="1">
      <c r="A10">
        <v>1</v>
      </c>
      <c r="B10" s="15">
        <v>0.6</v>
      </c>
      <c r="C10" s="19">
        <v>1</v>
      </c>
      <c r="D10" s="19" t="s">
        <v>107</v>
      </c>
      <c r="E10" s="15">
        <v>173</v>
      </c>
      <c r="F10" s="15">
        <v>78</v>
      </c>
      <c r="G10" s="15" t="s">
        <v>66</v>
      </c>
      <c r="H10" s="67" t="s">
        <v>67</v>
      </c>
      <c r="I10" s="15">
        <v>4</v>
      </c>
      <c r="J10" s="15">
        <v>99.944319800812977</v>
      </c>
      <c r="K10" s="15">
        <v>20</v>
      </c>
      <c r="L10" s="15">
        <v>0.6</v>
      </c>
      <c r="M10" s="15">
        <v>15</v>
      </c>
      <c r="N10" s="15">
        <v>4</v>
      </c>
      <c r="O10" s="15">
        <v>2</v>
      </c>
      <c r="P10" s="15">
        <v>0.3</v>
      </c>
      <c r="Q10" s="15">
        <v>4</v>
      </c>
      <c r="R10" s="65" t="s">
        <v>68</v>
      </c>
      <c r="S10" s="2">
        <v>5</v>
      </c>
      <c r="T10" s="45" t="s">
        <v>69</v>
      </c>
      <c r="U10" s="17">
        <v>2</v>
      </c>
      <c r="V10" s="46" t="s">
        <v>70</v>
      </c>
      <c r="W10" s="45">
        <v>5</v>
      </c>
      <c r="X10" s="15">
        <f>SUM(O10,Q10,S10,U10,W10)</f>
        <v>18</v>
      </c>
      <c r="Y10" s="15" t="s">
        <v>152</v>
      </c>
      <c r="Z10" s="15">
        <v>15</v>
      </c>
      <c r="AA10" s="15">
        <f t="shared" ref="AA10:AA22" si="0">SUM(I10,K10,M10,X10,Z10)</f>
        <v>72</v>
      </c>
      <c r="AB10" s="15" t="s">
        <v>150</v>
      </c>
      <c r="AD10" t="s">
        <v>24</v>
      </c>
    </row>
    <row r="11" spans="1:32" ht="18.2" customHeight="1">
      <c r="A11">
        <v>2</v>
      </c>
      <c r="B11" s="15">
        <v>2.1</v>
      </c>
      <c r="C11" s="15">
        <v>2</v>
      </c>
      <c r="D11" s="16" t="s">
        <v>107</v>
      </c>
      <c r="E11" s="15">
        <v>187</v>
      </c>
      <c r="F11" s="15">
        <v>85</v>
      </c>
      <c r="G11" s="15" t="s">
        <v>66</v>
      </c>
      <c r="H11" s="67" t="s">
        <v>67</v>
      </c>
      <c r="I11" s="15">
        <v>4</v>
      </c>
      <c r="J11" s="15">
        <v>99.944319800812977</v>
      </c>
      <c r="K11" s="15">
        <v>20</v>
      </c>
      <c r="L11" s="15">
        <v>1.5</v>
      </c>
      <c r="M11" s="15">
        <v>15</v>
      </c>
      <c r="N11" s="15">
        <v>0.6</v>
      </c>
      <c r="O11" s="15">
        <v>6</v>
      </c>
      <c r="P11" s="15">
        <v>0.1</v>
      </c>
      <c r="Q11" s="15">
        <v>4</v>
      </c>
      <c r="R11" s="65" t="s">
        <v>68</v>
      </c>
      <c r="S11" s="2">
        <v>5</v>
      </c>
      <c r="T11" s="60" t="s">
        <v>69</v>
      </c>
      <c r="U11" s="17">
        <v>2</v>
      </c>
      <c r="V11" s="46" t="s">
        <v>70</v>
      </c>
      <c r="W11" s="45">
        <v>5</v>
      </c>
      <c r="X11" s="15">
        <f t="shared" ref="X11:X22" si="1">SUM(O11,Q11,S11,U11,W11)</f>
        <v>22</v>
      </c>
      <c r="Y11" s="15" t="s">
        <v>152</v>
      </c>
      <c r="Z11" s="15">
        <v>15</v>
      </c>
      <c r="AA11" s="15">
        <f t="shared" si="0"/>
        <v>76</v>
      </c>
      <c r="AB11" s="15" t="s">
        <v>150</v>
      </c>
      <c r="AD11" t="s">
        <v>26</v>
      </c>
    </row>
    <row r="12" spans="1:32" ht="18.600000000000001" customHeight="1">
      <c r="A12">
        <v>3</v>
      </c>
      <c r="B12" s="15">
        <v>2.8</v>
      </c>
      <c r="C12" s="15">
        <v>3</v>
      </c>
      <c r="D12" s="16" t="s">
        <v>87</v>
      </c>
      <c r="E12" s="15">
        <v>150</v>
      </c>
      <c r="F12" s="15">
        <v>70</v>
      </c>
      <c r="G12" s="15" t="s">
        <v>66</v>
      </c>
      <c r="H12" s="67" t="s">
        <v>67</v>
      </c>
      <c r="I12" s="15">
        <v>4</v>
      </c>
      <c r="J12" s="15">
        <v>99.944319800812977</v>
      </c>
      <c r="K12" s="15">
        <v>20</v>
      </c>
      <c r="L12" s="15">
        <v>0.7</v>
      </c>
      <c r="M12" s="15">
        <v>15</v>
      </c>
      <c r="N12" s="15">
        <v>1.5</v>
      </c>
      <c r="O12" s="15">
        <v>4</v>
      </c>
      <c r="P12" s="15">
        <v>0</v>
      </c>
      <c r="Q12" s="15">
        <v>6</v>
      </c>
      <c r="R12" s="65" t="s">
        <v>68</v>
      </c>
      <c r="S12" s="65">
        <v>5</v>
      </c>
      <c r="T12" s="64" t="s">
        <v>151</v>
      </c>
      <c r="U12" s="17">
        <v>6</v>
      </c>
      <c r="V12" s="46" t="s">
        <v>70</v>
      </c>
      <c r="W12" s="45">
        <v>5</v>
      </c>
      <c r="X12" s="15">
        <f t="shared" si="1"/>
        <v>26</v>
      </c>
      <c r="Y12" s="15" t="s">
        <v>152</v>
      </c>
      <c r="Z12" s="15">
        <v>15</v>
      </c>
      <c r="AA12" s="15">
        <f t="shared" si="0"/>
        <v>80</v>
      </c>
      <c r="AB12" s="15" t="s">
        <v>150</v>
      </c>
    </row>
    <row r="13" spans="1:32" ht="18.600000000000001" customHeight="1">
      <c r="A13">
        <v>4</v>
      </c>
      <c r="B13" s="15">
        <v>3.2</v>
      </c>
      <c r="C13" s="15">
        <v>4</v>
      </c>
      <c r="D13" s="15" t="s">
        <v>106</v>
      </c>
      <c r="E13" s="15">
        <v>215</v>
      </c>
      <c r="F13" s="15">
        <v>70</v>
      </c>
      <c r="G13" s="15" t="s">
        <v>66</v>
      </c>
      <c r="H13" s="67" t="s">
        <v>67</v>
      </c>
      <c r="I13" s="15">
        <v>4</v>
      </c>
      <c r="J13" s="15">
        <v>99.944319800812977</v>
      </c>
      <c r="K13" s="15">
        <v>20</v>
      </c>
      <c r="L13" s="15">
        <v>0.4</v>
      </c>
      <c r="M13" s="15">
        <v>10</v>
      </c>
      <c r="N13" s="15">
        <v>0.5</v>
      </c>
      <c r="O13" s="15">
        <v>6</v>
      </c>
      <c r="P13" s="15">
        <v>0</v>
      </c>
      <c r="Q13" s="15">
        <v>6</v>
      </c>
      <c r="R13" s="65" t="s">
        <v>68</v>
      </c>
      <c r="S13" s="65">
        <v>5</v>
      </c>
      <c r="T13" s="64" t="s">
        <v>151</v>
      </c>
      <c r="U13" s="17">
        <v>6</v>
      </c>
      <c r="V13" s="46" t="s">
        <v>70</v>
      </c>
      <c r="W13" s="45">
        <v>5</v>
      </c>
      <c r="X13" s="15">
        <f t="shared" si="1"/>
        <v>28</v>
      </c>
      <c r="Y13" s="15" t="s">
        <v>152</v>
      </c>
      <c r="Z13" s="15">
        <v>15</v>
      </c>
      <c r="AA13" s="15">
        <f t="shared" si="0"/>
        <v>77</v>
      </c>
      <c r="AB13" s="15" t="s">
        <v>150</v>
      </c>
    </row>
    <row r="14" spans="1:32" ht="18.600000000000001" customHeight="1">
      <c r="A14">
        <v>5</v>
      </c>
      <c r="B14" s="15">
        <v>3.6</v>
      </c>
      <c r="C14" s="15">
        <v>5</v>
      </c>
      <c r="D14" s="15" t="s">
        <v>106</v>
      </c>
      <c r="E14" s="15">
        <v>210</v>
      </c>
      <c r="F14" s="15">
        <v>72</v>
      </c>
      <c r="G14" s="15" t="s">
        <v>66</v>
      </c>
      <c r="H14" s="67" t="s">
        <v>67</v>
      </c>
      <c r="I14" s="15">
        <v>4</v>
      </c>
      <c r="J14" s="15">
        <v>99.944319800812977</v>
      </c>
      <c r="K14" s="15">
        <v>20</v>
      </c>
      <c r="L14" s="15">
        <v>0.4</v>
      </c>
      <c r="M14" s="15">
        <v>10</v>
      </c>
      <c r="N14" s="15">
        <v>0.5</v>
      </c>
      <c r="O14" s="15">
        <v>6</v>
      </c>
      <c r="P14" s="15">
        <v>0</v>
      </c>
      <c r="Q14" s="15">
        <v>6</v>
      </c>
      <c r="R14" s="65" t="s">
        <v>68</v>
      </c>
      <c r="S14" s="65">
        <v>5</v>
      </c>
      <c r="T14" s="64" t="s">
        <v>151</v>
      </c>
      <c r="U14" s="17">
        <v>6</v>
      </c>
      <c r="V14" s="46" t="s">
        <v>70</v>
      </c>
      <c r="W14" s="45">
        <v>5</v>
      </c>
      <c r="X14" s="15">
        <f t="shared" si="1"/>
        <v>28</v>
      </c>
      <c r="Y14" s="15" t="s">
        <v>152</v>
      </c>
      <c r="Z14" s="15">
        <v>15</v>
      </c>
      <c r="AA14" s="15">
        <f t="shared" si="0"/>
        <v>77</v>
      </c>
      <c r="AB14" s="15" t="s">
        <v>150</v>
      </c>
    </row>
    <row r="15" spans="1:32" ht="18.600000000000001" customHeight="1">
      <c r="A15">
        <v>6</v>
      </c>
      <c r="B15" s="15">
        <v>4.9000000000000004</v>
      </c>
      <c r="C15" s="15">
        <v>6</v>
      </c>
      <c r="D15" s="15" t="s">
        <v>106</v>
      </c>
      <c r="E15" s="15">
        <v>210</v>
      </c>
      <c r="F15" s="15">
        <v>72</v>
      </c>
      <c r="G15" s="15" t="s">
        <v>66</v>
      </c>
      <c r="H15" s="67" t="s">
        <v>67</v>
      </c>
      <c r="I15" s="15">
        <v>4</v>
      </c>
      <c r="J15" s="15">
        <v>99.944319800812977</v>
      </c>
      <c r="K15" s="15">
        <v>20</v>
      </c>
      <c r="L15" s="15">
        <v>1.3</v>
      </c>
      <c r="M15" s="15">
        <v>15</v>
      </c>
      <c r="N15" s="15">
        <v>0.11</v>
      </c>
      <c r="O15" s="15">
        <v>6</v>
      </c>
      <c r="P15" s="15">
        <v>0</v>
      </c>
      <c r="Q15" s="15">
        <v>6</v>
      </c>
      <c r="R15" s="65" t="s">
        <v>68</v>
      </c>
      <c r="S15" s="65">
        <v>5</v>
      </c>
      <c r="T15" s="64" t="s">
        <v>151</v>
      </c>
      <c r="U15" s="17">
        <v>6</v>
      </c>
      <c r="V15" s="46" t="s">
        <v>70</v>
      </c>
      <c r="W15" s="45">
        <v>5</v>
      </c>
      <c r="X15" s="15">
        <f t="shared" si="1"/>
        <v>28</v>
      </c>
      <c r="Y15" s="15" t="s">
        <v>152</v>
      </c>
      <c r="Z15" s="15">
        <v>15</v>
      </c>
      <c r="AA15" s="15">
        <f t="shared" si="0"/>
        <v>82</v>
      </c>
      <c r="AB15" s="15" t="s">
        <v>154</v>
      </c>
    </row>
    <row r="16" spans="1:32" ht="18.600000000000001" customHeight="1">
      <c r="A16">
        <v>7</v>
      </c>
      <c r="B16" s="15">
        <v>6.6</v>
      </c>
      <c r="C16" s="15">
        <v>7</v>
      </c>
      <c r="D16" s="15" t="s">
        <v>107</v>
      </c>
      <c r="E16" s="15">
        <v>190</v>
      </c>
      <c r="F16" s="15">
        <v>85</v>
      </c>
      <c r="G16" s="15" t="s">
        <v>66</v>
      </c>
      <c r="H16" s="67" t="s">
        <v>67</v>
      </c>
      <c r="I16" s="15">
        <v>4</v>
      </c>
      <c r="J16" s="15">
        <v>99.944319800812977</v>
      </c>
      <c r="K16" s="15">
        <v>20</v>
      </c>
      <c r="L16" s="15">
        <v>1.7</v>
      </c>
      <c r="M16" s="15">
        <v>15</v>
      </c>
      <c r="N16" s="15">
        <v>4</v>
      </c>
      <c r="O16" s="15">
        <v>2</v>
      </c>
      <c r="P16" s="15">
        <v>0</v>
      </c>
      <c r="Q16" s="15">
        <v>6</v>
      </c>
      <c r="R16" s="65" t="s">
        <v>79</v>
      </c>
      <c r="S16" s="65">
        <v>1</v>
      </c>
      <c r="T16" s="64" t="s">
        <v>151</v>
      </c>
      <c r="U16" s="17">
        <v>6</v>
      </c>
      <c r="V16" s="46" t="s">
        <v>70</v>
      </c>
      <c r="W16" s="45">
        <v>5</v>
      </c>
      <c r="X16" s="15">
        <f t="shared" si="1"/>
        <v>20</v>
      </c>
      <c r="Y16" s="15" t="s">
        <v>152</v>
      </c>
      <c r="Z16" s="15">
        <v>15</v>
      </c>
      <c r="AA16" s="15">
        <f t="shared" si="0"/>
        <v>74</v>
      </c>
      <c r="AB16" s="15" t="s">
        <v>150</v>
      </c>
    </row>
    <row r="17" spans="1:28" ht="18.600000000000001" customHeight="1">
      <c r="A17">
        <v>8</v>
      </c>
      <c r="B17" s="15">
        <v>8.4</v>
      </c>
      <c r="C17" s="15">
        <v>8</v>
      </c>
      <c r="D17" s="15" t="s">
        <v>107</v>
      </c>
      <c r="E17" s="15">
        <v>185</v>
      </c>
      <c r="F17" s="15">
        <v>80</v>
      </c>
      <c r="G17" s="15" t="s">
        <v>66</v>
      </c>
      <c r="H17" s="67" t="s">
        <v>67</v>
      </c>
      <c r="I17" s="15">
        <v>4</v>
      </c>
      <c r="J17" s="15">
        <v>99.944319800812977</v>
      </c>
      <c r="K17" s="15">
        <v>20</v>
      </c>
      <c r="L17" s="15">
        <v>1.8</v>
      </c>
      <c r="M17" s="15">
        <v>15</v>
      </c>
      <c r="N17" s="15">
        <v>0.1</v>
      </c>
      <c r="O17" s="15">
        <v>6</v>
      </c>
      <c r="P17" s="15">
        <v>0</v>
      </c>
      <c r="Q17" s="15">
        <v>6</v>
      </c>
      <c r="R17" s="65" t="s">
        <v>68</v>
      </c>
      <c r="S17" s="65">
        <v>5</v>
      </c>
      <c r="T17" s="64" t="s">
        <v>151</v>
      </c>
      <c r="U17" s="17">
        <v>6</v>
      </c>
      <c r="V17" s="46" t="s">
        <v>70</v>
      </c>
      <c r="W17" s="45">
        <v>5</v>
      </c>
      <c r="X17" s="15">
        <f t="shared" si="1"/>
        <v>28</v>
      </c>
      <c r="Y17" s="15" t="s">
        <v>152</v>
      </c>
      <c r="Z17" s="15">
        <v>15</v>
      </c>
      <c r="AA17" s="15">
        <f t="shared" si="0"/>
        <v>82</v>
      </c>
      <c r="AB17" s="15" t="s">
        <v>154</v>
      </c>
    </row>
    <row r="18" spans="1:28" ht="18.600000000000001" customHeight="1">
      <c r="A18">
        <v>9</v>
      </c>
      <c r="B18" s="15">
        <v>8.65</v>
      </c>
      <c r="C18" s="15">
        <v>9</v>
      </c>
      <c r="D18" s="15" t="s">
        <v>105</v>
      </c>
      <c r="E18" s="15">
        <v>125</v>
      </c>
      <c r="F18" s="15">
        <v>22</v>
      </c>
      <c r="G18" s="15" t="s">
        <v>66</v>
      </c>
      <c r="H18" s="67" t="s">
        <v>67</v>
      </c>
      <c r="I18" s="15">
        <v>4</v>
      </c>
      <c r="J18" s="15">
        <v>99.944319800812977</v>
      </c>
      <c r="K18" s="15">
        <v>20</v>
      </c>
      <c r="L18" s="15">
        <v>0.2</v>
      </c>
      <c r="M18" s="15">
        <v>10</v>
      </c>
      <c r="N18" s="15">
        <v>22</v>
      </c>
      <c r="O18" s="15">
        <v>0</v>
      </c>
      <c r="P18" s="15">
        <v>0</v>
      </c>
      <c r="Q18" s="15">
        <v>6</v>
      </c>
      <c r="R18" s="65" t="s">
        <v>79</v>
      </c>
      <c r="S18" s="65">
        <v>1</v>
      </c>
      <c r="T18" s="64" t="s">
        <v>151</v>
      </c>
      <c r="U18" s="17">
        <v>6</v>
      </c>
      <c r="V18" s="46" t="s">
        <v>70</v>
      </c>
      <c r="W18" s="45">
        <v>5</v>
      </c>
      <c r="X18" s="15">
        <f t="shared" si="1"/>
        <v>18</v>
      </c>
      <c r="Y18" s="15" t="s">
        <v>152</v>
      </c>
      <c r="Z18" s="15">
        <v>15</v>
      </c>
      <c r="AA18" s="15">
        <f t="shared" si="0"/>
        <v>67</v>
      </c>
      <c r="AB18" s="15" t="s">
        <v>150</v>
      </c>
    </row>
    <row r="19" spans="1:28" ht="18.600000000000001" customHeight="1">
      <c r="A19">
        <v>10</v>
      </c>
      <c r="B19" s="15">
        <v>9.5</v>
      </c>
      <c r="C19" s="15">
        <v>10</v>
      </c>
      <c r="D19" s="15" t="s">
        <v>105</v>
      </c>
      <c r="E19" s="15">
        <v>125</v>
      </c>
      <c r="F19" s="15">
        <v>22</v>
      </c>
      <c r="G19" s="15" t="s">
        <v>66</v>
      </c>
      <c r="H19" s="67" t="s">
        <v>67</v>
      </c>
      <c r="I19" s="15">
        <v>4</v>
      </c>
      <c r="J19" s="15">
        <v>99.944319800812977</v>
      </c>
      <c r="K19" s="15">
        <v>20</v>
      </c>
      <c r="L19" s="15">
        <v>0.9</v>
      </c>
      <c r="M19" s="15">
        <v>15</v>
      </c>
      <c r="N19" s="15">
        <v>22</v>
      </c>
      <c r="O19" s="15">
        <v>0</v>
      </c>
      <c r="P19" s="15">
        <v>0</v>
      </c>
      <c r="Q19" s="15">
        <v>6</v>
      </c>
      <c r="R19" s="65" t="s">
        <v>79</v>
      </c>
      <c r="S19" s="65">
        <v>1</v>
      </c>
      <c r="T19" s="64" t="s">
        <v>151</v>
      </c>
      <c r="U19" s="17">
        <v>6</v>
      </c>
      <c r="V19" s="46" t="s">
        <v>70</v>
      </c>
      <c r="W19" s="45">
        <v>5</v>
      </c>
      <c r="X19" s="15">
        <f t="shared" si="1"/>
        <v>18</v>
      </c>
      <c r="Y19" s="15" t="s">
        <v>152</v>
      </c>
      <c r="Z19" s="15">
        <v>15</v>
      </c>
      <c r="AA19" s="15">
        <f t="shared" si="0"/>
        <v>72</v>
      </c>
      <c r="AB19" s="15" t="s">
        <v>150</v>
      </c>
    </row>
    <row r="20" spans="1:28" ht="18.600000000000001" customHeight="1">
      <c r="A20">
        <v>11</v>
      </c>
      <c r="B20" s="15">
        <v>13.2</v>
      </c>
      <c r="C20" s="15">
        <v>11</v>
      </c>
      <c r="D20" s="15" t="s">
        <v>107</v>
      </c>
      <c r="E20" s="15">
        <v>185</v>
      </c>
      <c r="F20" s="15">
        <v>78</v>
      </c>
      <c r="G20" s="15" t="s">
        <v>66</v>
      </c>
      <c r="H20" s="67" t="s">
        <v>67</v>
      </c>
      <c r="I20" s="15">
        <v>4</v>
      </c>
      <c r="J20" s="15">
        <v>99.944319800812977</v>
      </c>
      <c r="K20" s="15">
        <v>20</v>
      </c>
      <c r="L20" s="15">
        <v>3.7</v>
      </c>
      <c r="M20" s="15">
        <v>20</v>
      </c>
      <c r="N20" s="15">
        <v>0.35</v>
      </c>
      <c r="O20" s="15">
        <v>6</v>
      </c>
      <c r="P20" s="15">
        <v>0</v>
      </c>
      <c r="Q20" s="15">
        <v>6</v>
      </c>
      <c r="R20" s="65" t="s">
        <v>84</v>
      </c>
      <c r="S20" s="65">
        <v>3</v>
      </c>
      <c r="T20" s="64" t="s">
        <v>151</v>
      </c>
      <c r="U20" s="17">
        <v>6</v>
      </c>
      <c r="V20" s="46" t="s">
        <v>70</v>
      </c>
      <c r="W20" s="45">
        <v>5</v>
      </c>
      <c r="X20" s="15">
        <f t="shared" si="1"/>
        <v>26</v>
      </c>
      <c r="Y20" s="15" t="s">
        <v>152</v>
      </c>
      <c r="Z20" s="15">
        <v>15</v>
      </c>
      <c r="AA20" s="15">
        <f t="shared" si="0"/>
        <v>85</v>
      </c>
      <c r="AB20" s="15" t="s">
        <v>154</v>
      </c>
    </row>
    <row r="21" spans="1:28" ht="18.600000000000001" customHeight="1">
      <c r="A21">
        <v>12</v>
      </c>
      <c r="B21" s="15">
        <v>13.3</v>
      </c>
      <c r="C21" s="15">
        <v>12</v>
      </c>
      <c r="D21" s="16" t="s">
        <v>106</v>
      </c>
      <c r="E21" s="15">
        <v>220</v>
      </c>
      <c r="F21" s="15">
        <v>85</v>
      </c>
      <c r="G21" s="15" t="s">
        <v>66</v>
      </c>
      <c r="H21" s="67" t="s">
        <v>67</v>
      </c>
      <c r="I21" s="15">
        <v>4</v>
      </c>
      <c r="J21" s="15">
        <v>99.944319800812977</v>
      </c>
      <c r="K21" s="15">
        <v>20</v>
      </c>
      <c r="L21" s="15">
        <v>0.1</v>
      </c>
      <c r="M21" s="15">
        <v>8</v>
      </c>
      <c r="N21" s="15">
        <v>0.35</v>
      </c>
      <c r="O21" s="15">
        <v>6</v>
      </c>
      <c r="P21" s="15">
        <v>0</v>
      </c>
      <c r="Q21" s="15">
        <v>6</v>
      </c>
      <c r="R21" s="65" t="s">
        <v>68</v>
      </c>
      <c r="S21" s="65">
        <v>5</v>
      </c>
      <c r="T21" s="64" t="s">
        <v>151</v>
      </c>
      <c r="U21" s="17">
        <v>6</v>
      </c>
      <c r="V21" s="46" t="s">
        <v>70</v>
      </c>
      <c r="W21" s="45">
        <v>5</v>
      </c>
      <c r="X21" s="15">
        <f t="shared" si="1"/>
        <v>28</v>
      </c>
      <c r="Y21" s="15" t="s">
        <v>152</v>
      </c>
      <c r="Z21" s="15">
        <v>15</v>
      </c>
      <c r="AA21" s="15">
        <f t="shared" si="0"/>
        <v>75</v>
      </c>
      <c r="AB21" s="15" t="s">
        <v>150</v>
      </c>
    </row>
    <row r="22" spans="1:28" ht="18.600000000000001" customHeight="1">
      <c r="A22">
        <v>13</v>
      </c>
      <c r="B22" s="15">
        <v>14.2</v>
      </c>
      <c r="C22" s="15">
        <v>13</v>
      </c>
      <c r="D22" s="15" t="s">
        <v>106</v>
      </c>
      <c r="E22" s="15">
        <v>220</v>
      </c>
      <c r="F22" s="15">
        <v>85</v>
      </c>
      <c r="G22" s="16" t="s">
        <v>66</v>
      </c>
      <c r="H22" s="67" t="s">
        <v>67</v>
      </c>
      <c r="I22" s="15">
        <v>4</v>
      </c>
      <c r="J22" s="15">
        <v>99.944319800812977</v>
      </c>
      <c r="K22" s="15">
        <v>20</v>
      </c>
      <c r="L22" s="15">
        <v>0.9</v>
      </c>
      <c r="M22" s="15">
        <v>15</v>
      </c>
      <c r="N22" s="15">
        <v>0.35</v>
      </c>
      <c r="O22" s="15">
        <v>6</v>
      </c>
      <c r="P22" s="15">
        <v>0</v>
      </c>
      <c r="Q22" s="15">
        <v>6</v>
      </c>
      <c r="R22" s="65" t="s">
        <v>68</v>
      </c>
      <c r="S22" s="65">
        <v>5</v>
      </c>
      <c r="T22" s="64" t="s">
        <v>151</v>
      </c>
      <c r="U22" s="17">
        <v>6</v>
      </c>
      <c r="V22" s="46" t="s">
        <v>70</v>
      </c>
      <c r="W22" s="45">
        <v>5</v>
      </c>
      <c r="X22" s="15">
        <f t="shared" si="1"/>
        <v>28</v>
      </c>
      <c r="Y22" s="15" t="s">
        <v>152</v>
      </c>
      <c r="Z22" s="15">
        <v>15</v>
      </c>
      <c r="AA22" s="15">
        <f t="shared" si="0"/>
        <v>82</v>
      </c>
      <c r="AB22" s="15" t="s">
        <v>154</v>
      </c>
    </row>
    <row r="23" spans="1:28" ht="18" customHeight="1">
      <c r="B23" s="60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3"/>
      <c r="U23" s="43"/>
      <c r="V23" s="62"/>
      <c r="W23" s="62"/>
      <c r="X23" s="61"/>
      <c r="Y23" s="94" t="s">
        <v>149</v>
      </c>
      <c r="Z23" s="95"/>
      <c r="AA23" s="15">
        <f>AVERAGE(AA10:AA22)</f>
        <v>77</v>
      </c>
      <c r="AB23" s="15" t="s">
        <v>150</v>
      </c>
    </row>
    <row r="24" spans="1:28" ht="18.600000000000001" customHeight="1"/>
    <row r="25" spans="1:28" ht="18.2" customHeight="1"/>
    <row r="26" spans="1:28" ht="18.600000000000001" customHeight="1"/>
    <row r="27" spans="1:28" ht="18.600000000000001" customHeight="1"/>
    <row r="28" spans="1:28" ht="18.600000000000001" customHeight="1"/>
    <row r="29" spans="1:28" ht="18.600000000000001" customHeight="1"/>
    <row r="30" spans="1:28" ht="18.600000000000001" customHeight="1"/>
    <row r="31" spans="1:28" ht="18.600000000000001" customHeight="1"/>
    <row r="32" spans="1:28" ht="18.2" customHeight="1"/>
    <row r="33" ht="18.600000000000001" customHeight="1"/>
    <row r="34" ht="18.600000000000001" customHeight="1"/>
    <row r="35" ht="18.2" customHeight="1"/>
    <row r="36" ht="18.600000000000001" customHeight="1"/>
    <row r="37" ht="18.600000000000001" customHeight="1"/>
    <row r="38" ht="18.600000000000001" customHeight="1"/>
    <row r="39" ht="18.600000000000001" customHeight="1"/>
    <row r="40" ht="18.2" customHeight="1"/>
    <row r="41" ht="18.600000000000001" customHeight="1"/>
    <row r="42" ht="18.600000000000001" customHeight="1"/>
    <row r="43" ht="18.600000000000001" customHeight="1"/>
    <row r="44" ht="18.600000000000001" customHeight="1"/>
    <row r="45" ht="18.600000000000001" customHeight="1"/>
    <row r="46" ht="18.600000000000001" customHeight="1"/>
    <row r="47" ht="18.600000000000001" customHeight="1"/>
    <row r="48" ht="18.600000000000001" customHeight="1"/>
    <row r="49" ht="18.2" customHeight="1"/>
    <row r="50" ht="18.600000000000001" customHeight="1"/>
    <row r="51" ht="18.600000000000001" customHeight="1"/>
    <row r="52" ht="408.95" customHeight="1"/>
    <row r="53" ht="408.95" customHeight="1"/>
    <row r="54" ht="39.950000000000003" customHeight="1"/>
  </sheetData>
  <mergeCells count="31">
    <mergeCell ref="B1:G1"/>
    <mergeCell ref="H1:R1"/>
    <mergeCell ref="S1:W1"/>
    <mergeCell ref="B2:G2"/>
    <mergeCell ref="H2:R2"/>
    <mergeCell ref="S2:W2"/>
    <mergeCell ref="Y7:Z7"/>
    <mergeCell ref="AA7:AB7"/>
    <mergeCell ref="N7:W7"/>
    <mergeCell ref="Y23:Z23"/>
    <mergeCell ref="B3:G3"/>
    <mergeCell ref="H3:R3"/>
    <mergeCell ref="S3:W3"/>
    <mergeCell ref="B4:G4"/>
    <mergeCell ref="H4:R4"/>
    <mergeCell ref="S4:W4"/>
    <mergeCell ref="B5:G5"/>
    <mergeCell ref="H5:R5"/>
    <mergeCell ref="S5:W5"/>
    <mergeCell ref="B6:AB6"/>
    <mergeCell ref="B7:B9"/>
    <mergeCell ref="E7:F7"/>
    <mergeCell ref="C7:D7"/>
    <mergeCell ref="T8:U8"/>
    <mergeCell ref="V8:W8"/>
    <mergeCell ref="N8:O8"/>
    <mergeCell ref="P8:Q8"/>
    <mergeCell ref="R8:S8"/>
    <mergeCell ref="G7:I7"/>
    <mergeCell ref="J7:K7"/>
    <mergeCell ref="L7:M7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22B9-640E-4CE3-9C57-75FAED60E9A2}">
  <dimension ref="A1:AA76"/>
  <sheetViews>
    <sheetView topLeftCell="A5" zoomScale="70" zoomScaleNormal="70" workbookViewId="0">
      <selection activeCell="I10" sqref="I10"/>
    </sheetView>
  </sheetViews>
  <sheetFormatPr defaultColWidth="8.83203125" defaultRowHeight="15"/>
  <cols>
    <col min="1" max="1" width="8.83203125" style="20" bestFit="1" customWidth="1"/>
    <col min="2" max="2" width="12.5" style="20" customWidth="1"/>
    <col min="3" max="3" width="8.83203125" style="20" bestFit="1" customWidth="1"/>
    <col min="4" max="4" width="17.33203125" style="20" bestFit="1" customWidth="1"/>
    <col min="5" max="5" width="20.6640625" style="20" bestFit="1" customWidth="1"/>
    <col min="6" max="6" width="12.83203125" style="20" bestFit="1" customWidth="1"/>
    <col min="7" max="7" width="16.33203125" style="20" bestFit="1" customWidth="1"/>
    <col min="8" max="9" width="8.83203125" style="20" bestFit="1" customWidth="1"/>
    <col min="10" max="10" width="14.1640625" style="20" bestFit="1" customWidth="1"/>
    <col min="11" max="13" width="13.33203125" style="20" bestFit="1" customWidth="1"/>
    <col min="14" max="14" width="6.1640625" style="20" bestFit="1" customWidth="1"/>
    <col min="15" max="16" width="13.33203125" style="20" bestFit="1" customWidth="1"/>
    <col min="17" max="21" width="8.83203125" style="20" bestFit="1" customWidth="1"/>
    <col min="22" max="22" width="12.83203125" style="20" bestFit="1" customWidth="1"/>
    <col min="23" max="23" width="8.83203125" style="20" bestFit="1" customWidth="1"/>
    <col min="24" max="25" width="8.83203125" style="20" customWidth="1"/>
    <col min="26" max="26" width="11.6640625" style="20" customWidth="1"/>
    <col min="27" max="27" width="29.1640625" style="20" customWidth="1"/>
    <col min="28" max="29" width="13.1640625" style="20" bestFit="1" customWidth="1"/>
    <col min="30" max="38" width="8.83203125" style="20" bestFit="1" customWidth="1"/>
    <col min="39" max="16384" width="8.83203125" style="20"/>
  </cols>
  <sheetData>
    <row r="1" spans="1:27">
      <c r="D1" s="38" t="s">
        <v>145</v>
      </c>
      <c r="E1" s="42">
        <v>45068</v>
      </c>
      <c r="F1" s="38"/>
      <c r="G1" s="38"/>
      <c r="H1" s="38"/>
      <c r="V1" s="41"/>
    </row>
    <row r="2" spans="1:27">
      <c r="D2" s="38" t="s">
        <v>144</v>
      </c>
      <c r="E2" s="54">
        <v>0.33333333333333331</v>
      </c>
      <c r="F2" s="38"/>
      <c r="G2" s="38"/>
      <c r="H2" s="38"/>
      <c r="V2" s="41"/>
    </row>
    <row r="3" spans="1:27">
      <c r="D3" s="38" t="s">
        <v>143</v>
      </c>
      <c r="E3" s="38" t="s">
        <v>142</v>
      </c>
      <c r="F3" s="38"/>
      <c r="G3" s="38"/>
      <c r="H3" s="38"/>
      <c r="V3" s="41"/>
    </row>
    <row r="4" spans="1:27">
      <c r="D4" s="38" t="s">
        <v>141</v>
      </c>
      <c r="E4" s="55" t="s">
        <v>73</v>
      </c>
      <c r="F4" s="38"/>
      <c r="G4" s="38"/>
      <c r="H4" s="38"/>
      <c r="V4" s="41"/>
    </row>
    <row r="5" spans="1:27">
      <c r="D5" s="38" t="s">
        <v>140</v>
      </c>
      <c r="E5" s="55" t="s">
        <v>73</v>
      </c>
      <c r="F5" s="38"/>
      <c r="G5" s="38"/>
      <c r="H5" s="38"/>
      <c r="V5" s="41"/>
    </row>
    <row r="6" spans="1:27">
      <c r="D6" s="38" t="s">
        <v>139</v>
      </c>
      <c r="E6" s="55" t="s">
        <v>73</v>
      </c>
      <c r="F6" s="38"/>
      <c r="G6" s="38"/>
      <c r="H6" s="38"/>
      <c r="V6" s="41"/>
    </row>
    <row r="7" spans="1:27">
      <c r="D7" s="38" t="s">
        <v>138</v>
      </c>
      <c r="E7" s="38" t="s">
        <v>61</v>
      </c>
      <c r="F7" s="38"/>
      <c r="G7" s="38"/>
      <c r="H7" s="38"/>
      <c r="V7" s="41"/>
    </row>
    <row r="8" spans="1:27">
      <c r="D8" s="38" t="s">
        <v>137</v>
      </c>
      <c r="E8" s="38">
        <v>15</v>
      </c>
      <c r="F8" s="38"/>
      <c r="G8" s="38"/>
      <c r="H8" s="38"/>
      <c r="V8" s="41"/>
    </row>
    <row r="9" spans="1:27">
      <c r="D9" s="38" t="s">
        <v>136</v>
      </c>
      <c r="E9" s="38">
        <v>184</v>
      </c>
      <c r="F9" s="38"/>
      <c r="G9" s="38"/>
      <c r="H9" s="38"/>
      <c r="S9" s="20" t="s">
        <v>135</v>
      </c>
      <c r="T9" s="20" t="s">
        <v>134</v>
      </c>
      <c r="V9" s="41"/>
    </row>
    <row r="10" spans="1:27">
      <c r="D10" s="38"/>
      <c r="E10" s="38"/>
      <c r="F10" s="38" t="s">
        <v>96</v>
      </c>
      <c r="G10" s="38" t="s">
        <v>94</v>
      </c>
      <c r="H10" s="38" t="s">
        <v>133</v>
      </c>
      <c r="I10" s="38" t="s">
        <v>132</v>
      </c>
      <c r="Q10" s="20" t="s">
        <v>131</v>
      </c>
      <c r="S10" s="20" t="s">
        <v>130</v>
      </c>
      <c r="V10" s="41"/>
    </row>
    <row r="11" spans="1:27" ht="15" customHeight="1">
      <c r="D11" s="27" t="s">
        <v>126</v>
      </c>
      <c r="E11" s="27" t="s">
        <v>125</v>
      </c>
      <c r="F11" s="27" t="s">
        <v>53</v>
      </c>
      <c r="G11" s="27" t="s">
        <v>34</v>
      </c>
      <c r="H11" s="27" t="s">
        <v>100</v>
      </c>
      <c r="I11" s="27" t="s">
        <v>98</v>
      </c>
      <c r="Y11" s="38"/>
    </row>
    <row r="12" spans="1:27" ht="30">
      <c r="A12" s="49" t="s">
        <v>129</v>
      </c>
      <c r="B12" s="49" t="s">
        <v>128</v>
      </c>
      <c r="C12" s="49" t="s">
        <v>127</v>
      </c>
      <c r="D12" s="27" t="s">
        <v>112</v>
      </c>
      <c r="E12" s="27" t="s">
        <v>111</v>
      </c>
      <c r="F12" s="27" t="s">
        <v>111</v>
      </c>
      <c r="G12" s="27" t="s">
        <v>110</v>
      </c>
      <c r="H12" s="27" t="s">
        <v>109</v>
      </c>
      <c r="I12" s="27" t="s">
        <v>108</v>
      </c>
      <c r="J12" s="27" t="s">
        <v>124</v>
      </c>
      <c r="K12" s="27" t="s">
        <v>123</v>
      </c>
      <c r="L12" s="27" t="s">
        <v>122</v>
      </c>
      <c r="M12" s="27" t="s">
        <v>121</v>
      </c>
      <c r="N12" s="27" t="s">
        <v>120</v>
      </c>
      <c r="O12" s="27" t="s">
        <v>119</v>
      </c>
      <c r="P12" s="40" t="s">
        <v>103</v>
      </c>
      <c r="Q12" s="82" t="s">
        <v>118</v>
      </c>
      <c r="R12" s="82"/>
      <c r="S12" s="81" t="s">
        <v>117</v>
      </c>
      <c r="T12" s="81" t="s">
        <v>116</v>
      </c>
      <c r="U12" s="81" t="s">
        <v>115</v>
      </c>
      <c r="V12" s="81" t="s">
        <v>114</v>
      </c>
      <c r="W12" s="82" t="s">
        <v>76</v>
      </c>
      <c r="X12" s="49" t="s">
        <v>113</v>
      </c>
      <c r="Y12" s="38"/>
    </row>
    <row r="13" spans="1:27">
      <c r="A13" s="27">
        <v>1</v>
      </c>
      <c r="B13" s="26" t="s">
        <v>107</v>
      </c>
      <c r="C13" s="26">
        <v>1</v>
      </c>
      <c r="D13" s="26">
        <v>0.6</v>
      </c>
      <c r="E13" s="26">
        <v>173</v>
      </c>
      <c r="F13" s="26">
        <f>E13+90</f>
        <v>263</v>
      </c>
      <c r="G13" s="26">
        <v>78</v>
      </c>
      <c r="H13" s="26">
        <f>F13+180-180</f>
        <v>263</v>
      </c>
      <c r="I13" s="26">
        <f>90-G13</f>
        <v>12</v>
      </c>
      <c r="J13" s="26">
        <f>COS((RADIANS(184-H13)))</f>
        <v>0.19080899537654492</v>
      </c>
      <c r="K13" s="26">
        <f>COS((RADIANS(I13)))</f>
        <v>0.97814760073380569</v>
      </c>
      <c r="L13" s="26">
        <f>COS((RADIANS(15)))</f>
        <v>0.96592582628906831</v>
      </c>
      <c r="M13" s="26">
        <f>SIN(RADIANS(I13))</f>
        <v>0.20791169081775934</v>
      </c>
      <c r="N13" s="26">
        <f>SIN((RADIANS(15)))</f>
        <v>0.25881904510252074</v>
      </c>
      <c r="O13" s="26">
        <f>ABS((J13*K13*L13)+(M13*N13))</f>
        <v>0.23409128430020118</v>
      </c>
      <c r="P13" s="27">
        <f>DEGREES(ACOS(RADIANS(DEGREES(O13))))</f>
        <v>76.461936842346105</v>
      </c>
      <c r="Q13" s="26"/>
      <c r="R13" s="26"/>
      <c r="S13" s="26"/>
      <c r="T13" s="26"/>
      <c r="U13" s="26"/>
      <c r="V13" s="107">
        <f>AVERAGE(U19,U23)</f>
        <v>2.759497418485247</v>
      </c>
      <c r="W13" s="110">
        <f>1/V13</f>
        <v>0.3623848289551666</v>
      </c>
      <c r="X13" s="113">
        <f>100*EXP(-0.1*W13)*((0.1*W13) +1)</f>
        <v>99.935903580124076</v>
      </c>
      <c r="Y13" s="52"/>
      <c r="Z13" s="29" t="s">
        <v>104</v>
      </c>
    </row>
    <row r="14" spans="1:27">
      <c r="A14" s="27">
        <v>2</v>
      </c>
      <c r="B14" s="26" t="s">
        <v>107</v>
      </c>
      <c r="C14" s="26">
        <v>2</v>
      </c>
      <c r="D14" s="26">
        <v>2.1</v>
      </c>
      <c r="E14" s="26">
        <v>187</v>
      </c>
      <c r="F14" s="26">
        <f>E14+90</f>
        <v>277</v>
      </c>
      <c r="G14" s="26">
        <v>85</v>
      </c>
      <c r="H14" s="26">
        <f>F14+180-180</f>
        <v>277</v>
      </c>
      <c r="I14" s="26">
        <f>90-G14</f>
        <v>5</v>
      </c>
      <c r="J14" s="26">
        <f>COS((RADIANS(184-H14)))</f>
        <v>-5.2335956242943842E-2</v>
      </c>
      <c r="K14" s="26">
        <f>COS((RADIANS(I14)))</f>
        <v>0.99619469809174555</v>
      </c>
      <c r="L14" s="26">
        <f>COS((RADIANS(15)))</f>
        <v>0.96592582628906831</v>
      </c>
      <c r="M14" s="26">
        <f>SIN(RADIANS(I14))</f>
        <v>8.7155742747658166E-2</v>
      </c>
      <c r="N14" s="26">
        <f>SIN((RADIANS(15)))</f>
        <v>0.25881904510252074</v>
      </c>
      <c r="O14" s="26">
        <f>ABS((J14*K14*L14)+(M14*N14))</f>
        <v>2.7802717563163808E-2</v>
      </c>
      <c r="P14" s="27">
        <f>DEGREES(ACOS(RADIANS(DEGREES(O14))))</f>
        <v>88.406816326864302</v>
      </c>
      <c r="Q14" s="26">
        <v>1</v>
      </c>
      <c r="R14" s="26">
        <v>2</v>
      </c>
      <c r="S14" s="26">
        <f>D14-D13</f>
        <v>1.5</v>
      </c>
      <c r="T14" s="26">
        <f>S14*COS(RADIANS((P13+P14)/2))</f>
        <v>0.19749247866206951</v>
      </c>
      <c r="U14" s="26"/>
      <c r="V14" s="108"/>
      <c r="W14" s="111"/>
      <c r="X14" s="114"/>
      <c r="Y14" s="52"/>
      <c r="Z14" s="20" t="s">
        <v>103</v>
      </c>
      <c r="AA14" s="20" t="s">
        <v>102</v>
      </c>
    </row>
    <row r="15" spans="1:27">
      <c r="A15" s="27">
        <v>3</v>
      </c>
      <c r="B15" s="26" t="s">
        <v>107</v>
      </c>
      <c r="C15" s="26">
        <v>7</v>
      </c>
      <c r="D15" s="26">
        <v>6.6</v>
      </c>
      <c r="E15" s="26">
        <v>190</v>
      </c>
      <c r="F15" s="26">
        <f>E15+90</f>
        <v>280</v>
      </c>
      <c r="G15" s="26">
        <v>85</v>
      </c>
      <c r="H15" s="26">
        <f>F15-180</f>
        <v>100</v>
      </c>
      <c r="I15" s="26">
        <f>90-G15</f>
        <v>5</v>
      </c>
      <c r="J15" s="26">
        <f>COS((RADIANS(184-H15)))</f>
        <v>0.10452846326765346</v>
      </c>
      <c r="K15" s="26">
        <f>COS((RADIANS(I15)))</f>
        <v>0.99619469809174555</v>
      </c>
      <c r="L15" s="26">
        <f>COS((RADIANS(15)))</f>
        <v>0.96592582628906831</v>
      </c>
      <c r="M15" s="26">
        <f>SIN(RADIANS(I15))</f>
        <v>8.7155742747658166E-2</v>
      </c>
      <c r="N15" s="26">
        <f>SIN((RADIANS(15)))</f>
        <v>0.25881904510252074</v>
      </c>
      <c r="O15" s="26">
        <f>ABS((J15*K15*L15)+(M15*N15))</f>
        <v>0.12314009942872071</v>
      </c>
      <c r="P15" s="27">
        <f>DEGREES(ACOS(RADIANS(DEGREES(O15))))</f>
        <v>82.926638473749108</v>
      </c>
      <c r="Q15" s="39">
        <v>2</v>
      </c>
      <c r="R15" s="26">
        <v>3</v>
      </c>
      <c r="S15" s="26">
        <f>D15-D14</f>
        <v>4.5</v>
      </c>
      <c r="T15" s="26">
        <f>S15*COS(RADIANS((P14+P15)/2))</f>
        <v>0.34001008167312602</v>
      </c>
      <c r="U15" s="26"/>
      <c r="V15" s="108"/>
      <c r="W15" s="111"/>
      <c r="X15" s="114"/>
      <c r="Y15" s="52"/>
      <c r="Z15" s="20" t="s">
        <v>100</v>
      </c>
      <c r="AA15" s="20" t="s">
        <v>99</v>
      </c>
    </row>
    <row r="16" spans="1:27">
      <c r="A16" s="27">
        <v>4</v>
      </c>
      <c r="B16" s="26" t="s">
        <v>107</v>
      </c>
      <c r="C16" s="26">
        <v>8</v>
      </c>
      <c r="D16" s="26">
        <v>8.4</v>
      </c>
      <c r="E16" s="26">
        <v>185</v>
      </c>
      <c r="F16" s="26">
        <f>E16+90</f>
        <v>275</v>
      </c>
      <c r="G16" s="26">
        <v>80</v>
      </c>
      <c r="H16" s="26">
        <f>F16-180</f>
        <v>95</v>
      </c>
      <c r="I16" s="26">
        <f>90-G16</f>
        <v>10</v>
      </c>
      <c r="J16" s="26">
        <f>COS((RADIANS(184-H16)))</f>
        <v>1.7452406437283598E-2</v>
      </c>
      <c r="K16" s="26">
        <f>COS((RADIANS(I16)))</f>
        <v>0.98480775301220802</v>
      </c>
      <c r="L16" s="26">
        <f>COS((RADIANS(15)))</f>
        <v>0.96592582628906831</v>
      </c>
      <c r="M16" s="26">
        <f>SIN(RADIANS(I16))</f>
        <v>0.17364817766693033</v>
      </c>
      <c r="N16" s="26">
        <f>SIN((RADIANS(15)))</f>
        <v>0.25881904510252074</v>
      </c>
      <c r="O16" s="26">
        <f>ABS((J16*K16*L16)+(M16*N16))</f>
        <v>6.1545078836749201E-2</v>
      </c>
      <c r="P16" s="27">
        <f>DEGREES(ACOS(RADIANS(DEGREES(O16))))</f>
        <v>86.471496795420862</v>
      </c>
      <c r="Q16" s="39">
        <v>2</v>
      </c>
      <c r="R16" s="26">
        <v>3</v>
      </c>
      <c r="S16" s="26">
        <f>D16-D15</f>
        <v>1.8000000000000007</v>
      </c>
      <c r="T16" s="26">
        <f>S16*COS(RADIANS((P15+P16)/2))</f>
        <v>0.16629622327678495</v>
      </c>
      <c r="U16" s="26"/>
      <c r="V16" s="108"/>
      <c r="W16" s="111"/>
      <c r="X16" s="114"/>
      <c r="Y16" s="52"/>
      <c r="Z16" s="20" t="s">
        <v>98</v>
      </c>
      <c r="AA16" s="20" t="s">
        <v>97</v>
      </c>
    </row>
    <row r="17" spans="1:27">
      <c r="A17" s="27">
        <v>5</v>
      </c>
      <c r="B17" s="26" t="s">
        <v>107</v>
      </c>
      <c r="C17" s="26">
        <v>11</v>
      </c>
      <c r="D17" s="26">
        <v>13.2</v>
      </c>
      <c r="E17" s="26">
        <v>185</v>
      </c>
      <c r="F17" s="26">
        <f>E17+90</f>
        <v>275</v>
      </c>
      <c r="G17" s="26">
        <v>78</v>
      </c>
      <c r="H17" s="26">
        <f>F17-180</f>
        <v>95</v>
      </c>
      <c r="I17" s="26">
        <f>90-G17</f>
        <v>12</v>
      </c>
      <c r="J17" s="26">
        <f>COS((RADIANS(184-H17)))</f>
        <v>1.7452406437283598E-2</v>
      </c>
      <c r="K17" s="26">
        <f>COS((RADIANS(I17)))</f>
        <v>0.97814760073380569</v>
      </c>
      <c r="L17" s="26">
        <f>COS((RADIANS(15)))</f>
        <v>0.96592582628906831</v>
      </c>
      <c r="M17" s="26">
        <f>SIN(RADIANS(I17))</f>
        <v>0.20791169081775934</v>
      </c>
      <c r="N17" s="26">
        <f>SIN((RADIANS(15)))</f>
        <v>0.25881904510252074</v>
      </c>
      <c r="O17" s="26">
        <f>ABS((J17*K17*L17)+(M17*N17))</f>
        <v>7.030085354271251E-2</v>
      </c>
      <c r="P17" s="27">
        <f>DEGREES(ACOS(RADIANS(DEGREES(O17))))</f>
        <v>85.968732572522811</v>
      </c>
      <c r="Q17" s="39">
        <v>2</v>
      </c>
      <c r="R17" s="26">
        <v>3</v>
      </c>
      <c r="S17" s="26">
        <v>1.8</v>
      </c>
      <c r="T17" s="26">
        <f>S17*COS(RADIANS((P16+P17)/2))</f>
        <v>0.1186624812469748</v>
      </c>
      <c r="U17" s="26"/>
      <c r="V17" s="108"/>
      <c r="W17" s="111"/>
      <c r="X17" s="114"/>
      <c r="Y17" s="52"/>
      <c r="Z17" s="20" t="s">
        <v>96</v>
      </c>
      <c r="AA17" s="20" t="s">
        <v>95</v>
      </c>
    </row>
    <row r="18" spans="1:27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7"/>
      <c r="Q18" s="26"/>
      <c r="R18" s="26"/>
      <c r="S18" s="26"/>
      <c r="T18" s="26"/>
      <c r="U18" s="30" t="s">
        <v>107</v>
      </c>
      <c r="V18" s="108"/>
      <c r="W18" s="111"/>
      <c r="X18" s="114"/>
      <c r="Y18" s="52"/>
      <c r="Z18" s="20" t="s">
        <v>94</v>
      </c>
      <c r="AA18" s="20" t="s">
        <v>93</v>
      </c>
    </row>
    <row r="19" spans="1:27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7"/>
      <c r="Q19" s="26"/>
      <c r="R19" s="26"/>
      <c r="S19" s="26"/>
      <c r="T19" s="26"/>
      <c r="U19" s="30">
        <f>AVERAGE(T14:T17)</f>
        <v>0.2056153162147388</v>
      </c>
      <c r="V19" s="108"/>
      <c r="W19" s="111"/>
      <c r="X19" s="114"/>
      <c r="Y19" s="52"/>
      <c r="Z19" s="20" t="s">
        <v>92</v>
      </c>
      <c r="AA19" s="20" t="s">
        <v>91</v>
      </c>
    </row>
    <row r="20" spans="1:27">
      <c r="A20" s="27">
        <v>6</v>
      </c>
      <c r="B20" s="26" t="s">
        <v>87</v>
      </c>
      <c r="C20" s="26">
        <v>3</v>
      </c>
      <c r="D20" s="26">
        <v>2.8</v>
      </c>
      <c r="E20" s="26">
        <v>150</v>
      </c>
      <c r="F20" s="26">
        <f>E20+90</f>
        <v>240</v>
      </c>
      <c r="G20" s="26">
        <v>70</v>
      </c>
      <c r="H20" s="26">
        <f>F20-180</f>
        <v>60</v>
      </c>
      <c r="I20" s="26">
        <f>90-G20</f>
        <v>20</v>
      </c>
      <c r="J20" s="26">
        <f>COS((RADIANS(184-H20)))</f>
        <v>-0.55919290347074668</v>
      </c>
      <c r="K20" s="26">
        <f>COS((RADIANS(I20)))</f>
        <v>0.93969262078590843</v>
      </c>
      <c r="L20" s="26">
        <f>COS((RADIANS(15)))</f>
        <v>0.96592582628906831</v>
      </c>
      <c r="M20" s="26">
        <f>SIN(RADIANS(I20))</f>
        <v>0.34202014332566871</v>
      </c>
      <c r="N20" s="26">
        <f>SIN((RADIANS(15)))</f>
        <v>0.25881904510252074</v>
      </c>
      <c r="O20" s="26">
        <f>ABS((J20*K20*L20)+(M20*N20))</f>
        <v>0.4190431809376462</v>
      </c>
      <c r="P20" s="27">
        <f>DEGREES(ACOS(RADIANS(DEGREES(O20))))</f>
        <v>65.225805766739953</v>
      </c>
      <c r="Q20" s="26"/>
      <c r="R20" s="26"/>
      <c r="S20" s="26"/>
      <c r="T20" s="26"/>
      <c r="U20" s="26"/>
      <c r="V20" s="108"/>
      <c r="W20" s="111"/>
      <c r="X20" s="114"/>
      <c r="Y20" s="52"/>
      <c r="Z20" s="20" t="s">
        <v>89</v>
      </c>
      <c r="AA20" s="20" t="s">
        <v>88</v>
      </c>
    </row>
    <row r="21" spans="1:27">
      <c r="A21" s="27">
        <v>7</v>
      </c>
      <c r="B21" s="26" t="s">
        <v>87</v>
      </c>
      <c r="C21" s="26">
        <v>5</v>
      </c>
      <c r="D21" s="26">
        <v>13.3</v>
      </c>
      <c r="E21" s="26">
        <v>220</v>
      </c>
      <c r="F21" s="26">
        <f>E21+90</f>
        <v>310</v>
      </c>
      <c r="G21" s="26">
        <v>85</v>
      </c>
      <c r="H21" s="26">
        <f>F21-180</f>
        <v>130</v>
      </c>
      <c r="I21" s="26">
        <f>90-G21</f>
        <v>5</v>
      </c>
      <c r="J21" s="26">
        <f>COS((RADIANS(184-H21)))</f>
        <v>0.58778525229247314</v>
      </c>
      <c r="K21" s="26">
        <f>COS((RADIANS(I21)))</f>
        <v>0.99619469809174555</v>
      </c>
      <c r="L21" s="26">
        <f>COS((RADIANS(15)))</f>
        <v>0.96592582628906831</v>
      </c>
      <c r="M21" s="26">
        <f>SIN(RADIANS(I21))</f>
        <v>8.7155742747658166E-2</v>
      </c>
      <c r="N21" s="26">
        <f>SIN((RADIANS(15)))</f>
        <v>0.25881904510252074</v>
      </c>
      <c r="O21" s="26">
        <f>ABS((J21*K21*L21)+(M21*N21))</f>
        <v>0.58815403498809227</v>
      </c>
      <c r="P21" s="27">
        <f>DEGREES(ACOS(RADIANS(DEGREES(O21))))</f>
        <v>53.97387793705218</v>
      </c>
      <c r="Q21" s="26">
        <v>8</v>
      </c>
      <c r="R21" s="26">
        <v>9</v>
      </c>
      <c r="S21" s="26">
        <f>D21-D20</f>
        <v>10.5</v>
      </c>
      <c r="T21" s="26">
        <f>S21*COS(RADIANS((P20+P21)/2))</f>
        <v>5.3133795207557553</v>
      </c>
      <c r="U21" s="26"/>
      <c r="V21" s="108"/>
      <c r="W21" s="111"/>
      <c r="X21" s="114"/>
      <c r="Y21" s="52"/>
    </row>
    <row r="22" spans="1:27">
      <c r="D22" s="56"/>
      <c r="E22" s="38"/>
      <c r="G22" s="56"/>
      <c r="H22" s="26"/>
      <c r="I22" s="26"/>
      <c r="J22" s="26"/>
      <c r="K22" s="26"/>
      <c r="L22" s="26"/>
      <c r="M22" s="26"/>
      <c r="N22" s="26"/>
      <c r="O22" s="26"/>
      <c r="P22" s="27"/>
      <c r="Q22" s="26"/>
      <c r="R22" s="26"/>
      <c r="S22" s="26"/>
      <c r="U22" s="30" t="s">
        <v>87</v>
      </c>
      <c r="V22" s="108"/>
      <c r="W22" s="111"/>
      <c r="X22" s="114"/>
      <c r="Y22" s="52"/>
    </row>
    <row r="23" spans="1:27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7"/>
      <c r="Q23" s="26"/>
      <c r="R23" s="26"/>
      <c r="S23" s="26"/>
      <c r="T23" s="26"/>
      <c r="U23" s="30">
        <f>AVERAGE(T21:T21)</f>
        <v>5.3133795207557553</v>
      </c>
      <c r="V23" s="108"/>
      <c r="W23" s="111"/>
      <c r="X23" s="114"/>
      <c r="Y23" s="52"/>
    </row>
    <row r="24" spans="1:27">
      <c r="A24" s="27">
        <v>8</v>
      </c>
      <c r="B24" s="26" t="s">
        <v>106</v>
      </c>
      <c r="C24" s="26">
        <v>4</v>
      </c>
      <c r="D24" s="26">
        <v>3.2</v>
      </c>
      <c r="E24" s="47">
        <v>215</v>
      </c>
      <c r="F24" s="26">
        <f>E24+90</f>
        <v>305</v>
      </c>
      <c r="G24" s="57">
        <v>70</v>
      </c>
      <c r="H24" s="26">
        <f>F24-180</f>
        <v>125</v>
      </c>
      <c r="I24" s="26">
        <f>90-G24</f>
        <v>20</v>
      </c>
      <c r="J24" s="26">
        <f>COS((RADIANS(184-H24)))</f>
        <v>0.51503807491005416</v>
      </c>
      <c r="K24" s="26">
        <f>COS((RADIANS(I24)))</f>
        <v>0.93969262078590843</v>
      </c>
      <c r="L24" s="26">
        <f>COS((RADIANS(15)))</f>
        <v>0.96592582628906831</v>
      </c>
      <c r="M24" s="26">
        <f>SIN(RADIANS(I24))</f>
        <v>0.34202014332566871</v>
      </c>
      <c r="N24" s="26">
        <f>SIN((RADIANS(15)))</f>
        <v>0.25881904510252074</v>
      </c>
      <c r="O24" s="26">
        <f>ABS((J24*K24*L24)+(M24*N24))</f>
        <v>0.5560076726463834</v>
      </c>
      <c r="P24" s="27">
        <f>DEGREES(ACOS(RADIANS(DEGREES(O24))))</f>
        <v>56.219851150255231</v>
      </c>
      <c r="Q24" s="26"/>
      <c r="R24" s="26"/>
      <c r="S24" s="26"/>
      <c r="T24" s="26"/>
      <c r="U24" s="26"/>
      <c r="V24" s="108"/>
      <c r="W24" s="111"/>
      <c r="X24" s="114"/>
      <c r="Y24" s="52"/>
    </row>
    <row r="25" spans="1:27">
      <c r="A25" s="38">
        <v>9</v>
      </c>
      <c r="B25" s="26" t="s">
        <v>106</v>
      </c>
      <c r="C25" s="26">
        <v>5</v>
      </c>
      <c r="D25" s="26">
        <v>3.6</v>
      </c>
      <c r="E25" s="47">
        <v>210</v>
      </c>
      <c r="F25" s="26">
        <f>E25+90</f>
        <v>300</v>
      </c>
      <c r="G25" s="58">
        <v>72</v>
      </c>
      <c r="H25" s="26">
        <f>F25-180</f>
        <v>120</v>
      </c>
      <c r="I25" s="26">
        <f>90-G25</f>
        <v>18</v>
      </c>
      <c r="J25" s="26">
        <f>COS((RADIANS(184-H25)))</f>
        <v>0.43837114678907746</v>
      </c>
      <c r="K25" s="26">
        <f>COS((RADIANS(I25)))</f>
        <v>0.95105651629515353</v>
      </c>
      <c r="L25" s="26">
        <f>COS((RADIANS(15)))</f>
        <v>0.96592582628906831</v>
      </c>
      <c r="M25" s="26">
        <f>SIN(RADIANS(I25))</f>
        <v>0.3090169943749474</v>
      </c>
      <c r="N25" s="26">
        <f>SIN((RADIANS(15)))</f>
        <v>0.25881904510252074</v>
      </c>
      <c r="O25" s="26">
        <f>ABS((J25*K25*L25)+(M25*N25))</f>
        <v>0.48268915991271882</v>
      </c>
      <c r="P25" s="27">
        <f>DEGREES(ACOS(RADIANS(DEGREES(O25))))</f>
        <v>61.138816926029754</v>
      </c>
      <c r="Q25" s="26">
        <v>9</v>
      </c>
      <c r="R25" s="26">
        <v>10</v>
      </c>
      <c r="S25" s="26">
        <f>D25-D24</f>
        <v>0.39999999999999991</v>
      </c>
      <c r="T25" s="26">
        <f>S25*COS(RADIANS((P24+P25)/2))</f>
        <v>0.20793090881847837</v>
      </c>
      <c r="U25" s="32"/>
      <c r="V25" s="108"/>
      <c r="W25" s="111"/>
      <c r="X25" s="114"/>
      <c r="Y25" s="52"/>
    </row>
    <row r="26" spans="1:27">
      <c r="A26" s="27">
        <v>10</v>
      </c>
      <c r="B26" s="26" t="s">
        <v>106</v>
      </c>
      <c r="C26" s="26">
        <v>6</v>
      </c>
      <c r="D26" s="26">
        <v>4.9000000000000004</v>
      </c>
      <c r="E26" s="47">
        <v>210</v>
      </c>
      <c r="F26" s="26">
        <f>E26+90</f>
        <v>300</v>
      </c>
      <c r="G26" s="58">
        <v>72</v>
      </c>
      <c r="H26" s="26">
        <f>F26-180</f>
        <v>120</v>
      </c>
      <c r="I26" s="26">
        <f>90-G26</f>
        <v>18</v>
      </c>
      <c r="J26" s="26">
        <f>COS((RADIANS(184-H26)))</f>
        <v>0.43837114678907746</v>
      </c>
      <c r="K26" s="26">
        <f>COS((RADIANS(I26)))</f>
        <v>0.95105651629515353</v>
      </c>
      <c r="L26" s="26">
        <f>COS((RADIANS(15)))</f>
        <v>0.96592582628906831</v>
      </c>
      <c r="M26" s="26">
        <f>SIN(RADIANS(I26))</f>
        <v>0.3090169943749474</v>
      </c>
      <c r="N26" s="26">
        <f>SIN((RADIANS(15)))</f>
        <v>0.25881904510252074</v>
      </c>
      <c r="O26" s="26">
        <f>ABS((J26*K26*L26)+(M26*N26))</f>
        <v>0.48268915991271882</v>
      </c>
      <c r="P26" s="27">
        <f>DEGREES(ACOS(RADIANS(DEGREES(O26))))</f>
        <v>61.138816926029754</v>
      </c>
      <c r="Q26" s="26">
        <v>10</v>
      </c>
      <c r="R26" s="26">
        <v>11</v>
      </c>
      <c r="S26" s="26">
        <f>D26-D25</f>
        <v>1.3000000000000003</v>
      </c>
      <c r="T26" s="26">
        <f>S26*COS(RADIANS((P25+P26)/2))</f>
        <v>0.62749590788653486</v>
      </c>
      <c r="U26" s="32"/>
      <c r="V26" s="108"/>
      <c r="W26" s="111"/>
      <c r="X26" s="114"/>
      <c r="Y26" s="52"/>
    </row>
    <row r="27" spans="1:27">
      <c r="A27" s="38">
        <v>11</v>
      </c>
      <c r="B27" s="37" t="s">
        <v>106</v>
      </c>
      <c r="C27" s="26">
        <v>13</v>
      </c>
      <c r="D27" s="26">
        <v>14.2</v>
      </c>
      <c r="E27" s="26">
        <v>220</v>
      </c>
      <c r="F27" s="26">
        <f>E27+90</f>
        <v>310</v>
      </c>
      <c r="G27" s="36">
        <v>85</v>
      </c>
      <c r="H27" s="26">
        <f>F27-180</f>
        <v>130</v>
      </c>
      <c r="I27" s="26">
        <f>90-G27</f>
        <v>5</v>
      </c>
      <c r="J27" s="26">
        <f>COS((RADIANS(184-H27)))</f>
        <v>0.58778525229247314</v>
      </c>
      <c r="K27" s="26">
        <f>COS((RADIANS(I27)))</f>
        <v>0.99619469809174555</v>
      </c>
      <c r="L27" s="26">
        <f>COS((RADIANS(15)))</f>
        <v>0.96592582628906831</v>
      </c>
      <c r="M27" s="26">
        <f>SIN(RADIANS(I27))</f>
        <v>8.7155742747658166E-2</v>
      </c>
      <c r="N27" s="26">
        <f>SIN((RADIANS(15)))</f>
        <v>0.25881904510252074</v>
      </c>
      <c r="O27" s="26">
        <f>ABS((J27*K27*L27)+(M27*N27))</f>
        <v>0.58815403498809227</v>
      </c>
      <c r="P27" s="27">
        <f>DEGREES(ACOS(RADIANS(DEGREES(O27))))</f>
        <v>53.97387793705218</v>
      </c>
      <c r="Q27" s="26">
        <v>10</v>
      </c>
      <c r="R27" s="26">
        <v>11</v>
      </c>
      <c r="S27" s="26">
        <v>1.3</v>
      </c>
      <c r="T27" s="26">
        <f>S27*COS(RADIANS((P26+P27)/2))</f>
        <v>0.69741089190051819</v>
      </c>
      <c r="U27" s="32"/>
      <c r="V27" s="108"/>
      <c r="W27" s="111"/>
      <c r="X27" s="114"/>
      <c r="Y27" s="52"/>
    </row>
    <row r="28" spans="1:27">
      <c r="A28" s="27"/>
      <c r="B28" s="26"/>
      <c r="C28" s="26"/>
      <c r="D28" s="26"/>
      <c r="E28" s="26"/>
      <c r="F28" s="35"/>
      <c r="G28" s="32"/>
      <c r="H28" s="34"/>
      <c r="I28" s="34"/>
      <c r="J28" s="34"/>
      <c r="K28" s="34"/>
      <c r="L28" s="34"/>
      <c r="M28" s="34"/>
      <c r="N28" s="34"/>
      <c r="O28" s="34"/>
      <c r="P28" s="27"/>
      <c r="Q28" s="26"/>
      <c r="R28" s="26"/>
      <c r="S28" s="26"/>
      <c r="T28" s="26"/>
      <c r="U28" s="30" t="s">
        <v>106</v>
      </c>
      <c r="V28" s="108"/>
      <c r="W28" s="111"/>
      <c r="X28" s="114"/>
      <c r="Y28" s="52"/>
    </row>
    <row r="29" spans="1:27">
      <c r="A29" s="27"/>
      <c r="B29" s="26"/>
      <c r="C29" s="26"/>
      <c r="D29" s="26"/>
      <c r="E29" s="26"/>
      <c r="F29" s="33"/>
      <c r="G29" s="26"/>
      <c r="H29" s="26"/>
      <c r="I29" s="26"/>
      <c r="J29" s="26"/>
      <c r="K29" s="26"/>
      <c r="L29" s="26"/>
      <c r="M29" s="26"/>
      <c r="N29" s="26"/>
      <c r="O29" s="26"/>
      <c r="P29" s="27"/>
      <c r="Q29" s="26"/>
      <c r="R29" s="26"/>
      <c r="S29" s="26"/>
      <c r="T29" s="26"/>
      <c r="U29" s="30">
        <f>AVERAGE(T25:T27)</f>
        <v>0.51094590286851049</v>
      </c>
      <c r="V29" s="108"/>
      <c r="W29" s="111"/>
      <c r="X29" s="114"/>
      <c r="Y29" s="52"/>
    </row>
    <row r="30" spans="1:27">
      <c r="A30" s="27">
        <v>12</v>
      </c>
      <c r="B30" s="26" t="s">
        <v>105</v>
      </c>
      <c r="C30" s="26">
        <v>9</v>
      </c>
      <c r="D30" s="58">
        <v>8.65</v>
      </c>
      <c r="E30" s="26">
        <v>125</v>
      </c>
      <c r="F30" s="33">
        <f>E30+90</f>
        <v>215</v>
      </c>
      <c r="G30" s="26">
        <v>20</v>
      </c>
      <c r="H30" s="26">
        <f>F30-180</f>
        <v>35</v>
      </c>
      <c r="I30" s="26">
        <f>90-G30</f>
        <v>70</v>
      </c>
      <c r="J30" s="26">
        <f>COS((RADIANS(184-H30)))</f>
        <v>-0.85716730070211222</v>
      </c>
      <c r="K30" s="26">
        <f>COS((RADIANS(I30)))</f>
        <v>0.34202014332566882</v>
      </c>
      <c r="L30" s="26">
        <f>COS((RADIANS(15)))</f>
        <v>0.96592582628906831</v>
      </c>
      <c r="M30" s="26">
        <f>SIN(RADIANS(I30))</f>
        <v>0.93969262078590832</v>
      </c>
      <c r="N30" s="26">
        <f>SIN((RADIANS(15)))</f>
        <v>0.25881904510252074</v>
      </c>
      <c r="O30" s="26">
        <f>ABS((J30*K30*L30)+(M30*N30))</f>
        <v>3.9968662420836604E-2</v>
      </c>
      <c r="P30" s="27">
        <f>DEGREES(ACOS(RADIANS(DEGREES(O30))))</f>
        <v>87.709354172077383</v>
      </c>
      <c r="Q30" s="26">
        <v>11</v>
      </c>
      <c r="R30" s="26">
        <v>12</v>
      </c>
      <c r="S30" s="26">
        <f>D31-D30</f>
        <v>0.84999999999999964</v>
      </c>
      <c r="T30" s="26">
        <f>S30*COS(RADIANS((P29+P30)/2))</f>
        <v>0.61293448206111478</v>
      </c>
      <c r="U30" s="32"/>
      <c r="V30" s="108"/>
      <c r="W30" s="111"/>
      <c r="X30" s="114"/>
      <c r="Y30" s="52"/>
    </row>
    <row r="31" spans="1:27">
      <c r="A31" s="27">
        <v>13</v>
      </c>
      <c r="B31" s="26" t="s">
        <v>105</v>
      </c>
      <c r="C31" s="26">
        <v>10</v>
      </c>
      <c r="D31" s="58">
        <v>9.5</v>
      </c>
      <c r="E31" s="26">
        <v>125</v>
      </c>
      <c r="F31" s="33">
        <f>E31+90</f>
        <v>215</v>
      </c>
      <c r="G31" s="26">
        <v>22</v>
      </c>
      <c r="H31" s="26">
        <f>F31-180</f>
        <v>35</v>
      </c>
      <c r="I31" s="26">
        <f>90-G31</f>
        <v>68</v>
      </c>
      <c r="J31" s="26">
        <f>COS((RADIANS(184-H31)))</f>
        <v>-0.85716730070211222</v>
      </c>
      <c r="K31" s="26">
        <f>COS((RADIANS(I31)))</f>
        <v>0.37460659341591196</v>
      </c>
      <c r="L31" s="26">
        <f>COS((RADIANS(15)))</f>
        <v>0.96592582628906831</v>
      </c>
      <c r="M31" s="26">
        <f>SIN(RADIANS(I31))</f>
        <v>0.92718385456678742</v>
      </c>
      <c r="N31" s="26">
        <f>SIN((RADIANS(15)))</f>
        <v>0.25881904510252074</v>
      </c>
      <c r="O31" s="26">
        <f>ABS((J31*K31*L31)+(M31*N31))</f>
        <v>7.0186447647624245E-2</v>
      </c>
      <c r="P31" s="27">
        <f>DEGREES(ACOS(RADIANS(DEGREES(O31))))</f>
        <v>85.975303779240775</v>
      </c>
      <c r="Q31" s="26">
        <v>12</v>
      </c>
      <c r="R31" s="26">
        <v>13</v>
      </c>
      <c r="S31" s="26">
        <v>0.85</v>
      </c>
      <c r="T31" s="26">
        <f>S31*COS(RADIANS((P30+P31)/2))</f>
        <v>4.6821282499970245E-2</v>
      </c>
      <c r="U31" s="32"/>
      <c r="V31" s="108"/>
      <c r="W31" s="111"/>
      <c r="X31" s="114"/>
      <c r="Y31" s="52"/>
    </row>
    <row r="32" spans="1:27">
      <c r="A32" s="31"/>
      <c r="B32" s="31"/>
      <c r="C32" s="31"/>
      <c r="D32" s="59"/>
      <c r="E32" s="31"/>
      <c r="U32" s="30" t="s">
        <v>105</v>
      </c>
      <c r="V32" s="108"/>
      <c r="W32" s="111"/>
      <c r="X32" s="114"/>
      <c r="Y32" s="52"/>
    </row>
    <row r="33" spans="21:25">
      <c r="U33" s="30">
        <f>AVERAGE(T29:T31)</f>
        <v>0.32987788228054249</v>
      </c>
      <c r="V33" s="109"/>
      <c r="W33" s="112"/>
      <c r="X33" s="115"/>
      <c r="Y33" s="52"/>
    </row>
    <row r="34" spans="21:25">
      <c r="V34" s="48"/>
      <c r="W34" s="49"/>
      <c r="X34" s="50"/>
      <c r="Y34" s="53"/>
    </row>
    <row r="53" spans="13:18">
      <c r="P53" s="24" t="s">
        <v>65</v>
      </c>
      <c r="Q53" s="24">
        <v>173</v>
      </c>
      <c r="R53" s="24">
        <v>78</v>
      </c>
    </row>
    <row r="54" spans="13:18">
      <c r="P54" s="28" t="s">
        <v>71</v>
      </c>
      <c r="Q54" s="24">
        <v>187</v>
      </c>
      <c r="R54" s="24">
        <v>85</v>
      </c>
    </row>
    <row r="55" spans="13:18">
      <c r="P55" s="23" t="s">
        <v>72</v>
      </c>
      <c r="Q55" s="22">
        <v>150</v>
      </c>
      <c r="R55" s="22">
        <v>70</v>
      </c>
    </row>
    <row r="56" spans="13:18">
      <c r="P56" s="21" t="s">
        <v>74</v>
      </c>
      <c r="Q56" s="21">
        <v>215</v>
      </c>
      <c r="R56" s="21">
        <v>70</v>
      </c>
    </row>
    <row r="57" spans="13:18">
      <c r="P57" s="21" t="s">
        <v>75</v>
      </c>
      <c r="Q57" s="21">
        <v>210</v>
      </c>
      <c r="R57" s="21">
        <v>72</v>
      </c>
    </row>
    <row r="58" spans="13:18">
      <c r="P58" s="21" t="s">
        <v>77</v>
      </c>
      <c r="Q58" s="21">
        <v>210</v>
      </c>
      <c r="R58" s="21">
        <v>72</v>
      </c>
    </row>
    <row r="59" spans="13:18">
      <c r="P59" s="24" t="s">
        <v>78</v>
      </c>
      <c r="Q59" s="24">
        <v>190</v>
      </c>
      <c r="R59" s="24">
        <v>85</v>
      </c>
    </row>
    <row r="60" spans="13:18">
      <c r="P60" s="24" t="s">
        <v>80</v>
      </c>
      <c r="Q60" s="24">
        <v>185</v>
      </c>
      <c r="R60" s="24">
        <v>80</v>
      </c>
    </row>
    <row r="61" spans="13:18">
      <c r="P61" s="25" t="s">
        <v>81</v>
      </c>
      <c r="Q61" s="25">
        <v>125</v>
      </c>
      <c r="R61" s="25">
        <v>20</v>
      </c>
    </row>
    <row r="62" spans="13:18">
      <c r="M62" s="20" t="s">
        <v>101</v>
      </c>
      <c r="P62" s="25" t="s">
        <v>82</v>
      </c>
      <c r="Q62" s="25">
        <v>125</v>
      </c>
      <c r="R62" s="25">
        <v>22</v>
      </c>
    </row>
    <row r="63" spans="13:18">
      <c r="P63" s="24" t="s">
        <v>83</v>
      </c>
      <c r="Q63" s="24">
        <v>185</v>
      </c>
      <c r="R63" s="24">
        <v>78</v>
      </c>
    </row>
    <row r="64" spans="13:18">
      <c r="O64" s="24">
        <v>0.6</v>
      </c>
      <c r="P64" s="23" t="s">
        <v>86</v>
      </c>
      <c r="Q64" s="22">
        <v>220</v>
      </c>
      <c r="R64" s="22">
        <v>85</v>
      </c>
    </row>
    <row r="65" spans="13:18">
      <c r="O65" s="24">
        <v>2.1</v>
      </c>
      <c r="P65" s="21" t="s">
        <v>85</v>
      </c>
      <c r="Q65" s="21">
        <v>220</v>
      </c>
      <c r="R65" s="21">
        <v>85</v>
      </c>
    </row>
    <row r="66" spans="13:18">
      <c r="O66" s="22">
        <v>2.8</v>
      </c>
    </row>
    <row r="67" spans="13:18">
      <c r="M67" s="20" t="s">
        <v>90</v>
      </c>
      <c r="O67" s="21">
        <v>3.2</v>
      </c>
    </row>
    <row r="68" spans="13:18">
      <c r="O68" s="21">
        <v>3.6</v>
      </c>
    </row>
    <row r="69" spans="13:18">
      <c r="O69" s="21">
        <v>4.9000000000000004</v>
      </c>
    </row>
    <row r="70" spans="13:18">
      <c r="O70" s="24">
        <v>6.6</v>
      </c>
    </row>
    <row r="71" spans="13:18">
      <c r="O71" s="24">
        <v>8.4</v>
      </c>
    </row>
    <row r="72" spans="13:18">
      <c r="O72" s="25">
        <v>8.65</v>
      </c>
    </row>
    <row r="73" spans="13:18">
      <c r="O73" s="25">
        <v>9.5</v>
      </c>
    </row>
    <row r="74" spans="13:18">
      <c r="O74" s="24">
        <v>13.2</v>
      </c>
    </row>
    <row r="75" spans="13:18">
      <c r="O75" s="22">
        <v>13.3</v>
      </c>
    </row>
    <row r="76" spans="13:18">
      <c r="O76" s="21">
        <v>14.2</v>
      </c>
    </row>
  </sheetData>
  <mergeCells count="3">
    <mergeCell ref="V13:V33"/>
    <mergeCell ref="W13:W33"/>
    <mergeCell ref="X13:X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89B9-83D5-45CD-9C4E-5CAAE88C8FA2}">
  <dimension ref="A1:W24"/>
  <sheetViews>
    <sheetView zoomScale="76" zoomScaleNormal="145" workbookViewId="0">
      <selection activeCell="N4" sqref="N4:N16"/>
    </sheetView>
  </sheetViews>
  <sheetFormatPr defaultRowHeight="12.75"/>
  <cols>
    <col min="1" max="1" width="8" customWidth="1"/>
    <col min="2" max="2" width="6.5" bestFit="1" customWidth="1"/>
    <col min="6" max="6" width="16.5" style="10" bestFit="1" customWidth="1"/>
    <col min="7" max="7" width="8.5" customWidth="1"/>
    <col min="8" max="8" width="8.83203125" customWidth="1"/>
    <col min="9" max="9" width="6.1640625" customWidth="1"/>
    <col min="10" max="10" width="6.5" bestFit="1" customWidth="1"/>
    <col min="11" max="11" width="7.33203125" bestFit="1" customWidth="1"/>
    <col min="12" max="12" width="17" customWidth="1"/>
  </cols>
  <sheetData>
    <row r="1" spans="1:23">
      <c r="A1" s="118" t="s">
        <v>47</v>
      </c>
      <c r="B1" s="116" t="s">
        <v>46</v>
      </c>
      <c r="C1" s="116" t="s">
        <v>24</v>
      </c>
      <c r="D1" s="116" t="s">
        <v>25</v>
      </c>
      <c r="E1" s="116"/>
      <c r="F1" s="4" t="s">
        <v>27</v>
      </c>
      <c r="G1" s="116" t="s">
        <v>28</v>
      </c>
      <c r="H1" s="116"/>
      <c r="I1" s="116"/>
      <c r="J1" s="116"/>
      <c r="K1" s="116"/>
      <c r="L1" s="116" t="s">
        <v>29</v>
      </c>
      <c r="M1" s="116"/>
      <c r="N1" s="116" t="s">
        <v>30</v>
      </c>
      <c r="O1" s="116" t="s">
        <v>31</v>
      </c>
      <c r="P1" s="116"/>
      <c r="Q1" s="4" t="s">
        <v>32</v>
      </c>
      <c r="R1" s="116" t="s">
        <v>26</v>
      </c>
      <c r="S1" s="116"/>
      <c r="T1" s="116"/>
      <c r="U1" s="116"/>
      <c r="V1" s="116"/>
      <c r="W1" s="116"/>
    </row>
    <row r="2" spans="1:23">
      <c r="A2" s="119"/>
      <c r="B2" s="116"/>
      <c r="C2" s="116"/>
      <c r="D2" s="116"/>
      <c r="E2" s="116"/>
      <c r="F2" s="4"/>
      <c r="G2" s="116" t="s">
        <v>33</v>
      </c>
      <c r="H2" s="118" t="s">
        <v>53</v>
      </c>
      <c r="I2" s="116" t="s">
        <v>34</v>
      </c>
      <c r="J2" s="117" t="s">
        <v>50</v>
      </c>
      <c r="K2" s="117"/>
      <c r="L2" s="116"/>
      <c r="M2" s="116"/>
      <c r="N2" s="116"/>
      <c r="O2" s="116"/>
      <c r="P2" s="116"/>
      <c r="Q2" s="4"/>
      <c r="R2" s="116" t="s">
        <v>45</v>
      </c>
      <c r="S2" s="116"/>
      <c r="T2" s="116"/>
    </row>
    <row r="3" spans="1:23">
      <c r="A3" s="119"/>
      <c r="B3" s="116"/>
      <c r="C3" s="116"/>
      <c r="D3" s="11" t="s">
        <v>194</v>
      </c>
      <c r="E3" s="4" t="s">
        <v>195</v>
      </c>
      <c r="F3" s="4" t="s">
        <v>196</v>
      </c>
      <c r="G3" s="116"/>
      <c r="H3" s="118"/>
      <c r="I3" s="116"/>
      <c r="J3" s="7" t="s">
        <v>51</v>
      </c>
      <c r="K3" s="7" t="s">
        <v>52</v>
      </c>
      <c r="L3" s="3" t="s">
        <v>38</v>
      </c>
      <c r="M3" s="3" t="s">
        <v>39</v>
      </c>
      <c r="N3" s="3" t="s">
        <v>39</v>
      </c>
      <c r="O3" s="3" t="s">
        <v>40</v>
      </c>
      <c r="P3" s="3" t="s">
        <v>39</v>
      </c>
      <c r="Q3" s="4"/>
      <c r="R3" s="3" t="s">
        <v>41</v>
      </c>
      <c r="S3" s="3" t="s">
        <v>42</v>
      </c>
      <c r="T3" s="3" t="s">
        <v>164</v>
      </c>
      <c r="U3" s="4" t="s">
        <v>35</v>
      </c>
      <c r="V3" s="4" t="s">
        <v>36</v>
      </c>
      <c r="W3" s="4" t="s">
        <v>37</v>
      </c>
    </row>
    <row r="4" spans="1:23">
      <c r="A4" s="3">
        <v>1</v>
      </c>
      <c r="B4" s="15">
        <v>0.6</v>
      </c>
      <c r="C4" s="3">
        <v>72</v>
      </c>
      <c r="D4" s="5">
        <v>15</v>
      </c>
      <c r="E4" s="5">
        <v>73</v>
      </c>
      <c r="F4" s="10" t="s">
        <v>49</v>
      </c>
      <c r="G4" s="43">
        <v>173</v>
      </c>
      <c r="H4" s="3">
        <f>G4+90</f>
        <v>263</v>
      </c>
      <c r="I4" s="15">
        <v>78</v>
      </c>
      <c r="J4" s="3"/>
      <c r="K4" s="3"/>
      <c r="L4" s="3">
        <f>IF(F4="Planar",ABS(H4-D4),IF(F4="Toppling",ABS(H4-D4-180),ABS(J4-D4)))</f>
        <v>68</v>
      </c>
      <c r="M4" s="3">
        <f t="shared" ref="M4:M14" si="0">_xlfn.IFS(L4&gt;30,0.15,AND(L4&gt;MIN(20,30),L4&lt;MAX(20,30)),0.4,AND(L4&gt;MIN(10,20),L4&lt;MAX(10,20)),0.7,AND(L4&gt;MIN(5,10),L4&lt;MAX(5,10)),0.85,L4&lt;5,1)</f>
        <v>0.15</v>
      </c>
      <c r="N4" s="3" t="str">
        <f t="shared" ref="N4:N14" si="1">IF(F4="Planar",IF(I4&lt;20,"0,15",IF(I4&lt;30,"0,40",IF(I4&lt;35,"0,70",IF(I4&lt;45,"0,85","1")))),IF(F4="Wedge",IF(K4&lt;20,"0,15",IF(K4&lt;30,"0,40",IF(K4&lt;35,"0,70",IF(K4&lt;45,"0,85","1")))),IF(I4&lt;20,"0,15",IF(I4&lt;30,"0,40",IF(I4&lt;35,"0,70",IF(I4&lt;45,"0,85","1"))))))</f>
        <v>1</v>
      </c>
      <c r="O4" s="3">
        <f>IF(F4="Planar",(I4-E4),IF(F4="Toppling",(I4+E4),(K4-E4)))</f>
        <v>151</v>
      </c>
      <c r="P4" s="3">
        <f>IF(F4="Toppling",_xlfn.IFS(O4&lt;110,0,AND(O4&gt;MIN(110,120),O4&lt;MAX(110,120)),-6,O4&gt;120,-25),_xlfn.IFS(O4&gt;10,0,AND(O4&gt;MIN(10,0),O4&lt;MAX(10,0)),-6,O4=0,-25,AND(O4&gt;MIN(0,-10),O4&lt;MAX(0,-10)),-50,O4&lt;-10,-60))</f>
        <v>-25</v>
      </c>
      <c r="Q4" s="3">
        <v>0</v>
      </c>
      <c r="R4" s="12">
        <f t="shared" ref="R4:R14" si="2">C4+(M4*N4*P4)+Q4</f>
        <v>68.25</v>
      </c>
      <c r="S4" s="12" t="str">
        <f>_xlfn.IFS(AND(R4&gt;=MIN(0,20.5),R4&lt;=MAX(0,20.5)),"V",AND(R4&gt;MIN(20.5,40.5),R4&lt;=MAX(20.5,40.5)),"IV",AND(R4&gt;MIN(40.5,60.5),R4&lt;=MAX(40.5,60.5)),"III",AND(R4&gt;MIN(60.5,80.5),R4&lt;=MAX(60.5,80.5)),"II",R4&gt;80.5,"I")</f>
        <v>II</v>
      </c>
      <c r="T4" s="3" t="str">
        <f>_xlfn.IFS(AND(R4&gt;=MIN(0,20.5),R4&lt;=MAX(0,20.5)),"Very Bad",AND(R4&gt;MIN(20.5,40.5),R4&lt;=MAX(20.5,40.5)),"BAD",AND(R4&gt;MIN(40.5,60.5),R4&lt;=MAX(40.5,60.5)),"Normal",AND(R4&gt;MIN(60.5,80.5),R4&lt;=MAX(60.5,80.5)),"Good",R4&gt;80.5,"Very Good")</f>
        <v>Good</v>
      </c>
      <c r="U4" s="5">
        <v>65</v>
      </c>
      <c r="V4" s="5">
        <f t="shared" ref="V4:V14" si="3">0.65*C4+25</f>
        <v>71.800000000000011</v>
      </c>
      <c r="W4" s="5">
        <f t="shared" ref="W4:W14" si="4">35*LN(C4)-71</f>
        <v>78.683314165561939</v>
      </c>
    </row>
    <row r="5" spans="1:23">
      <c r="A5" s="3">
        <v>2</v>
      </c>
      <c r="B5" s="15">
        <v>2.1</v>
      </c>
      <c r="C5" s="3">
        <v>76</v>
      </c>
      <c r="D5" s="5">
        <v>15</v>
      </c>
      <c r="E5" s="5">
        <v>73</v>
      </c>
      <c r="F5" s="10" t="s">
        <v>49</v>
      </c>
      <c r="G5" s="43">
        <v>187</v>
      </c>
      <c r="H5" s="3">
        <f t="shared" ref="H5:H16" si="5">G5+90</f>
        <v>277</v>
      </c>
      <c r="I5" s="15">
        <v>85</v>
      </c>
      <c r="J5" s="3"/>
      <c r="K5" s="3"/>
      <c r="L5" s="3">
        <f t="shared" ref="L5:L16" si="6">IF(F5="Planar",ABS(H5-D5),IF(F5="Toppling",ABS(H5-D5-180),ABS(J5-D5)))</f>
        <v>82</v>
      </c>
      <c r="M5" s="3">
        <f t="shared" si="0"/>
        <v>0.15</v>
      </c>
      <c r="N5" s="3" t="str">
        <f t="shared" si="1"/>
        <v>1</v>
      </c>
      <c r="O5" s="3">
        <f t="shared" ref="O5:O14" si="7">IF(F5="Planar",(I5-E5),IF(F5="Toppling",(I5+E5),(K5-E5)))</f>
        <v>158</v>
      </c>
      <c r="P5" s="3">
        <f t="shared" ref="P5:P14" si="8">IF(F5="Toppling",_xlfn.IFS(O5&lt;110,0,AND(O5&gt;MIN(110,120),O5&lt;MAX(110,120)),-6,O5&gt;120,-25),_xlfn.IFS(O5&gt;10,0,AND(O5&gt;MIN(10,0),O5&lt;MAX(10,0)),-6,O5=0,-25,AND(O5&gt;MIN(0,-10),O5&lt;MAX(0,-10)),-50,O5&lt;-10,-60))</f>
        <v>-25</v>
      </c>
      <c r="Q5" s="3">
        <v>0</v>
      </c>
      <c r="R5" s="12">
        <f t="shared" si="2"/>
        <v>72.25</v>
      </c>
      <c r="S5" s="12" t="str">
        <f t="shared" ref="S5:S17" si="9">_xlfn.IFS(AND(R5&gt;=MIN(0,20.5),R5&lt;=MAX(0,20.5)),"V",AND(R5&gt;MIN(20.5,40.5),R5&lt;=MAX(20.5,40.5)),"IV",AND(R5&gt;MIN(40.5,60.5),R5&lt;=MAX(40.5,60.5)),"III",AND(R5&gt;MIN(60.5,80.5),R5&lt;=MAX(60.5,80.5)),"II",R5&gt;80.5,"I")</f>
        <v>II</v>
      </c>
      <c r="T5" s="3" t="str">
        <f t="shared" ref="T5:T17" si="10">_xlfn.IFS(AND(R5&gt;=MIN(0,20.5),R5&lt;=MAX(0,20.5)),"Very Bad",AND(R5&gt;MIN(20.5,40.5),R5&lt;=MAX(20.5,40.5)),"BAD",AND(R5&gt;MIN(40.5,60.5),R5&lt;=MAX(40.5,60.5)),"Normal",AND(R5&gt;MIN(60.5,80.5),R5&lt;=MAX(60.5,80.5)),"Good",R5&gt;80.5,"Very Good")</f>
        <v>Good</v>
      </c>
      <c r="U5" s="5">
        <v>65</v>
      </c>
      <c r="V5" s="5">
        <f t="shared" si="3"/>
        <v>74.400000000000006</v>
      </c>
      <c r="W5" s="5">
        <f t="shared" si="4"/>
        <v>80.575666910021596</v>
      </c>
    </row>
    <row r="6" spans="1:23">
      <c r="A6" s="3">
        <v>3</v>
      </c>
      <c r="B6" s="15">
        <v>2.8</v>
      </c>
      <c r="C6" s="3">
        <v>80</v>
      </c>
      <c r="D6" s="5">
        <v>15</v>
      </c>
      <c r="E6" s="5">
        <v>73</v>
      </c>
      <c r="F6" s="10" t="s">
        <v>49</v>
      </c>
      <c r="G6" s="43">
        <v>150</v>
      </c>
      <c r="H6" s="3">
        <f t="shared" si="5"/>
        <v>240</v>
      </c>
      <c r="I6" s="15">
        <v>70</v>
      </c>
      <c r="J6" s="3"/>
      <c r="K6" s="3"/>
      <c r="L6" s="3">
        <f t="shared" si="6"/>
        <v>45</v>
      </c>
      <c r="M6" s="3">
        <f t="shared" si="0"/>
        <v>0.15</v>
      </c>
      <c r="N6" s="3" t="str">
        <f t="shared" si="1"/>
        <v>1</v>
      </c>
      <c r="O6" s="3">
        <f t="shared" si="7"/>
        <v>143</v>
      </c>
      <c r="P6" s="3">
        <f t="shared" si="8"/>
        <v>-25</v>
      </c>
      <c r="Q6" s="3">
        <v>0</v>
      </c>
      <c r="R6" s="12">
        <f t="shared" si="2"/>
        <v>76.25</v>
      </c>
      <c r="S6" s="12" t="str">
        <f t="shared" si="9"/>
        <v>II</v>
      </c>
      <c r="T6" s="3" t="str">
        <f t="shared" si="10"/>
        <v>Good</v>
      </c>
      <c r="U6" s="5">
        <v>65</v>
      </c>
      <c r="V6" s="5">
        <f t="shared" si="3"/>
        <v>77</v>
      </c>
      <c r="W6" s="5">
        <f t="shared" si="4"/>
        <v>82.370932213585832</v>
      </c>
    </row>
    <row r="7" spans="1:23">
      <c r="A7" s="3">
        <v>4</v>
      </c>
      <c r="B7" s="15">
        <v>3.2</v>
      </c>
      <c r="C7" s="3">
        <v>77</v>
      </c>
      <c r="D7" s="5">
        <v>15</v>
      </c>
      <c r="E7" s="5">
        <v>73</v>
      </c>
      <c r="F7" s="10" t="s">
        <v>49</v>
      </c>
      <c r="G7" s="43">
        <v>215</v>
      </c>
      <c r="H7" s="3">
        <f t="shared" si="5"/>
        <v>305</v>
      </c>
      <c r="I7" s="15">
        <v>70</v>
      </c>
      <c r="J7" s="3"/>
      <c r="K7" s="3"/>
      <c r="L7" s="3">
        <f t="shared" si="6"/>
        <v>110</v>
      </c>
      <c r="M7" s="3">
        <f t="shared" si="0"/>
        <v>0.15</v>
      </c>
      <c r="N7" s="3" t="str">
        <f t="shared" si="1"/>
        <v>1</v>
      </c>
      <c r="O7" s="3">
        <f t="shared" si="7"/>
        <v>143</v>
      </c>
      <c r="P7" s="3">
        <f t="shared" si="8"/>
        <v>-25</v>
      </c>
      <c r="Q7" s="3">
        <v>0</v>
      </c>
      <c r="R7" s="12">
        <f t="shared" si="2"/>
        <v>73.25</v>
      </c>
      <c r="S7" s="12" t="str">
        <f t="shared" si="9"/>
        <v>II</v>
      </c>
      <c r="T7" s="3" t="str">
        <f t="shared" si="10"/>
        <v>Good</v>
      </c>
      <c r="U7" s="5">
        <v>65</v>
      </c>
      <c r="V7" s="5">
        <f t="shared" si="3"/>
        <v>75.050000000000011</v>
      </c>
      <c r="W7" s="5">
        <f t="shared" si="4"/>
        <v>81.033189764878955</v>
      </c>
    </row>
    <row r="8" spans="1:23">
      <c r="A8" s="3">
        <v>5</v>
      </c>
      <c r="B8" s="15">
        <v>3.6</v>
      </c>
      <c r="C8" s="3">
        <v>77</v>
      </c>
      <c r="D8" s="5">
        <v>15</v>
      </c>
      <c r="E8" s="5">
        <v>73</v>
      </c>
      <c r="F8" s="10" t="s">
        <v>49</v>
      </c>
      <c r="G8" s="43">
        <v>210</v>
      </c>
      <c r="H8" s="3">
        <f t="shared" si="5"/>
        <v>300</v>
      </c>
      <c r="I8" s="15">
        <v>72</v>
      </c>
      <c r="J8" s="3"/>
      <c r="K8" s="3"/>
      <c r="L8" s="3">
        <f t="shared" si="6"/>
        <v>105</v>
      </c>
      <c r="M8" s="3">
        <f t="shared" si="0"/>
        <v>0.15</v>
      </c>
      <c r="N8" s="3" t="str">
        <f t="shared" si="1"/>
        <v>1</v>
      </c>
      <c r="O8" s="3">
        <f t="shared" si="7"/>
        <v>145</v>
      </c>
      <c r="P8" s="3">
        <f t="shared" si="8"/>
        <v>-25</v>
      </c>
      <c r="Q8" s="3">
        <v>0</v>
      </c>
      <c r="R8" s="12">
        <f t="shared" si="2"/>
        <v>73.25</v>
      </c>
      <c r="S8" s="12" t="str">
        <f t="shared" si="9"/>
        <v>II</v>
      </c>
      <c r="T8" s="3" t="str">
        <f t="shared" si="10"/>
        <v>Good</v>
      </c>
      <c r="U8" s="5">
        <v>65</v>
      </c>
      <c r="V8" s="5">
        <f t="shared" si="3"/>
        <v>75.050000000000011</v>
      </c>
      <c r="W8" s="5">
        <f t="shared" si="4"/>
        <v>81.033189764878955</v>
      </c>
    </row>
    <row r="9" spans="1:23">
      <c r="A9" s="3">
        <v>6</v>
      </c>
      <c r="B9" s="15">
        <v>4.9000000000000004</v>
      </c>
      <c r="C9" s="3">
        <v>82</v>
      </c>
      <c r="D9" s="5">
        <v>15</v>
      </c>
      <c r="E9" s="5">
        <v>73</v>
      </c>
      <c r="F9" s="10" t="s">
        <v>49</v>
      </c>
      <c r="G9" s="43">
        <v>210</v>
      </c>
      <c r="H9" s="3">
        <f t="shared" si="5"/>
        <v>300</v>
      </c>
      <c r="I9" s="15">
        <v>72</v>
      </c>
      <c r="J9" s="3"/>
      <c r="K9" s="3"/>
      <c r="L9" s="3">
        <f t="shared" si="6"/>
        <v>105</v>
      </c>
      <c r="M9" s="3">
        <f t="shared" si="0"/>
        <v>0.15</v>
      </c>
      <c r="N9" s="3" t="str">
        <f t="shared" si="1"/>
        <v>1</v>
      </c>
      <c r="O9" s="3">
        <f t="shared" si="7"/>
        <v>145</v>
      </c>
      <c r="P9" s="3">
        <f t="shared" si="8"/>
        <v>-25</v>
      </c>
      <c r="Q9" s="3">
        <v>0</v>
      </c>
      <c r="R9" s="12">
        <f t="shared" si="2"/>
        <v>78.25</v>
      </c>
      <c r="S9" s="12" t="str">
        <f t="shared" si="9"/>
        <v>II</v>
      </c>
      <c r="T9" s="3" t="str">
        <f t="shared" si="10"/>
        <v>Good</v>
      </c>
      <c r="U9" s="5">
        <v>65</v>
      </c>
      <c r="V9" s="5">
        <f t="shared" si="3"/>
        <v>78.300000000000011</v>
      </c>
      <c r="W9" s="5">
        <f t="shared" si="4"/>
        <v>83.235173654248854</v>
      </c>
    </row>
    <row r="10" spans="1:23">
      <c r="A10" s="3">
        <v>7</v>
      </c>
      <c r="B10" s="15">
        <v>6.6</v>
      </c>
      <c r="C10" s="3">
        <v>74</v>
      </c>
      <c r="D10" s="5">
        <v>15</v>
      </c>
      <c r="E10" s="5">
        <v>73</v>
      </c>
      <c r="F10" s="10" t="s">
        <v>49</v>
      </c>
      <c r="G10" s="43">
        <v>190</v>
      </c>
      <c r="H10" s="3">
        <f t="shared" si="5"/>
        <v>280</v>
      </c>
      <c r="I10" s="15">
        <v>85</v>
      </c>
      <c r="J10" s="3"/>
      <c r="K10" s="3"/>
      <c r="L10" s="3">
        <f t="shared" si="6"/>
        <v>85</v>
      </c>
      <c r="M10" s="3">
        <f t="shared" si="0"/>
        <v>0.15</v>
      </c>
      <c r="N10" s="3" t="str">
        <f t="shared" si="1"/>
        <v>1</v>
      </c>
      <c r="O10" s="3">
        <f t="shared" si="7"/>
        <v>158</v>
      </c>
      <c r="P10" s="3">
        <f t="shared" si="8"/>
        <v>-25</v>
      </c>
      <c r="Q10" s="3">
        <v>0</v>
      </c>
      <c r="R10" s="12">
        <f t="shared" si="2"/>
        <v>70.25</v>
      </c>
      <c r="S10" s="12" t="str">
        <f t="shared" si="9"/>
        <v>II</v>
      </c>
      <c r="T10" s="3" t="str">
        <f t="shared" si="10"/>
        <v>Good</v>
      </c>
      <c r="U10" s="5">
        <v>65</v>
      </c>
      <c r="V10" s="5">
        <f t="shared" si="3"/>
        <v>73.099999999999994</v>
      </c>
      <c r="W10" s="5">
        <f t="shared" si="4"/>
        <v>79.642278262145965</v>
      </c>
    </row>
    <row r="11" spans="1:23">
      <c r="A11" s="3">
        <v>8</v>
      </c>
      <c r="B11" s="15">
        <v>8.4</v>
      </c>
      <c r="C11" s="5">
        <v>82</v>
      </c>
      <c r="D11" s="5">
        <v>15</v>
      </c>
      <c r="E11" s="5">
        <v>73</v>
      </c>
      <c r="F11" s="10" t="s">
        <v>49</v>
      </c>
      <c r="G11" s="43">
        <v>185</v>
      </c>
      <c r="H11" s="3">
        <f t="shared" si="5"/>
        <v>275</v>
      </c>
      <c r="I11" s="15">
        <v>80</v>
      </c>
      <c r="J11" s="3"/>
      <c r="K11" s="3"/>
      <c r="L11" s="3">
        <f t="shared" si="6"/>
        <v>80</v>
      </c>
      <c r="M11" s="3">
        <f t="shared" si="0"/>
        <v>0.15</v>
      </c>
      <c r="N11" s="3" t="str">
        <f t="shared" si="1"/>
        <v>1</v>
      </c>
      <c r="O11" s="3">
        <f t="shared" si="7"/>
        <v>153</v>
      </c>
      <c r="P11" s="3">
        <f t="shared" si="8"/>
        <v>-25</v>
      </c>
      <c r="Q11" s="3">
        <v>0</v>
      </c>
      <c r="R11" s="12">
        <f t="shared" si="2"/>
        <v>78.25</v>
      </c>
      <c r="S11" s="12" t="str">
        <f t="shared" si="9"/>
        <v>II</v>
      </c>
      <c r="T11" s="3" t="str">
        <f t="shared" si="10"/>
        <v>Good</v>
      </c>
      <c r="U11" s="5">
        <v>65</v>
      </c>
      <c r="V11" s="5">
        <f t="shared" si="3"/>
        <v>78.300000000000011</v>
      </c>
      <c r="W11" s="5">
        <f t="shared" si="4"/>
        <v>83.235173654248854</v>
      </c>
    </row>
    <row r="12" spans="1:23">
      <c r="A12" s="3">
        <v>9</v>
      </c>
      <c r="B12" s="15">
        <v>8.65</v>
      </c>
      <c r="C12" s="5">
        <v>68</v>
      </c>
      <c r="D12" s="5">
        <v>15</v>
      </c>
      <c r="E12" s="5">
        <v>73</v>
      </c>
      <c r="F12" s="10" t="s">
        <v>49</v>
      </c>
      <c r="G12" s="43">
        <v>124</v>
      </c>
      <c r="H12" s="3">
        <f t="shared" si="5"/>
        <v>214</v>
      </c>
      <c r="I12" s="15">
        <v>20</v>
      </c>
      <c r="J12" s="3"/>
      <c r="K12" s="3"/>
      <c r="L12" s="3">
        <f t="shared" si="6"/>
        <v>19</v>
      </c>
      <c r="M12" s="3">
        <f t="shared" si="0"/>
        <v>0.7</v>
      </c>
      <c r="N12" s="3" t="str">
        <f t="shared" si="1"/>
        <v>0,40</v>
      </c>
      <c r="O12" s="3">
        <f t="shared" si="7"/>
        <v>93</v>
      </c>
      <c r="P12" s="3">
        <f t="shared" si="8"/>
        <v>0</v>
      </c>
      <c r="Q12" s="3">
        <v>0</v>
      </c>
      <c r="R12" s="12">
        <f t="shared" si="2"/>
        <v>68</v>
      </c>
      <c r="S12" s="12" t="str">
        <f t="shared" si="9"/>
        <v>II</v>
      </c>
      <c r="T12" s="3" t="str">
        <f t="shared" si="10"/>
        <v>Good</v>
      </c>
      <c r="U12" s="5">
        <v>65</v>
      </c>
      <c r="V12" s="5">
        <f t="shared" si="3"/>
        <v>69.2</v>
      </c>
      <c r="W12" s="5">
        <f t="shared" si="4"/>
        <v>76.682769681163734</v>
      </c>
    </row>
    <row r="13" spans="1:23">
      <c r="A13" s="3">
        <v>10</v>
      </c>
      <c r="B13" s="15">
        <v>9.5</v>
      </c>
      <c r="C13" s="5">
        <v>72</v>
      </c>
      <c r="D13" s="5">
        <v>15</v>
      </c>
      <c r="E13" s="5">
        <v>73</v>
      </c>
      <c r="F13" s="10" t="s">
        <v>49</v>
      </c>
      <c r="G13" s="43">
        <v>124</v>
      </c>
      <c r="H13" s="3">
        <f t="shared" si="5"/>
        <v>214</v>
      </c>
      <c r="I13" s="15">
        <v>22</v>
      </c>
      <c r="J13" s="3"/>
      <c r="K13" s="3"/>
      <c r="L13" s="3">
        <f t="shared" si="6"/>
        <v>19</v>
      </c>
      <c r="M13" s="3">
        <f t="shared" si="0"/>
        <v>0.7</v>
      </c>
      <c r="N13" s="3" t="str">
        <f t="shared" si="1"/>
        <v>0,40</v>
      </c>
      <c r="O13" s="3">
        <f t="shared" si="7"/>
        <v>95</v>
      </c>
      <c r="P13" s="3">
        <f t="shared" si="8"/>
        <v>0</v>
      </c>
      <c r="Q13" s="3">
        <v>0</v>
      </c>
      <c r="R13" s="12">
        <f t="shared" si="2"/>
        <v>72</v>
      </c>
      <c r="S13" s="12" t="str">
        <f t="shared" si="9"/>
        <v>II</v>
      </c>
      <c r="T13" s="3" t="str">
        <f t="shared" si="10"/>
        <v>Good</v>
      </c>
      <c r="U13" s="5">
        <v>65</v>
      </c>
      <c r="V13" s="5">
        <f t="shared" si="3"/>
        <v>71.800000000000011</v>
      </c>
      <c r="W13" s="5">
        <f t="shared" si="4"/>
        <v>78.683314165561939</v>
      </c>
    </row>
    <row r="14" spans="1:23">
      <c r="A14" s="3">
        <v>11</v>
      </c>
      <c r="B14" s="15">
        <v>13.2</v>
      </c>
      <c r="C14" s="5">
        <v>85</v>
      </c>
      <c r="D14" s="5">
        <v>15</v>
      </c>
      <c r="E14" s="5">
        <v>73</v>
      </c>
      <c r="F14" s="10" t="s">
        <v>49</v>
      </c>
      <c r="G14" s="43">
        <v>185</v>
      </c>
      <c r="H14" s="3">
        <f t="shared" si="5"/>
        <v>275</v>
      </c>
      <c r="I14" s="15">
        <v>78</v>
      </c>
      <c r="J14" s="3"/>
      <c r="K14" s="3"/>
      <c r="L14" s="3">
        <f t="shared" si="6"/>
        <v>80</v>
      </c>
      <c r="M14" s="3">
        <f t="shared" si="0"/>
        <v>0.15</v>
      </c>
      <c r="N14" s="3" t="str">
        <f t="shared" si="1"/>
        <v>1</v>
      </c>
      <c r="O14" s="3">
        <f t="shared" si="7"/>
        <v>151</v>
      </c>
      <c r="P14" s="3">
        <f t="shared" si="8"/>
        <v>-25</v>
      </c>
      <c r="Q14" s="3">
        <v>0</v>
      </c>
      <c r="R14" s="12">
        <f t="shared" si="2"/>
        <v>81.25</v>
      </c>
      <c r="S14" s="12" t="str">
        <f t="shared" si="9"/>
        <v>I</v>
      </c>
      <c r="T14" s="3" t="str">
        <f t="shared" si="10"/>
        <v>Very Good</v>
      </c>
      <c r="U14" s="5">
        <v>65</v>
      </c>
      <c r="V14" s="5">
        <f t="shared" si="3"/>
        <v>80.25</v>
      </c>
      <c r="W14" s="5">
        <f t="shared" si="4"/>
        <v>84.492793977161085</v>
      </c>
    </row>
    <row r="15" spans="1:23">
      <c r="A15" s="3">
        <v>12</v>
      </c>
      <c r="B15" s="15">
        <v>13.3</v>
      </c>
      <c r="C15" s="5">
        <v>75</v>
      </c>
      <c r="D15" s="5">
        <v>15</v>
      </c>
      <c r="E15" s="5">
        <v>73</v>
      </c>
      <c r="F15" s="10" t="s">
        <v>49</v>
      </c>
      <c r="G15" s="43">
        <v>220</v>
      </c>
      <c r="H15" s="3">
        <f t="shared" si="5"/>
        <v>310</v>
      </c>
      <c r="I15" s="15">
        <v>85</v>
      </c>
      <c r="J15" s="3"/>
      <c r="K15" s="3"/>
      <c r="L15" s="3">
        <f t="shared" si="6"/>
        <v>115</v>
      </c>
      <c r="M15" s="3">
        <f t="shared" ref="M15" si="11">_xlfn.IFS(L15&gt;30,0.15,AND(L15&gt;MIN(20,30),L15&lt;MAX(20,30)),0.4,AND(L15&gt;MIN(10,20),L15&lt;MAX(10,20)),0.7,AND(L15&gt;MIN(5,10),L15&lt;MAX(5,10)),0.85,L15&lt;5,1)</f>
        <v>0.15</v>
      </c>
      <c r="N15" s="3" t="str">
        <f t="shared" ref="N15" si="12">IF(F15="Planar",IF(I15&lt;20,"0,15",IF(I15&lt;30,"0,40",IF(I15&lt;35,"0,70",IF(I15&lt;45,"0,85","1")))),IF(F15="Wedge",IF(K15&lt;20,"0,15",IF(K15&lt;30,"0,40",IF(K15&lt;35,"0,70",IF(K15&lt;45,"0,85","1")))),IF(I15&lt;20,"0,15",IF(I15&lt;30,"0,40",IF(I15&lt;35,"0,70",IF(I15&lt;45,"0,85","1"))))))</f>
        <v>1</v>
      </c>
      <c r="O15" s="3">
        <f t="shared" ref="O15" si="13">IF(F15="Planar",(I15-E15),IF(F15="Toppling",(I15+E15),(K15-E15)))</f>
        <v>158</v>
      </c>
      <c r="P15" s="3">
        <f t="shared" ref="P15" si="14">IF(F15="Toppling",_xlfn.IFS(O15&lt;110,0,AND(O15&gt;MIN(110,120),O15&lt;MAX(110,120)),-6,O15&gt;120,-25),_xlfn.IFS(O15&gt;10,0,AND(O15&gt;MIN(10,0),O15&lt;MAX(10,0)),-6,O15=0,-25,AND(O15&gt;MIN(0,-10),O15&lt;MAX(0,-10)),-50,O15&lt;-10,-60))</f>
        <v>-25</v>
      </c>
      <c r="Q15" s="3">
        <v>0</v>
      </c>
      <c r="R15" s="12">
        <f t="shared" ref="R15" si="15">C15+(M15*N15*P15)+Q15</f>
        <v>71.25</v>
      </c>
      <c r="S15" s="12" t="str">
        <f t="shared" si="9"/>
        <v>II</v>
      </c>
      <c r="T15" s="3" t="str">
        <f t="shared" si="10"/>
        <v>Good</v>
      </c>
      <c r="U15" s="5">
        <v>66</v>
      </c>
      <c r="V15" s="5">
        <f t="shared" ref="V15" si="16">0.65*C15+25</f>
        <v>73.75</v>
      </c>
      <c r="W15" s="5">
        <f t="shared" ref="W15" si="17">35*LN(C15)-71</f>
        <v>80.112083973770865</v>
      </c>
    </row>
    <row r="16" spans="1:23">
      <c r="A16" s="3">
        <v>13</v>
      </c>
      <c r="B16" s="15">
        <v>14.2</v>
      </c>
      <c r="C16" s="5">
        <v>82</v>
      </c>
      <c r="D16" s="5">
        <v>15</v>
      </c>
      <c r="E16" s="5">
        <v>73</v>
      </c>
      <c r="F16" s="10" t="s">
        <v>49</v>
      </c>
      <c r="G16" s="43">
        <v>220</v>
      </c>
      <c r="H16" s="3">
        <f t="shared" si="5"/>
        <v>310</v>
      </c>
      <c r="I16" s="15">
        <v>85</v>
      </c>
      <c r="J16" s="3"/>
      <c r="K16" s="3"/>
      <c r="L16" s="3">
        <f t="shared" si="6"/>
        <v>115</v>
      </c>
      <c r="M16" s="3">
        <f>_xlfn.IFS(L15&gt;30,0.15,AND(L15&gt;MIN(20,30),L15&lt;MAX(20,30)),0.4,AND(L15&gt;MIN(10,20),L15&lt;MAX(10,20)),0.7,AND(L15&gt;MIN(5,10),L15&lt;MAX(5,10)),0.85,L15&lt;5,1)</f>
        <v>0.15</v>
      </c>
      <c r="N16" s="3" t="str">
        <f>IF(F15="Planar",IF(I15&lt;20,"0,15",IF(I15&lt;30,"0,40",IF(I15&lt;35,"0,70",IF(I15&lt;45,"0,85","1")))),IF(F15="Wedge",IF(K15&lt;20,"0,15",IF(K15&lt;30,"0,40",IF(K15&lt;35,"0,70",IF(K15&lt;45,"0,85","1")))),IF(I15&lt;20,"0,15",IF(I15&lt;30,"0,40",IF(I15&lt;35,"0,70",IF(I15&lt;45,"0,85","1"))))))</f>
        <v>1</v>
      </c>
      <c r="O16" s="3">
        <f>IF(F15="Planar",(I15-E15),IF(F15="Toppling",(I15+E15),(K15-E15)))</f>
        <v>158</v>
      </c>
      <c r="P16" s="3">
        <f>IF(F15="Toppling",_xlfn.IFS(O16&lt;110,0,AND(O16&gt;MIN(110,120),O16&lt;MAX(110,120)),-6,O16&gt;120,-25),_xlfn.IFS(O16&gt;10,0,AND(O16&gt;MIN(10,0),O16&lt;MAX(10,0)),-6,O16=0,-25,AND(O16&gt;MIN(0,-10),O16&lt;MAX(0,-10)),-50,O16&lt;-10,-60))</f>
        <v>-25</v>
      </c>
      <c r="Q16" s="3">
        <v>0</v>
      </c>
      <c r="R16" s="12">
        <f>C15+(M16*N16*P16)+Q16</f>
        <v>71.25</v>
      </c>
      <c r="S16" s="12" t="str">
        <f t="shared" si="9"/>
        <v>II</v>
      </c>
      <c r="T16" s="3" t="str">
        <f t="shared" si="10"/>
        <v>Good</v>
      </c>
      <c r="U16" s="5">
        <v>65</v>
      </c>
      <c r="V16" s="5">
        <f>0.65*C15+25</f>
        <v>73.75</v>
      </c>
      <c r="W16" s="5">
        <f>35*LN(C15)-71</f>
        <v>80.112083973770865</v>
      </c>
    </row>
    <row r="17" spans="1:23">
      <c r="A17" s="9"/>
      <c r="B17" s="9"/>
      <c r="M17" s="6"/>
      <c r="O17" s="6"/>
      <c r="P17" s="6" t="s">
        <v>44</v>
      </c>
      <c r="R17" s="12">
        <f>AVERAGE(R4:R10)</f>
        <v>73.107142857142861</v>
      </c>
      <c r="S17" s="12" t="str">
        <f t="shared" si="9"/>
        <v>II</v>
      </c>
      <c r="T17" s="3" t="str">
        <f t="shared" si="10"/>
        <v>Good</v>
      </c>
      <c r="U17" s="5">
        <v>65</v>
      </c>
      <c r="V17" s="5">
        <f>AVERAGE(V4:V16)</f>
        <v>74.75</v>
      </c>
      <c r="W17" s="5">
        <f>AVERAGE(W4:W16)</f>
        <v>80.760920320076877</v>
      </c>
    </row>
    <row r="18" spans="1:23">
      <c r="A18" s="13" t="s">
        <v>54</v>
      </c>
      <c r="B18" s="9"/>
    </row>
    <row r="19" spans="1:23">
      <c r="A19" s="8" t="s">
        <v>48</v>
      </c>
      <c r="B19" s="9"/>
    </row>
    <row r="20" spans="1:23">
      <c r="A20" s="8" t="s">
        <v>43</v>
      </c>
      <c r="B20" s="9"/>
    </row>
    <row r="21" spans="1:23">
      <c r="A21" s="8" t="s">
        <v>49</v>
      </c>
      <c r="B21" s="9"/>
    </row>
    <row r="22" spans="1:23">
      <c r="A22" s="9"/>
      <c r="B22" s="9"/>
    </row>
    <row r="23" spans="1:23">
      <c r="A23" s="9"/>
      <c r="B23" s="9"/>
    </row>
    <row r="24" spans="1:23">
      <c r="A24" s="9"/>
    </row>
  </sheetData>
  <mergeCells count="14">
    <mergeCell ref="A1:A3"/>
    <mergeCell ref="C1:C3"/>
    <mergeCell ref="B1:B3"/>
    <mergeCell ref="H2:H3"/>
    <mergeCell ref="I2:I3"/>
    <mergeCell ref="G1:K1"/>
    <mergeCell ref="D1:E2"/>
    <mergeCell ref="R2:T2"/>
    <mergeCell ref="O1:P2"/>
    <mergeCell ref="N1:N2"/>
    <mergeCell ref="L1:M2"/>
    <mergeCell ref="J2:K2"/>
    <mergeCell ref="G2:G3"/>
    <mergeCell ref="R1:W1"/>
  </mergeCells>
  <dataValidations count="1">
    <dataValidation type="list" allowBlank="1" showInputMessage="1" showErrorMessage="1" sqref="F4:F16" xr:uid="{5AE1A691-29ED-436C-BB12-6AC5931F5AAA}">
      <formula1>$A$19:$A$21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RMR-SMR</vt:lpstr>
      <vt:lpstr>RMR</vt:lpstr>
      <vt:lpstr>RQD</vt:lpstr>
      <vt:lpstr>SMR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Reviewer JIG Pangea</cp:lastModifiedBy>
  <dcterms:created xsi:type="dcterms:W3CDTF">2023-05-21T13:17:02Z</dcterms:created>
  <dcterms:modified xsi:type="dcterms:W3CDTF">2023-11-28T06:20:09Z</dcterms:modified>
</cp:coreProperties>
</file>