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/Users/daniel/Dropbox/Transporte_interno/Máster/Ciencia de Datos/TFM/documento/tablas/"/>
    </mc:Choice>
  </mc:AlternateContent>
  <xr:revisionPtr revIDLastSave="0" documentId="13_ncr:1_{E7723E2D-4B06-1B4F-BE4A-53B73DB0F575}" xr6:coauthVersionLast="45" xr6:coauthVersionMax="45" xr10:uidLastSave="{00000000-0000-0000-0000-000000000000}"/>
  <bookViews>
    <workbookView xWindow="40" yWindow="480" windowWidth="25740" windowHeight="20540" tabRatio="752" firstSheet="27" activeTab="34" xr2:uid="{00000000-000D-0000-FFFF-FFFF00000000}"/>
  </bookViews>
  <sheets>
    <sheet name="1 - Poblaciones estándar" sheetId="19" r:id="rId1"/>
    <sheet name="2 - Incidencia total EPNM" sheetId="20" r:id="rId2"/>
    <sheet name="3 - Incidencia hígado" sheetId="21" r:id="rId3"/>
    <sheet name="4 - Incidencia CR" sheetId="22" r:id="rId4"/>
    <sheet name="5 - Mortalidad total EPNM" sheetId="23" r:id="rId5"/>
    <sheet name="6 - Mortalidad hígado" sheetId="24" r:id="rId6"/>
    <sheet name="7 - Mortalidad CR" sheetId="25" r:id="rId7"/>
    <sheet name="8 - Prevalencia" sheetId="26" r:id="rId8"/>
    <sheet name="SN -  Matriz de confusión" sheetId="36" r:id="rId9"/>
    <sheet name="9 - Hígado datos clínicos" sheetId="27" r:id="rId10"/>
    <sheet name="10 - Hígado estado vital" sheetId="28" r:id="rId11"/>
    <sheet name="11 - CR datos clínicos" sheetId="29" r:id="rId12"/>
    <sheet name="12 - CR estado vital" sheetId="30" r:id="rId13"/>
    <sheet name="13 - parámetros SVM tuning" sheetId="38" r:id="rId14"/>
    <sheet name="14 - Tipo de muestra HB " sheetId="33" r:id="rId15"/>
    <sheet name="15 - train-test HB" sheetId="35" r:id="rId16"/>
    <sheet name="16 - Genes HB" sheetId="31" r:id="rId17"/>
    <sheet name="17 - tuningSVM HB" sheetId="39" r:id="rId18"/>
    <sheet name="18 - tuningkNN HB" sheetId="40" r:id="rId19"/>
    <sheet name="19 - Mejores modelos HB" sheetId="37" r:id="rId20"/>
    <sheet name="20 - tipo de muestra HM" sheetId="42" r:id="rId21"/>
    <sheet name="21 - train-test HM" sheetId="43" r:id="rId22"/>
    <sheet name="22 - genes HM" sheetId="44" r:id="rId23"/>
    <sheet name="23 - tuningSVM HM" sheetId="45" r:id="rId24"/>
    <sheet name="24 - tuning kNN HM" sheetId="47" r:id="rId25"/>
    <sheet name="25 - mejores modelos HM" sheetId="46" r:id="rId26"/>
    <sheet name="26 - tipo de muestra CRB" sheetId="48" r:id="rId27"/>
    <sheet name="27 - traintest CRB" sheetId="49" r:id="rId28"/>
    <sheet name="28 - genes CRB" sheetId="50" r:id="rId29"/>
    <sheet name="29 - tuningSVM CRB" sheetId="51" r:id="rId30"/>
    <sheet name="30 - tuningkNN CRB" sheetId="52" r:id="rId31"/>
    <sheet name="31 - mejores modelos CRB" sheetId="53" r:id="rId32"/>
    <sheet name="32 - tipo de muestra CRM" sheetId="54" r:id="rId33"/>
    <sheet name="33 - traintest CRM" sheetId="55" r:id="rId34"/>
    <sheet name="34 - genes CRM" sheetId="56" r:id="rId35"/>
    <sheet name="35 - tuningSVM CRM" sheetId="57" r:id="rId36"/>
    <sheet name="36 - tuningkNN CRM" sheetId="58" r:id="rId37"/>
    <sheet name="37 - mejores modelos CRM" sheetId="59" r:id="rId38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55" l="1"/>
  <c r="F8" i="55"/>
  <c r="E8" i="55"/>
  <c r="F7" i="55"/>
  <c r="H6" i="55"/>
  <c r="G6" i="55"/>
  <c r="H5" i="55"/>
  <c r="G5" i="55"/>
  <c r="H4" i="55"/>
  <c r="I4" i="55" s="1"/>
  <c r="G4" i="55"/>
  <c r="D7" i="54"/>
  <c r="H7" i="55" l="1"/>
  <c r="H8" i="55"/>
  <c r="I6" i="55"/>
  <c r="I5" i="55"/>
  <c r="D45" i="30"/>
  <c r="D46" i="30"/>
  <c r="D44" i="30"/>
  <c r="C45" i="30"/>
  <c r="C46" i="30"/>
  <c r="C44" i="30"/>
  <c r="D22" i="30"/>
  <c r="F22" i="30" s="1"/>
  <c r="D21" i="30"/>
  <c r="F21" i="30" s="1"/>
  <c r="D20" i="30"/>
  <c r="F20" i="30" s="1"/>
  <c r="G24" i="29"/>
  <c r="G23" i="29"/>
  <c r="G22" i="29"/>
  <c r="D22" i="29"/>
  <c r="D23" i="29"/>
  <c r="D24" i="29"/>
  <c r="G7" i="49" l="1"/>
  <c r="F8" i="49"/>
  <c r="E8" i="49"/>
  <c r="D6" i="48"/>
  <c r="H7" i="49"/>
  <c r="H6" i="49"/>
  <c r="I6" i="49" s="1"/>
  <c r="G6" i="49"/>
  <c r="H8" i="49" l="1"/>
  <c r="I7" i="49"/>
  <c r="I6" i="43"/>
  <c r="G5" i="43"/>
  <c r="G6" i="43"/>
  <c r="G4" i="43"/>
  <c r="H5" i="43"/>
  <c r="I5" i="43" s="1"/>
  <c r="H6" i="43"/>
  <c r="H4" i="43"/>
  <c r="H7" i="43" s="1"/>
  <c r="F7" i="43"/>
  <c r="F8" i="43"/>
  <c r="H8" i="43"/>
  <c r="E8" i="43"/>
  <c r="E7" i="43"/>
  <c r="C7" i="42"/>
  <c r="D5" i="42" s="1"/>
  <c r="D7" i="42"/>
  <c r="D4" i="42"/>
  <c r="I4" i="43" l="1"/>
  <c r="D6" i="42"/>
  <c r="D12" i="35"/>
  <c r="E12" i="35"/>
  <c r="C12" i="35"/>
  <c r="E11" i="35"/>
  <c r="E10" i="35"/>
  <c r="D11" i="35"/>
  <c r="D10" i="35"/>
  <c r="C46" i="28" l="1"/>
  <c r="C45" i="28"/>
  <c r="D22" i="28"/>
  <c r="F22" i="28" s="1"/>
  <c r="D47" i="28" s="1"/>
  <c r="D21" i="28"/>
  <c r="F21" i="28" s="1"/>
  <c r="D46" i="28" s="1"/>
  <c r="D20" i="28"/>
  <c r="F20" i="28" s="1"/>
  <c r="D45" i="28" s="1"/>
  <c r="G8" i="27"/>
  <c r="H8" i="27"/>
  <c r="G9" i="27"/>
  <c r="H9" i="27"/>
  <c r="G10" i="27"/>
  <c r="H10" i="27"/>
  <c r="G11" i="27"/>
  <c r="H11" i="27"/>
  <c r="G12" i="27"/>
  <c r="H12" i="27"/>
  <c r="G13" i="27"/>
  <c r="H13" i="27"/>
  <c r="G14" i="27"/>
  <c r="H14" i="27"/>
  <c r="G16" i="27"/>
  <c r="H16" i="27"/>
  <c r="G17" i="27"/>
  <c r="H17" i="27"/>
  <c r="G18" i="27"/>
  <c r="H18" i="27"/>
  <c r="G19" i="27"/>
  <c r="H19" i="27"/>
  <c r="G20" i="27"/>
  <c r="H20" i="27"/>
  <c r="G22" i="27"/>
  <c r="H22" i="27"/>
  <c r="G23" i="27"/>
  <c r="H23" i="27"/>
  <c r="G24" i="27"/>
  <c r="H24" i="27"/>
  <c r="G26" i="27"/>
  <c r="H26" i="27"/>
  <c r="G27" i="27"/>
  <c r="H27" i="27"/>
  <c r="G28" i="27"/>
  <c r="H28" i="27"/>
  <c r="G29" i="27"/>
  <c r="H29" i="27"/>
  <c r="G30" i="27"/>
  <c r="H30" i="27"/>
  <c r="G32" i="27"/>
  <c r="H32" i="27"/>
  <c r="G33" i="27"/>
  <c r="H33" i="27"/>
  <c r="G34" i="27"/>
  <c r="H34" i="27"/>
  <c r="G6" i="27"/>
  <c r="G5" i="27"/>
  <c r="H6" i="27"/>
  <c r="H5" i="27"/>
  <c r="D18" i="27"/>
  <c r="D19" i="27"/>
  <c r="D20" i="27"/>
  <c r="D22" i="27"/>
  <c r="D23" i="27"/>
  <c r="D24" i="27"/>
  <c r="C47" i="28" l="1"/>
  <c r="D27" i="30"/>
  <c r="C27" i="30"/>
  <c r="D18" i="30"/>
  <c r="F18" i="30" s="1"/>
  <c r="D42" i="30" s="1"/>
  <c r="D17" i="30"/>
  <c r="F17" i="30" s="1"/>
  <c r="D41" i="30" s="1"/>
  <c r="D16" i="30"/>
  <c r="C40" i="30" s="1"/>
  <c r="D15" i="30"/>
  <c r="F15" i="30" s="1"/>
  <c r="D39" i="30" s="1"/>
  <c r="D13" i="30"/>
  <c r="F13" i="30" s="1"/>
  <c r="D37" i="30" s="1"/>
  <c r="D12" i="30"/>
  <c r="F12" i="30" s="1"/>
  <c r="D36" i="30" s="1"/>
  <c r="D11" i="30"/>
  <c r="F11" i="30" s="1"/>
  <c r="D35" i="30" s="1"/>
  <c r="D10" i="30"/>
  <c r="F10" i="30" s="1"/>
  <c r="D34" i="30" s="1"/>
  <c r="D9" i="30"/>
  <c r="C33" i="30" s="1"/>
  <c r="D8" i="30"/>
  <c r="C32" i="30" s="1"/>
  <c r="D6" i="30"/>
  <c r="F6" i="30" s="1"/>
  <c r="D30" i="30" s="1"/>
  <c r="D5" i="30"/>
  <c r="F5" i="30" s="1"/>
  <c r="D29" i="30" s="1"/>
  <c r="D37" i="29"/>
  <c r="G33" i="29" s="1"/>
  <c r="D36" i="29"/>
  <c r="G32" i="29" s="1"/>
  <c r="D34" i="29"/>
  <c r="G20" i="29" s="1"/>
  <c r="D33" i="29"/>
  <c r="G19" i="29" s="1"/>
  <c r="D32" i="29"/>
  <c r="G18" i="29" s="1"/>
  <c r="D31" i="29"/>
  <c r="G17" i="29" s="1"/>
  <c r="D30" i="29"/>
  <c r="G16" i="29" s="1"/>
  <c r="D28" i="29"/>
  <c r="D27" i="29"/>
  <c r="D26" i="29"/>
  <c r="D20" i="29"/>
  <c r="G30" i="29" s="1"/>
  <c r="D19" i="29"/>
  <c r="G29" i="29" s="1"/>
  <c r="D18" i="29"/>
  <c r="G28" i="29" s="1"/>
  <c r="D17" i="29"/>
  <c r="G27" i="29" s="1"/>
  <c r="D16" i="29"/>
  <c r="G26" i="29" s="1"/>
  <c r="D14" i="29"/>
  <c r="G14" i="29" s="1"/>
  <c r="D13" i="29"/>
  <c r="G13" i="29" s="1"/>
  <c r="D12" i="29"/>
  <c r="G12" i="29" s="1"/>
  <c r="D11" i="29"/>
  <c r="G11" i="29" s="1"/>
  <c r="D10" i="29"/>
  <c r="G10" i="29" s="1"/>
  <c r="D9" i="29"/>
  <c r="G9" i="29" s="1"/>
  <c r="D8" i="29"/>
  <c r="G8" i="29" s="1"/>
  <c r="D6" i="29"/>
  <c r="G6" i="29" s="1"/>
  <c r="D5" i="29"/>
  <c r="G5" i="29" s="1"/>
  <c r="F16" i="30" l="1"/>
  <c r="D40" i="30" s="1"/>
  <c r="F9" i="30"/>
  <c r="D33" i="30" s="1"/>
  <c r="C36" i="30"/>
  <c r="C29" i="30"/>
  <c r="C30" i="30"/>
  <c r="C37" i="30"/>
  <c r="C39" i="30"/>
  <c r="F8" i="30"/>
  <c r="D32" i="30" s="1"/>
  <c r="C41" i="30"/>
  <c r="C34" i="30"/>
  <c r="C42" i="30"/>
  <c r="C35" i="30"/>
  <c r="D37" i="28" l="1"/>
  <c r="D38" i="28"/>
  <c r="D40" i="28"/>
  <c r="D41" i="28"/>
  <c r="D42" i="28"/>
  <c r="D43" i="28"/>
  <c r="D30" i="28"/>
  <c r="C38" i="28"/>
  <c r="C40" i="28"/>
  <c r="C41" i="28"/>
  <c r="C42" i="28"/>
  <c r="C31" i="28"/>
  <c r="C30" i="28"/>
  <c r="D8" i="28"/>
  <c r="C33" i="28" s="1"/>
  <c r="D9" i="28"/>
  <c r="C34" i="28" s="1"/>
  <c r="D10" i="28"/>
  <c r="C35" i="28" s="1"/>
  <c r="D11" i="28"/>
  <c r="C36" i="28" s="1"/>
  <c r="D12" i="28"/>
  <c r="F12" i="28" s="1"/>
  <c r="D13" i="28"/>
  <c r="F13" i="28" s="1"/>
  <c r="D15" i="28"/>
  <c r="F15" i="28" s="1"/>
  <c r="D16" i="28"/>
  <c r="F16" i="28" s="1"/>
  <c r="D17" i="28"/>
  <c r="F17" i="28" s="1"/>
  <c r="D18" i="28"/>
  <c r="F18" i="28" s="1"/>
  <c r="F6" i="28"/>
  <c r="D31" i="28" s="1"/>
  <c r="F5" i="28"/>
  <c r="D6" i="28"/>
  <c r="D5" i="28"/>
  <c r="F8" i="28"/>
  <c r="D33" i="28" s="1"/>
  <c r="F9" i="28"/>
  <c r="D34" i="28" s="1"/>
  <c r="F10" i="28"/>
  <c r="D35" i="28" s="1"/>
  <c r="F11" i="28"/>
  <c r="D36" i="28" s="1"/>
  <c r="D32" i="27"/>
  <c r="D33" i="27"/>
  <c r="D34" i="27"/>
  <c r="D16" i="27"/>
  <c r="D17" i="27"/>
  <c r="D5" i="27"/>
  <c r="D6" i="27"/>
  <c r="D8" i="27"/>
  <c r="D9" i="27"/>
  <c r="D10" i="27"/>
  <c r="D11" i="27"/>
  <c r="D12" i="27"/>
  <c r="D13" i="27"/>
  <c r="D14" i="27"/>
  <c r="D27" i="27"/>
  <c r="D28" i="27"/>
  <c r="D29" i="27"/>
  <c r="D30" i="27"/>
  <c r="D26" i="27"/>
  <c r="C37" i="28" l="1"/>
  <c r="C43" i="28"/>
  <c r="K7" i="26"/>
  <c r="K8" i="26"/>
  <c r="K9" i="26"/>
  <c r="K10" i="26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6" i="26"/>
  <c r="K5" i="26" l="1"/>
  <c r="K6" i="23" l="1"/>
  <c r="E29" i="25" l="1"/>
  <c r="D29" i="25"/>
  <c r="F29" i="25" s="1"/>
  <c r="E28" i="25"/>
  <c r="D28" i="25"/>
  <c r="C28" i="25"/>
  <c r="E27" i="25"/>
  <c r="D27" i="25"/>
  <c r="C27" i="25"/>
  <c r="F27" i="25" s="1"/>
  <c r="E26" i="25"/>
  <c r="D26" i="25"/>
  <c r="F26" i="25" s="1"/>
  <c r="E25" i="25"/>
  <c r="D25" i="25"/>
  <c r="C25" i="25"/>
  <c r="E24" i="25"/>
  <c r="D24" i="25"/>
  <c r="C24" i="25"/>
  <c r="E23" i="25"/>
  <c r="D23" i="25"/>
  <c r="E22" i="25"/>
  <c r="D22" i="25"/>
  <c r="C22" i="25"/>
  <c r="E21" i="25"/>
  <c r="D21" i="25"/>
  <c r="C21" i="25"/>
  <c r="K14" i="25"/>
  <c r="K13" i="25"/>
  <c r="K12" i="25"/>
  <c r="K11" i="25"/>
  <c r="K10" i="25"/>
  <c r="K9" i="25"/>
  <c r="K8" i="25"/>
  <c r="K7" i="25"/>
  <c r="K6" i="25"/>
  <c r="K5" i="25"/>
  <c r="E29" i="24"/>
  <c r="D29" i="24"/>
  <c r="F29" i="24" s="1"/>
  <c r="E28" i="24"/>
  <c r="D28" i="24"/>
  <c r="C28" i="24"/>
  <c r="E27" i="24"/>
  <c r="D27" i="24"/>
  <c r="C27" i="24"/>
  <c r="E26" i="24"/>
  <c r="D26" i="24"/>
  <c r="F26" i="24" s="1"/>
  <c r="E25" i="24"/>
  <c r="D25" i="24"/>
  <c r="C25" i="24"/>
  <c r="E24" i="24"/>
  <c r="D24" i="24"/>
  <c r="C24" i="24"/>
  <c r="E23" i="24"/>
  <c r="D23" i="24"/>
  <c r="E22" i="24"/>
  <c r="D22" i="24"/>
  <c r="C22" i="24"/>
  <c r="E21" i="24"/>
  <c r="D21" i="24"/>
  <c r="C21" i="24"/>
  <c r="K14" i="24"/>
  <c r="K13" i="24"/>
  <c r="K12" i="24"/>
  <c r="K11" i="24"/>
  <c r="K10" i="24"/>
  <c r="K9" i="24"/>
  <c r="K8" i="24"/>
  <c r="K7" i="24"/>
  <c r="K6" i="24"/>
  <c r="K5" i="24"/>
  <c r="E29" i="23"/>
  <c r="D29" i="23"/>
  <c r="E28" i="23"/>
  <c r="D28" i="23"/>
  <c r="C28" i="23"/>
  <c r="E27" i="23"/>
  <c r="D27" i="23"/>
  <c r="C27" i="23"/>
  <c r="E26" i="23"/>
  <c r="D26" i="23"/>
  <c r="F26" i="23" s="1"/>
  <c r="E25" i="23"/>
  <c r="D25" i="23"/>
  <c r="C25" i="23"/>
  <c r="E24" i="23"/>
  <c r="D24" i="23"/>
  <c r="C24" i="23"/>
  <c r="E23" i="23"/>
  <c r="D23" i="23"/>
  <c r="E22" i="23"/>
  <c r="D22" i="23"/>
  <c r="C22" i="23"/>
  <c r="E21" i="23"/>
  <c r="D21" i="23"/>
  <c r="C21" i="23"/>
  <c r="K14" i="23"/>
  <c r="K13" i="23"/>
  <c r="K12" i="23"/>
  <c r="K11" i="23"/>
  <c r="K10" i="23"/>
  <c r="K9" i="23"/>
  <c r="K8" i="23"/>
  <c r="K7" i="23"/>
  <c r="K5" i="23"/>
  <c r="F24" i="23" l="1"/>
  <c r="F29" i="23"/>
  <c r="F21" i="23"/>
  <c r="F25" i="23"/>
  <c r="F27" i="24"/>
  <c r="F22" i="23"/>
  <c r="F27" i="23"/>
  <c r="F28" i="24"/>
  <c r="F28" i="23"/>
  <c r="F23" i="24"/>
  <c r="F21" i="24"/>
  <c r="F24" i="24"/>
  <c r="F25" i="24"/>
  <c r="F22" i="24"/>
  <c r="F22" i="25"/>
  <c r="F28" i="25"/>
  <c r="F23" i="25"/>
  <c r="F25" i="25"/>
  <c r="F21" i="25"/>
  <c r="F24" i="25"/>
  <c r="F23" i="23"/>
  <c r="D22" i="21" l="1"/>
  <c r="E22" i="21"/>
  <c r="D23" i="21"/>
  <c r="E23" i="21"/>
  <c r="D24" i="21"/>
  <c r="E24" i="21"/>
  <c r="D25" i="21"/>
  <c r="E25" i="21"/>
  <c r="D26" i="21"/>
  <c r="E26" i="21"/>
  <c r="D27" i="21"/>
  <c r="E27" i="21"/>
  <c r="D28" i="21"/>
  <c r="E28" i="21"/>
  <c r="D29" i="21"/>
  <c r="E29" i="21"/>
  <c r="E21" i="21"/>
  <c r="D21" i="21"/>
  <c r="F29" i="22" l="1"/>
  <c r="F28" i="22"/>
  <c r="F27" i="22"/>
  <c r="F26" i="22"/>
  <c r="F25" i="22"/>
  <c r="F24" i="22"/>
  <c r="F23" i="22"/>
  <c r="K14" i="22"/>
  <c r="K13" i="22"/>
  <c r="K12" i="22"/>
  <c r="K11" i="22"/>
  <c r="K10" i="22"/>
  <c r="K9" i="22"/>
  <c r="K8" i="22"/>
  <c r="K7" i="22"/>
  <c r="K6" i="22"/>
  <c r="K5" i="22"/>
  <c r="F29" i="21"/>
  <c r="F26" i="21"/>
  <c r="F23" i="21"/>
  <c r="K14" i="21"/>
  <c r="K13" i="21"/>
  <c r="K12" i="21"/>
  <c r="K11" i="21"/>
  <c r="K10" i="21"/>
  <c r="K9" i="21"/>
  <c r="K8" i="21"/>
  <c r="K7" i="21"/>
  <c r="K6" i="21"/>
  <c r="K5" i="21"/>
  <c r="F22" i="22" l="1"/>
  <c r="F21" i="22"/>
  <c r="F21" i="21"/>
  <c r="F24" i="21"/>
  <c r="F22" i="21"/>
  <c r="F25" i="21"/>
  <c r="F28" i="21"/>
  <c r="F27" i="21"/>
  <c r="H3" i="19" l="1"/>
  <c r="H4" i="19"/>
  <c r="K6" i="20"/>
  <c r="K7" i="20"/>
  <c r="K8" i="20"/>
  <c r="K9" i="20"/>
  <c r="K10" i="20"/>
  <c r="K11" i="20"/>
  <c r="K12" i="20"/>
  <c r="K13" i="20"/>
  <c r="K14" i="20"/>
  <c r="K5" i="20"/>
  <c r="C22" i="20"/>
  <c r="C24" i="20"/>
  <c r="C25" i="20"/>
  <c r="C27" i="20"/>
  <c r="C28" i="20"/>
  <c r="C21" i="20"/>
  <c r="D22" i="20"/>
  <c r="D23" i="20"/>
  <c r="D24" i="20"/>
  <c r="D25" i="20"/>
  <c r="D26" i="20"/>
  <c r="D27" i="20"/>
  <c r="D28" i="20"/>
  <c r="D29" i="20"/>
  <c r="D21" i="20"/>
  <c r="E22" i="20"/>
  <c r="E23" i="20"/>
  <c r="E24" i="20"/>
  <c r="E25" i="20"/>
  <c r="E26" i="20"/>
  <c r="E27" i="20"/>
  <c r="E28" i="20"/>
  <c r="E29" i="20"/>
  <c r="E21" i="20"/>
  <c r="F29" i="20" l="1"/>
  <c r="F23" i="20"/>
  <c r="F26" i="20"/>
  <c r="F22" i="20"/>
  <c r="F21" i="20"/>
  <c r="F28" i="20"/>
  <c r="F25" i="20"/>
  <c r="F27" i="20"/>
  <c r="F24" i="20"/>
  <c r="D5" i="19"/>
  <c r="H5" i="19" s="1"/>
  <c r="D6" i="19"/>
  <c r="H6" i="19" s="1"/>
  <c r="D7" i="19"/>
  <c r="H7" i="19" s="1"/>
  <c r="D8" i="19"/>
  <c r="D9" i="19"/>
  <c r="D10" i="19"/>
  <c r="D11" i="19"/>
  <c r="D12" i="19"/>
  <c r="D13" i="19"/>
  <c r="D14" i="19"/>
  <c r="H14" i="19" s="1"/>
  <c r="D15" i="19"/>
  <c r="H15" i="19" s="1"/>
  <c r="D16" i="19"/>
  <c r="H16" i="19" s="1"/>
  <c r="D17" i="19"/>
  <c r="H17" i="19" s="1"/>
  <c r="D18" i="19"/>
  <c r="H18" i="19" s="1"/>
  <c r="D19" i="19"/>
  <c r="H19" i="19" s="1"/>
  <c r="D20" i="19"/>
  <c r="D21" i="19"/>
  <c r="D22" i="19"/>
  <c r="E5" i="19"/>
  <c r="F5" i="19"/>
  <c r="E6" i="19"/>
  <c r="F6" i="19"/>
  <c r="E7" i="19"/>
  <c r="F7" i="19"/>
  <c r="E8" i="19"/>
  <c r="H8" i="19" s="1"/>
  <c r="F8" i="19"/>
  <c r="E9" i="19"/>
  <c r="H9" i="19" s="1"/>
  <c r="F9" i="19"/>
  <c r="E10" i="19"/>
  <c r="F10" i="19"/>
  <c r="E11" i="19"/>
  <c r="F11" i="19"/>
  <c r="E12" i="19"/>
  <c r="F12" i="19"/>
  <c r="E13" i="19"/>
  <c r="F13" i="19"/>
  <c r="E14" i="19"/>
  <c r="F14" i="19"/>
  <c r="E15" i="19"/>
  <c r="F15" i="19"/>
  <c r="E16" i="19"/>
  <c r="F16" i="19"/>
  <c r="E17" i="19"/>
  <c r="F17" i="19"/>
  <c r="E18" i="19"/>
  <c r="F18" i="19"/>
  <c r="E19" i="19"/>
  <c r="F19" i="19"/>
  <c r="E20" i="19"/>
  <c r="H20" i="19" s="1"/>
  <c r="F20" i="19"/>
  <c r="E21" i="19"/>
  <c r="H21" i="19" s="1"/>
  <c r="F21" i="19"/>
  <c r="E22" i="19"/>
  <c r="F22" i="19"/>
  <c r="H22" i="19" s="1"/>
  <c r="H10" i="19"/>
  <c r="H11" i="19"/>
  <c r="H12" i="19"/>
  <c r="H13" i="19"/>
</calcChain>
</file>

<file path=xl/sharedStrings.xml><?xml version="1.0" encoding="utf-8"?>
<sst xmlns="http://schemas.openxmlformats.org/spreadsheetml/2006/main" count="1208" uniqueCount="486">
  <si>
    <t>Grupo de edad</t>
  </si>
  <si>
    <t>Población estándar mundial</t>
  </si>
  <si>
    <t>Población estándar europea 1976</t>
  </si>
  <si>
    <t>Población estándar europea 2013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</si>
  <si>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</si>
  <si>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</si>
  <si>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</si>
  <si>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</si>
  <si>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</si>
  <si>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</si>
  <si>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</si>
  <si>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</si>
  <si>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</si>
  <si>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</si>
  <si>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</si>
  <si>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</si>
  <si>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</si>
  <si>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</si>
  <si>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</si>
  <si>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</si>
  <si>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0-4</t>
  </si>
  <si>
    <t>$\geq$85</t>
  </si>
  <si>
    <t>hline</t>
  </si>
  <si>
    <t>x</t>
  </si>
  <si>
    <t>(mencionar que existe también una versión para 19 grupos de edad, separando 0-4 en menores de 1 y entre 1 y 4)</t>
  </si>
  <si>
    <t>\begin{tabular}[c]{@{}r@{}}Población estándar\\ mundial\end{tabular}</t>
  </si>
  <si>
    <t>\begin{tabular}[c]{@{}r@{}}Población estándar\\ europea 1976\end{tabular}</t>
  </si>
  <si>
    <t>\begin{tabular}[c]{@{}r@{}}Población estándar\\ europea 2013\end{tabular}</t>
  </si>
  <si>
    <t>0-4 años</t>
  </si>
  <si>
    <t>5-9 años</t>
  </si>
  <si>
    <t>10-14 años</t>
  </si>
  <si>
    <t>15-19 años</t>
  </si>
  <si>
    <t>20-24 años</t>
  </si>
  <si>
    <t>25-29 años</t>
  </si>
  <si>
    <t>30-34 años</t>
  </si>
  <si>
    <t>35-39 años</t>
  </si>
  <si>
    <t>40-44 años</t>
  </si>
  <si>
    <t>45-49 años</t>
  </si>
  <si>
    <t>50-54 años</t>
  </si>
  <si>
    <t>55-59 años</t>
  </si>
  <si>
    <t>60-64 años</t>
  </si>
  <si>
    <t>65-69 años</t>
  </si>
  <si>
    <t>70-74 años</t>
  </si>
  <si>
    <t>75-79 años</t>
  </si>
  <si>
    <t>80-84 años</t>
  </si>
  <si>
    <t>$\geq$85 años</t>
  </si>
  <si>
    <t>Sexo</t>
  </si>
  <si>
    <t>N</t>
  </si>
  <si>
    <t>TB</t>
  </si>
  <si>
    <t>sin puntos</t>
  </si>
  <si>
    <t>con puntos</t>
  </si>
  <si>
    <t>8.818.685</t>
  </si>
  <si>
    <t>142.353</t>
  </si>
  <si>
    <t>8.218.216</t>
  </si>
  <si>
    <t>106.647</t>
  </si>
  <si>
    <t>17.036.901</t>
  </si>
  <si>
    <t>249.000</t>
  </si>
  <si>
    <t>229,0</t>
  </si>
  <si>
    <t>Fuente</t>
  </si>
  <si>
    <t>Población</t>
  </si>
  <si>
    <t>España</t>
  </si>
  <si>
    <t>GCO \cite{GCO}</t>
  </si>
  <si>
    <t>ECIS \cite{ECIS}</t>
  </si>
  <si>
    <t>Mundo</t>
  </si>
  <si>
    <t>2.059.673</t>
  </si>
  <si>
    <t>1.851.644</t>
  </si>
  <si>
    <t>3.911.317</t>
  </si>
  <si>
    <t>Europa</t>
  </si>
  <si>
    <t>\multirow{3}{*}{Hombres}</t>
  </si>
  <si>
    <t>\multirow{3}{*}{Mujeres}</t>
  </si>
  <si>
    <t>\multirow{3}{*}{\begin{tabular}[c]{@{}c@{}}Ambos\\sexos\end{tabular}}</t>
  </si>
  <si>
    <t>436,0</t>
  </si>
  <si>
    <t>596.574</t>
  </si>
  <si>
    <t>55.825</t>
  </si>
  <si>
    <t>4.976</t>
  </si>
  <si>
    <t>244.506</t>
  </si>
  <si>
    <t>26.641</t>
  </si>
  <si>
    <t>1.654</t>
  </si>
  <si>
    <t>841.080</t>
  </si>
  <si>
    <t>82.466</t>
  </si>
  <si>
    <t>6.630</t>
  </si>
  <si>
    <t>7,0</t>
  </si>
  <si>
    <t>11,0</t>
  </si>
  <si>
    <t>4,0</t>
  </si>
  <si>
    <t>6,0</t>
  </si>
  <si>
    <t>8,0</t>
  </si>
  <si>
    <t>37,0</t>
  </si>
  <si>
    <t>70,0</t>
  </si>
  <si>
    <t>1.026.215</t>
  </si>
  <si>
    <t>275.519</t>
  </si>
  <si>
    <t>23.013</t>
  </si>
  <si>
    <t>823.303</t>
  </si>
  <si>
    <t>236.101</t>
  </si>
  <si>
    <t>14.642</t>
  </si>
  <si>
    <t>1.849.518</t>
  </si>
  <si>
    <t>511.620</t>
  </si>
  <si>
    <t>37.655</t>
  </si>
  <si>
    <t>MSCBS \cite{MSCBS}</t>
  </si>
  <si>
    <t>201,0</t>
  </si>
  <si>
    <t>121,3</t>
  </si>
  <si>
    <t>177,4</t>
  </si>
  <si>
    <t>230,8</t>
  </si>
  <si>
    <t>107.858</t>
  </si>
  <si>
    <t>5.347.295</t>
  </si>
  <si>
    <t>1.077.986</t>
  </si>
  <si>
    <t>65.610</t>
  </si>
  <si>
    <t>4.142.577</t>
  </si>
  <si>
    <t>851.723</t>
  </si>
  <si>
    <t>42.248</t>
  </si>
  <si>
    <t>9.489.872</t>
  </si>
  <si>
    <t>1.929.709</t>
  </si>
  <si>
    <t>2,0</t>
  </si>
  <si>
    <t>14,0</t>
  </si>
  <si>
    <t>17,0</t>
  </si>
  <si>
    <t>5.141</t>
  </si>
  <si>
    <t>77.375</t>
  </si>
  <si>
    <t>548.375</t>
  </si>
  <si>
    <t>50.365</t>
  </si>
  <si>
    <t>3.577</t>
  </si>
  <si>
    <t>233.256</t>
  </si>
  <si>
    <t>27.010</t>
  </si>
  <si>
    <t>1.564</t>
  </si>
  <si>
    <t>781.631</t>
  </si>
  <si>
    <t>10,0</t>
  </si>
  <si>
    <t>484.224</t>
  </si>
  <si>
    <t>131.155</t>
  </si>
  <si>
    <t>9.222</t>
  </si>
  <si>
    <t>396.568</t>
  </si>
  <si>
    <t>115.059</t>
  </si>
  <si>
    <t>6.066</t>
  </si>
  <si>
    <t>880.792</t>
  </si>
  <si>
    <t>246.214</t>
  </si>
  <si>
    <t>15.288</t>
  </si>
  <si>
    <t>TE-W</t>
  </si>
  <si>
    <t>TE-oE</t>
  </si>
  <si>
    <t>TE-nE</t>
  </si>
  <si>
    <t>\multirow{9}{*}{Hígado}</t>
  </si>
  <si>
    <t>\multirow{9}{*}{Total del cáncer EPNM}</t>
  </si>
  <si>
    <t>Tasa</t>
  </si>
  <si>
    <t>\multicol{1}{2}{1 año}</t>
  </si>
  <si>
    <t>\multicol{1}{2}{5 años}</t>
  </si>
  <si>
    <t>\multirow{9}{*}{Colon-recto}</t>
  </si>
  <si>
    <t>Localización</t>
  </si>
  <si>
    <t>cline</t>
  </si>
  <si>
    <t>464,0</t>
  </si>
  <si>
    <t>357,0</t>
  </si>
  <si>
    <t>148,0</t>
  </si>
  <si>
    <t>16,0</t>
  </si>
  <si>
    <t>58,0</t>
  </si>
  <si>
    <t>5.607.801</t>
  </si>
  <si>
    <t>1.504.232</t>
  </si>
  <si>
    <t>105.599</t>
  </si>
  <si>
    <t>5.688.175</t>
  </si>
  <si>
    <t>1.434.849</t>
  </si>
  <si>
    <t>84.409</t>
  </si>
  <si>
    <t>190.008</t>
  </si>
  <si>
    <t>236.669</t>
  </si>
  <si>
    <t>2.939.081</t>
  </si>
  <si>
    <t>11.295.976</t>
  </si>
  <si>
    <t>21.240</t>
  </si>
  <si>
    <t>1.924</t>
  </si>
  <si>
    <t>97.621</t>
  </si>
  <si>
    <t>9.719</t>
  </si>
  <si>
    <t>334.290</t>
  </si>
  <si>
    <t>30.959</t>
  </si>
  <si>
    <t>2.504</t>
  </si>
  <si>
    <t>749.774</t>
  </si>
  <si>
    <t>213.233</t>
  </si>
  <si>
    <t>18.059</t>
  </si>
  <si>
    <t>606.377</t>
  </si>
  <si>
    <t>178.969</t>
  </si>
  <si>
    <t>11.463</t>
  </si>
  <si>
    <t>1.356.151</t>
  </si>
  <si>
    <t>392.202</t>
  </si>
  <si>
    <t>29.522</t>
  </si>
  <si>
    <t>105.714</t>
  </si>
  <si>
    <t>1.403.877</t>
  </si>
  <si>
    <t>4.789.635</t>
  </si>
  <si>
    <t>42.121</t>
  </si>
  <si>
    <t>655.422</t>
  </si>
  <si>
    <t>2.194.309</t>
  </si>
  <si>
    <t>63.593</t>
  </si>
  <si>
    <t>748.455</t>
  </si>
  <si>
    <t>2.595.326</t>
  </si>
  <si>
    <t>4.720</t>
  </si>
  <si>
    <t>58.477</t>
  </si>
  <si>
    <t>675.210</t>
  </si>
  <si>
    <t>1.102</t>
  </si>
  <si>
    <t>18.610</t>
  </si>
  <si>
    <t>203.685</t>
  </si>
  <si>
    <t>3.618</t>
  </si>
  <si>
    <t>39.867</t>
  </si>
  <si>
    <t>471.525</t>
  </si>
  <si>
    <t>678.768</t>
  </si>
  <si>
    <t>10.504.195</t>
  </si>
  <si>
    <t>38.633.420</t>
  </si>
  <si>
    <t>322.341</t>
  </si>
  <si>
    <t>5.417.680</t>
  </si>
  <si>
    <t>20.738.064</t>
  </si>
  <si>
    <t>356.427</t>
  </si>
  <si>
    <t>5.086.515</t>
  </si>
  <si>
    <t>17.895.356</t>
  </si>
  <si>
    <t>Número de tumores</t>
  </si>
  <si>
    <t>Estadio</t>
  </si>
  <si>
    <t>Estadio I</t>
  </si>
  <si>
    <t>Estadio IV</t>
  </si>
  <si>
    <t>Estadio II</t>
  </si>
  <si>
    <t>Estadio III</t>
  </si>
  <si>
    <t>Desconocido</t>
  </si>
  <si>
    <t>Porcentaje</t>
  </si>
  <si>
    <t>0-40 años</t>
  </si>
  <si>
    <t>41-50 años</t>
  </si>
  <si>
    <t>51-60 años</t>
  </si>
  <si>
    <t>61-70 años</t>
  </si>
  <si>
    <t>71-80 años</t>
  </si>
  <si>
    <t>81 años o más</t>
  </si>
  <si>
    <t>Hombre</t>
  </si>
  <si>
    <t>Mujer</t>
  </si>
  <si>
    <t>Etnia</t>
  </si>
  <si>
    <t>Hispano o latino</t>
  </si>
  <si>
    <t>No hispano ni latino</t>
  </si>
  <si>
    <t>Raza</t>
  </si>
  <si>
    <t>Indio americano o nativo de Alaska</t>
  </si>
  <si>
    <t>Asiático</t>
  </si>
  <si>
    <t>Blanco</t>
  </si>
  <si>
    <t>Negro o afroamericano</t>
  </si>
  <si>
    <t>Estado vital</t>
  </si>
  <si>
    <t>Vivo</t>
  </si>
  <si>
    <t>Muerto</t>
  </si>
  <si>
    <t>Vivos</t>
  </si>
  <si>
    <t>Muertos</t>
  </si>
  <si>
    <t>Nota: análisis de casos completos, ignorando datos faltantes</t>
  </si>
  <si>
    <t>Número de casos (Porcentaje)</t>
  </si>
  <si>
    <t>Total</t>
  </si>
  <si>
    <t>Fallecido</t>
  </si>
  <si>
    <t>Fallecidos</t>
  </si>
  <si>
    <t>620 (100%)</t>
  </si>
  <si>
    <t>0,993</t>
  </si>
  <si>
    <t xml:space="preserve">p-valor </t>
  </si>
  <si>
    <t>&lt;0,001</t>
  </si>
  <si>
    <t>Diagnóstico primario</t>
  </si>
  <si>
    <t>Carcinoma hepatocelular</t>
  </si>
  <si>
    <t>Colangiocarcinoma</t>
  </si>
  <si>
    <t>Otros</t>
  </si>
  <si>
    <t>Número de casos</t>
  </si>
  <si>
    <t>0,126</t>
  </si>
  <si>
    <t>0,018</t>
  </si>
  <si>
    <t>p-valor</t>
  </si>
  <si>
    <t>0,033</t>
  </si>
  <si>
    <t>ANGPTL6</t>
  </si>
  <si>
    <t>TERT</t>
  </si>
  <si>
    <t>THY1</t>
  </si>
  <si>
    <t>PTH1R</t>
  </si>
  <si>
    <t>RSPO3</t>
  </si>
  <si>
    <t>ADAMTS13</t>
  </si>
  <si>
    <t>HOXA13</t>
  </si>
  <si>
    <t>CELSR3</t>
  </si>
  <si>
    <t>BMPER</t>
  </si>
  <si>
    <t>SIX1</t>
  </si>
  <si>
    <t>CCNE1</t>
  </si>
  <si>
    <t>PRC1</t>
  </si>
  <si>
    <t>TOP2A</t>
  </si>
  <si>
    <t>CDH13</t>
  </si>
  <si>
    <t>CLEC4G</t>
  </si>
  <si>
    <t>GPC3</t>
  </si>
  <si>
    <t>C14orf180</t>
  </si>
  <si>
    <t>VIPR1</t>
  </si>
  <si>
    <t>SSX1</t>
  </si>
  <si>
    <t>GABRD</t>
  </si>
  <si>
    <t>CLEC4M</t>
  </si>
  <si>
    <t>BUB1B</t>
  </si>
  <si>
    <t>AP000439.2</t>
  </si>
  <si>
    <t>OIT3</t>
  </si>
  <si>
    <t>RET</t>
  </si>
  <si>
    <t>CEP152</t>
  </si>
  <si>
    <t>ESR1</t>
  </si>
  <si>
    <t>mRMR</t>
  </si>
  <si>
    <t>RF</t>
  </si>
  <si>
    <t>DA</t>
  </si>
  <si>
    <t>Ranking</t>
  </si>
  <si>
    <t>Tumores</t>
  </si>
  <si>
    <t>Tejido sano</t>
  </si>
  <si>
    <t>87,4%</t>
  </si>
  <si>
    <t>12,6%</t>
  </si>
  <si>
    <t>100%</t>
  </si>
  <si>
    <t>Entrenamiento</t>
  </si>
  <si>
    <t>Test</t>
  </si>
  <si>
    <t>Sanos</t>
  </si>
  <si>
    <t>404 (100%)</t>
  </si>
  <si>
    <t>58 (100%)</t>
  </si>
  <si>
    <t>Proporción
tumores/sanos</t>
  </si>
  <si>
    <t>Clase real</t>
  </si>
  <si>
    <t>Positivo</t>
  </si>
  <si>
    <t>Negativo</t>
  </si>
  <si>
    <t>Predicción</t>
  </si>
  <si>
    <t>Verdaderos positivos (TP)</t>
  </si>
  <si>
    <t>Falsos positivos (FP)</t>
  </si>
  <si>
    <t>Verdaderos negativos (TN)</t>
  </si>
  <si>
    <t>Falsos negativos (FN)</t>
  </si>
  <si>
    <t>Biclase</t>
  </si>
  <si>
    <t>Parámetros</t>
  </si>
  <si>
    <t>SVM</t>
  </si>
  <si>
    <t>RF 4 genes</t>
  </si>
  <si>
    <t>mRMR 7 genes</t>
  </si>
  <si>
    <t>--</t>
  </si>
  <si>
    <t>kNN</t>
  </si>
  <si>
    <t>RF 2 genes</t>
  </si>
  <si>
    <t>http://onlineconfusionmatrix.com</t>
  </si>
  <si>
    <t>Multiclase morfología</t>
  </si>
  <si>
    <t>coste = 1
gamma = 0.025</t>
  </si>
  <si>
    <t>mRMR 6 genes</t>
  </si>
  <si>
    <t>90,63</t>
  </si>
  <si>
    <t>mRmR 7 genes</t>
  </si>
  <si>
    <t>k = 7</t>
  </si>
  <si>
    <t>Multiclase estadio</t>
  </si>
  <si>
    <t>mrmr 5 genes</t>
  </si>
  <si>
    <t>coste = 0.05
gamma = 0.05</t>
  </si>
  <si>
    <t>mrmr 7 genes</t>
  </si>
  <si>
    <t>63,20</t>
  </si>
  <si>
    <t>mrmr 1 gen</t>
  </si>
  <si>
    <t>k = 9</t>
  </si>
  <si>
    <t>78,10</t>
  </si>
  <si>
    <t>Coste</t>
  </si>
  <si>
    <t>Gamma</t>
  </si>
  <si>
    <t>Biomarcadores</t>
  </si>
  <si>
    <t>$c$ = 0.75
$\gamma$ = 0.1</t>
  </si>
  <si>
    <t>$k$ = 5</t>
  </si>
  <si>
    <t>F1 train</t>
  </si>
  <si>
    <t>Acc train</t>
  </si>
  <si>
    <t>F1 test</t>
  </si>
  <si>
    <t>Acc test</t>
  </si>
  <si>
    <t>44 (75,9%)</t>
  </si>
  <si>
    <t>14 (24,1%)</t>
  </si>
  <si>
    <t>363 (100%)</t>
  </si>
  <si>
    <t>33 (100%)</t>
  </si>
  <si>
    <t>Proporción
colang./sanos</t>
  </si>
  <si>
    <t>Proporción
carc. hepat./sanos</t>
  </si>
  <si>
    <t>273 (75,2%)</t>
  </si>
  <si>
    <t>25 (75,8%)</t>
  </si>
  <si>
    <t>90 (24,8%)</t>
  </si>
  <si>
    <t>8 (24,2%)</t>
  </si>
  <si>
    <t>WWTR1</t>
  </si>
  <si>
    <t>FTLP3</t>
  </si>
  <si>
    <t>BIRC3</t>
  </si>
  <si>
    <t>PLXDC1</t>
  </si>
  <si>
    <t>CDH1</t>
  </si>
  <si>
    <t>RAB25</t>
  </si>
  <si>
    <t>STAB2</t>
  </si>
  <si>
    <t>ROS1</t>
  </si>
  <si>
    <t>WDR66</t>
  </si>
  <si>
    <t>POLQ</t>
  </si>
  <si>
    <t>AP2B1</t>
  </si>
  <si>
    <t>ECM1</t>
  </si>
  <si>
    <t>FGFR2</t>
  </si>
  <si>
    <t>KLF6</t>
  </si>
  <si>
    <t>PTPN13</t>
  </si>
  <si>
    <t>GDF2</t>
  </si>
  <si>
    <t>CBFB</t>
  </si>
  <si>
    <t>SLC31A1</t>
  </si>
  <si>
    <t>FGFR3</t>
  </si>
  <si>
    <t>SPDL1</t>
  </si>
  <si>
    <t>CLTCL1</t>
  </si>
  <si>
    <t>cost</t>
  </si>
  <si>
    <t>gamma</t>
  </si>
  <si>
    <t>mrmr</t>
  </si>
  <si>
    <t>rf</t>
  </si>
  <si>
    <t>da</t>
  </si>
  <si>
    <t>$c$ = 1
$\gamma$ = 0.025</t>
  </si>
  <si>
    <t>Tumor</t>
  </si>
  <si>
    <t>644 (100%)</t>
  </si>
  <si>
    <t>51 (100%)</t>
  </si>
  <si>
    <t>483 (75,0%)</t>
  </si>
  <si>
    <t>39 (76,5%)</t>
  </si>
  <si>
    <t>161 (25,0%)</t>
  </si>
  <si>
    <t>12 (23,5%)</t>
  </si>
  <si>
    <t>BEST4</t>
  </si>
  <si>
    <t>VSTM2A</t>
  </si>
  <si>
    <t>ETV4</t>
  </si>
  <si>
    <t>MET</t>
  </si>
  <si>
    <t>CA7</t>
  </si>
  <si>
    <t>SCN7A</t>
  </si>
  <si>
    <t>EPOP</t>
  </si>
  <si>
    <t>COL11A1</t>
  </si>
  <si>
    <t>RSPO2</t>
  </si>
  <si>
    <t>RXRG</t>
  </si>
  <si>
    <t>GLP2R</t>
  </si>
  <si>
    <t>PHOX2B</t>
  </si>
  <si>
    <t>C5orf34</t>
  </si>
  <si>
    <t>SLC39A10</t>
  </si>
  <si>
    <t>SALL4</t>
  </si>
  <si>
    <t>DHRS7C</t>
  </si>
  <si>
    <t>ENC1</t>
  </si>
  <si>
    <t>POU5F1B</t>
  </si>
  <si>
    <t>NKX2-3</t>
  </si>
  <si>
    <t>ESM1</t>
  </si>
  <si>
    <t>TNFRSF17</t>
  </si>
  <si>
    <t>CEMIP</t>
  </si>
  <si>
    <t>SCN9A</t>
  </si>
  <si>
    <t>SGCG</t>
  </si>
  <si>
    <t>CA2</t>
  </si>
  <si>
    <t>TLX1</t>
  </si>
  <si>
    <t>MDFI</t>
  </si>
  <si>
    <t>KRT80</t>
  </si>
  <si>
    <t>WT1</t>
  </si>
  <si>
    <t>100</t>
  </si>
  <si>
    <t>mRMR 3 genes</t>
  </si>
  <si>
    <t>RF 3 genes</t>
  </si>
  <si>
    <t>$c$ = 0,05
$\gamma$ = 0,06</t>
  </si>
  <si>
    <t>$c$ = 0,05
$\gamma$ = 0,07</t>
  </si>
  <si>
    <t>k = 23</t>
  </si>
  <si>
    <t>mRMR 4 genes</t>
  </si>
  <si>
    <t>Caucásico</t>
  </si>
  <si>
    <t>Afroamericano</t>
  </si>
  <si>
    <t>Adenocarcinoma</t>
  </si>
  <si>
    <t>Adenocarcinoma mucinoso</t>
  </si>
  <si>
    <t>0,25</t>
  </si>
  <si>
    <t>Tejido normal</t>
  </si>
  <si>
    <t>Adenocarcinoma
mucinoso</t>
  </si>
  <si>
    <t>530 (100%)</t>
  </si>
  <si>
    <t>87 (100%)</t>
  </si>
  <si>
    <t>398 (75,1%)</t>
  </si>
  <si>
    <t>66 (75,9%)</t>
  </si>
  <si>
    <t>132 (24,9%)</t>
  </si>
  <si>
    <t>21 (24,1%)</t>
  </si>
  <si>
    <t>Proporción
adenoc./sanos</t>
  </si>
  <si>
    <t>Proporción
adenoc. muc./sanos</t>
  </si>
  <si>
    <t>GTF2IRD1</t>
  </si>
  <si>
    <t>CD79B</t>
  </si>
  <si>
    <t>SCN4A</t>
  </si>
  <si>
    <t>MUC2</t>
  </si>
  <si>
    <t>BTK</t>
  </si>
  <si>
    <t>CLEC3B</t>
  </si>
  <si>
    <t>CSE1L</t>
  </si>
  <si>
    <t>BRCA1</t>
  </si>
  <si>
    <t>SCGN</t>
  </si>
  <si>
    <t>FAS</t>
  </si>
  <si>
    <t>SLC11A1</t>
  </si>
  <si>
    <t>OSBPL3</t>
  </si>
  <si>
    <t>PVT1</t>
  </si>
  <si>
    <t>GDPD5</t>
  </si>
  <si>
    <t>CPNE7</t>
  </si>
  <si>
    <t>CDH3</t>
  </si>
  <si>
    <t>ATP2B3</t>
  </si>
  <si>
    <t>79,28</t>
  </si>
  <si>
    <t>mRMR 9 genes</t>
  </si>
  <si>
    <t>$c$ = 5
$\gamma$ = 0,07</t>
  </si>
  <si>
    <t>No hay relación</t>
  </si>
  <si>
    <t>UK Biobank</t>
  </si>
  <si>
    <t>Relación con otros cánceres</t>
  </si>
  <si>
    <t>Relación con consumo de alcohol</t>
  </si>
  <si>
    <t>Fuentes</t>
  </si>
  <si>
    <t>http://europepmc.org/article/MED/29059683</t>
  </si>
  <si>
    <t>http://europepmc.org/article/MED/26098869</t>
  </si>
  <si>
    <t>http://europepmc.org/article/MED/24163127</t>
  </si>
  <si>
    <t>http://europepmc.org/article/MED/20972438</t>
  </si>
  <si>
    <t>http://europepmc.org/article/MED/29058716</t>
  </si>
  <si>
    <t>http://europepmc.org/article/MED/27911795</t>
  </si>
  <si>
    <t>http://europepmc.org/article/MED/30643251</t>
  </si>
  <si>
    <t>http://europepmc.org/article/MED/25751625</t>
  </si>
  <si>
    <t>Relación con otros cánceres; consumo de alcohol</t>
  </si>
  <si>
    <t>Liver</t>
  </si>
  <si>
    <t>Cirrhosis</t>
  </si>
  <si>
    <t>smoking</t>
  </si>
  <si>
    <t>alcohol</t>
  </si>
  <si>
    <t>diabetes tipo ii</t>
  </si>
  <si>
    <t>Edad de iniciación a fumar PMID: 30643251</t>
  </si>
  <si>
    <t>cancer</t>
  </si>
  <si>
    <t>alcohol 27911795</t>
  </si>
  <si>
    <t xml:space="preserve">fumar PMID: </t>
  </si>
  <si>
    <t>colon</t>
  </si>
  <si>
    <t>rectum</t>
  </si>
  <si>
    <t>overweight</t>
  </si>
  <si>
    <t>smok</t>
  </si>
  <si>
    <t>diabetes</t>
  </si>
  <si>
    <t>bowel</t>
  </si>
  <si>
    <t>Crohn</t>
  </si>
  <si>
    <t>colitis</t>
  </si>
  <si>
    <t>10.1007/BF00121166</t>
  </si>
  <si>
    <t>30679032, 30643251</t>
  </si>
  <si>
    <t>cáncer de cérvix 30412241</t>
  </si>
  <si>
    <t>mrmrm</t>
  </si>
  <si>
    <t>(ver arriba)</t>
  </si>
  <si>
    <t>Biobank</t>
  </si>
  <si>
    <t>mama 29059683 y próstata 29892016</t>
  </si>
  <si>
    <t>cáncer de pulmón 26732429 de piel (Biobank)</t>
  </si>
  <si>
    <t>﻿Liu2019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</si>
</sst>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rgb="FFE1AC25"/>
      <name val="Calibri"/>
      <family val="2"/>
      <scheme val="minor"/>
    </font>
    <font>
      <sz val="9"/>
      <color rgb="FF333333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494949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10" fillId="0" borderId="0" applyFont="0" applyFill="0" applyBorder="0" applyAlignment="0" applyProtection="0"/>
    <xf numFmtId="0" fontId="1" fillId="0" borderId="0" applyNumberFormat="0" applyFill="0" applyBorder="0" applyAlignment="0" applyProtection="0"/>
  </cellStyleXfs>
  <cellXfs count="136">
    <xf numFmtId="0" fontId="0" fillId="0" borderId="0" xfId="0"/>
    <xf numFmtId="0" fontId="0" fillId="0" borderId="0" xfId="0" applyFont="1"/>
    <xf numFmtId="0" fontId="3" fillId="0" borderId="0" xfId="0" applyFont="1"/>
    <xf numFmtId="0" fontId="4" fillId="0" borderId="0" xfId="0" applyFont="1"/>
    <xf numFmtId="49" fontId="4" fillId="0" borderId="0" xfId="0" applyNumberFormat="1" applyFont="1"/>
    <xf numFmtId="0" fontId="0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wrapText="1"/>
    </xf>
    <xf numFmtId="0" fontId="5" fillId="0" borderId="1" xfId="0" applyNumberFormat="1" applyFont="1" applyBorder="1" applyAlignment="1">
      <alignment horizontal="center" vertical="center"/>
    </xf>
    <xf numFmtId="0" fontId="0" fillId="0" borderId="0" xfId="0" applyAlignment="1"/>
    <xf numFmtId="0" fontId="0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0" xfId="0" applyNumberFormat="1" applyFill="1" applyAlignment="1">
      <alignment horizontal="center"/>
    </xf>
    <xf numFmtId="49" fontId="0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/>
    <xf numFmtId="0" fontId="8" fillId="0" borderId="0" xfId="0" applyFont="1" applyFill="1" applyBorder="1"/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9" fillId="0" borderId="2" xfId="0" applyNumberFormat="1" applyFont="1" applyFill="1" applyBorder="1" applyAlignment="1">
      <alignment horizontal="center" vertical="top" wrapText="1"/>
    </xf>
    <xf numFmtId="49" fontId="0" fillId="0" borderId="2" xfId="0" applyNumberFormat="1" applyFont="1" applyFill="1" applyBorder="1" applyAlignment="1">
      <alignment horizontal="right" vertical="center" wrapText="1"/>
    </xf>
    <xf numFmtId="49" fontId="0" fillId="0" borderId="2" xfId="0" applyNumberFormat="1" applyFont="1" applyBorder="1" applyAlignment="1">
      <alignment horizontal="right" vertical="center" wrapText="1"/>
    </xf>
    <xf numFmtId="49" fontId="0" fillId="0" borderId="1" xfId="0" applyNumberFormat="1" applyFont="1" applyBorder="1" applyAlignment="1">
      <alignment horizontal="right" vertical="center"/>
    </xf>
    <xf numFmtId="0" fontId="8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8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/>
    <xf numFmtId="0" fontId="8" fillId="0" borderId="3" xfId="0" applyFont="1" applyBorder="1"/>
    <xf numFmtId="0" fontId="0" fillId="0" borderId="3" xfId="0" applyBorder="1" applyAlignment="1">
      <alignment horizontal="right"/>
    </xf>
    <xf numFmtId="0" fontId="8" fillId="0" borderId="3" xfId="0" applyFont="1" applyBorder="1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9" fontId="0" fillId="0" borderId="0" xfId="0" applyNumberForma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49" fontId="0" fillId="0" borderId="0" xfId="0" applyNumberFormat="1"/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0" xfId="0" applyFill="1"/>
    <xf numFmtId="0" fontId="8" fillId="0" borderId="12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49" fontId="0" fillId="0" borderId="16" xfId="0" applyNumberFormat="1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49" fontId="0" fillId="0" borderId="21" xfId="0" applyNumberForma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left" wrapText="1"/>
    </xf>
    <xf numFmtId="0" fontId="12" fillId="0" borderId="0" xfId="0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12" fillId="0" borderId="0" xfId="3" applyNumberFormat="1" applyFont="1" applyAlignment="1">
      <alignment horizontal="center" vertical="center"/>
    </xf>
    <xf numFmtId="0" fontId="12" fillId="0" borderId="0" xfId="0" applyFont="1"/>
    <xf numFmtId="0" fontId="0" fillId="0" borderId="1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1" fillId="0" borderId="0" xfId="0" applyFont="1" applyAlignment="1">
      <alignment horizontal="center"/>
    </xf>
    <xf numFmtId="0" fontId="11" fillId="0" borderId="0" xfId="0" applyFont="1"/>
    <xf numFmtId="164" fontId="12" fillId="0" borderId="0" xfId="0" applyNumberFormat="1" applyFont="1" applyAlignment="1">
      <alignment horizontal="center"/>
    </xf>
    <xf numFmtId="0" fontId="0" fillId="0" borderId="24" xfId="0" applyFill="1" applyBorder="1" applyAlignment="1">
      <alignment horizontal="center" vertical="center" wrapText="1"/>
    </xf>
    <xf numFmtId="0" fontId="0" fillId="0" borderId="25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right"/>
    </xf>
    <xf numFmtId="0" fontId="8" fillId="0" borderId="0" xfId="0" applyFont="1" applyFill="1" applyBorder="1" applyAlignment="1">
      <alignment horizontal="left"/>
    </xf>
    <xf numFmtId="164" fontId="0" fillId="0" borderId="0" xfId="3" applyNumberFormat="1" applyFont="1"/>
    <xf numFmtId="0" fontId="8" fillId="0" borderId="0" xfId="0" applyFont="1" applyAlignment="1">
      <alignment wrapText="1"/>
    </xf>
    <xf numFmtId="0" fontId="0" fillId="0" borderId="28" xfId="0" applyFill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Alignment="1">
      <alignment horizontal="right"/>
    </xf>
    <xf numFmtId="0" fontId="8" fillId="0" borderId="7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1" fillId="0" borderId="0" xfId="4"/>
    <xf numFmtId="0" fontId="13" fillId="0" borderId="0" xfId="0" applyFont="1"/>
  </cellXfs>
  <cellStyles count="5">
    <cellStyle name="Hipervínculo" xfId="1" builtinId="8" hidden="1"/>
    <cellStyle name="Hipervínculo" xfId="4" builtinId="8"/>
    <cellStyle name="Hipervínculo visitado" xfId="2" builtinId="9" hidden="1"/>
    <cellStyle name="Normal" xfId="0" builtinId="0"/>
    <cellStyle name="Porcentaje" xfId="3" builtinId="5"/>
  </cellStyles>
  <dxfs count="0"/>
  <tableStyles count="0" defaultTableStyle="TableStyleMedium9" defaultPivotStyle="PivotStyleMedium7"/>
  <colors>
    <mruColors>
      <color rgb="FF181D9D"/>
      <color rgb="FF336600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://europepmc.org/article/MED/24163127" TargetMode="External"/><Relationship Id="rId2" Type="http://schemas.openxmlformats.org/officeDocument/2006/relationships/hyperlink" Target="http://europepmc.org/article/MED/26098869" TargetMode="External"/><Relationship Id="rId1" Type="http://schemas.openxmlformats.org/officeDocument/2006/relationships/hyperlink" Target="http://europepmc.org/article/MED/29059683" TargetMode="External"/><Relationship Id="rId5" Type="http://schemas.openxmlformats.org/officeDocument/2006/relationships/hyperlink" Target="http://europepmc.org/article/MED/25751625" TargetMode="External"/><Relationship Id="rId4" Type="http://schemas.openxmlformats.org/officeDocument/2006/relationships/hyperlink" Target="http://europepmc.org/article/MED/2905968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7/BF00121166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5EA62-B995-4B2C-B81F-34E9E60572DB}">
  <dimension ref="A1:H43"/>
  <sheetViews>
    <sheetView zoomScale="130" zoomScaleNormal="130" workbookViewId="0">
      <selection activeCell="D3" sqref="D3"/>
    </sheetView>
  </sheetViews>
  <sheetFormatPr baseColWidth="10" defaultColWidth="10.6640625" defaultRowHeight="16" x14ac:dyDescent="0.2"/>
  <cols>
    <col min="1" max="2" width="10.6640625" style="1"/>
    <col min="3" max="6" width="13.5" style="5" customWidth="1"/>
    <col min="7" max="7" width="10.6640625" style="1"/>
    <col min="8" max="8" width="36" style="1" customWidth="1"/>
    <col min="9" max="16384" width="10.6640625" style="1"/>
  </cols>
  <sheetData>
    <row r="1" spans="1:8" x14ac:dyDescent="0.2">
      <c r="B1" s="1" t="s">
        <v>24</v>
      </c>
    </row>
    <row r="2" spans="1:8" x14ac:dyDescent="0.2">
      <c r="A2" s="1" t="s">
        <v>22</v>
      </c>
    </row>
    <row r="3" spans="1:8" ht="92" x14ac:dyDescent="0.2">
      <c r="A3" s="1" t="s">
        <v>23</v>
      </c>
      <c r="C3" s="8" t="s">
        <v>0</v>
      </c>
      <c r="D3" s="9" t="s">
        <v>25</v>
      </c>
      <c r="E3" s="9" t="s">
        <v>26</v>
      </c>
      <c r="F3" s="9" t="s">
        <v>27</v>
      </c>
      <c r="H3" s="10" t="str">
        <f xml:space="preserve"> C3 &amp; "  &amp;  " &amp; D3 &amp;"  &amp;  "&amp;E3&amp;"  &amp;  "&amp;F3 &amp; "\\" &amp; IF(A3="x","\hline","")</f>
        <v>Grupo de edad  &amp;  \begin{tabular}[c]{@{}r@{}}Población estándar\\ mundial\end{tabular}  &amp;  \begin{tabular}[c]{@{}r@{}}Población estándar\\ europea 1976\end{tabular}  &amp;  \begin{tabular}[c]{@{}r@{}}Población estándar\\ europea 2013\end{tabular}\\\hline</v>
      </c>
    </row>
    <row r="4" spans="1:8" ht="40" x14ac:dyDescent="0.2">
      <c r="A4" s="1" t="s">
        <v>23</v>
      </c>
      <c r="C4" s="8" t="s">
        <v>0</v>
      </c>
      <c r="D4" s="8" t="s">
        <v>1</v>
      </c>
      <c r="E4" s="8" t="s">
        <v>2</v>
      </c>
      <c r="F4" s="8" t="s">
        <v>3</v>
      </c>
      <c r="G4" s="2"/>
      <c r="H4" s="10" t="str">
        <f xml:space="preserve"> "\multicolumn{1}{|c|}{" &amp; C4 &amp; "}  &amp;  " &amp; D4 &amp;"  &amp;  "&amp;E4&amp;"  &amp;  "&amp;F4 &amp; "\\" &amp; IF(A4="x","\hline","")</f>
        <v>\multicolumn{1}{|c|}{Grupo de edad}  &amp;  Población estándar mundial  &amp;  Población estándar europea 1976  &amp;  Población estándar europea 2013\\\hline</v>
      </c>
    </row>
    <row r="5" spans="1:8" x14ac:dyDescent="0.2">
      <c r="C5" s="7" t="s">
        <v>28</v>
      </c>
      <c r="D5" s="11" t="str">
        <f>IF(LEN(D26)&gt;3,MID(D26,1,LEN(D26)-3) &amp; "." &amp; MID(D26,LEN(D26)-2,3),D26)</f>
        <v>12.000</v>
      </c>
      <c r="E5" s="11" t="str">
        <f t="shared" ref="E5:F5" si="0">IF(LEN(E26)&gt;3,MID(E26,1,LEN(E26)-3) &amp; "." &amp; MID(E26,LEN(E26)-2,3),E26)</f>
        <v>8.000</v>
      </c>
      <c r="F5" s="11" t="str">
        <f t="shared" si="0"/>
        <v>5.000</v>
      </c>
      <c r="G5" s="4"/>
      <c r="H5" s="9" t="str">
        <f t="shared" ref="H5:H22" si="1" xml:space="preserve"> C5 &amp; "  &amp;  " &amp; D5 &amp;"  &amp;  "&amp;E5&amp;"  &amp;  "&amp;F5 &amp; "\\" &amp; IF(A5="x","\hline","")</f>
        <v>0-4 años  &amp;  12.000  &amp;  8.000  &amp;  5.000\\</v>
      </c>
    </row>
    <row r="6" spans="1:8" x14ac:dyDescent="0.2">
      <c r="C6" s="7" t="s">
        <v>29</v>
      </c>
      <c r="D6" s="11" t="str">
        <f t="shared" ref="D6:F22" si="2">IF(LEN(D27)&gt;3,MID(D27,1,LEN(D27)-3) &amp; "." &amp; MID(D27,LEN(D27)-2,3),D27)</f>
        <v>10.000</v>
      </c>
      <c r="E6" s="11" t="str">
        <f t="shared" si="2"/>
        <v>7.000</v>
      </c>
      <c r="F6" s="11" t="str">
        <f t="shared" si="2"/>
        <v>5.500</v>
      </c>
      <c r="G6" s="4"/>
      <c r="H6" s="9" t="str">
        <f t="shared" si="1"/>
        <v>5-9 años  &amp;  10.000  &amp;  7.000  &amp;  5.500\\</v>
      </c>
    </row>
    <row r="7" spans="1:8" x14ac:dyDescent="0.2">
      <c r="C7" s="7" t="s">
        <v>30</v>
      </c>
      <c r="D7" s="11" t="str">
        <f t="shared" si="2"/>
        <v>9.000</v>
      </c>
      <c r="E7" s="11" t="str">
        <f t="shared" si="2"/>
        <v>7.000</v>
      </c>
      <c r="F7" s="11" t="str">
        <f t="shared" si="2"/>
        <v>5.500</v>
      </c>
      <c r="G7" s="4"/>
      <c r="H7" s="9" t="str">
        <f t="shared" si="1"/>
        <v>10-14 años  &amp;  9.000  &amp;  7.000  &amp;  5.500\\</v>
      </c>
    </row>
    <row r="8" spans="1:8" x14ac:dyDescent="0.2">
      <c r="C8" s="6" t="s">
        <v>31</v>
      </c>
      <c r="D8" s="11" t="str">
        <f t="shared" si="2"/>
        <v>9.000</v>
      </c>
      <c r="E8" s="11" t="str">
        <f t="shared" si="2"/>
        <v>7.000</v>
      </c>
      <c r="F8" s="11" t="str">
        <f t="shared" si="2"/>
        <v>5.500</v>
      </c>
      <c r="G8" s="3"/>
      <c r="H8" s="9" t="str">
        <f t="shared" si="1"/>
        <v>15-19 años  &amp;  9.000  &amp;  7.000  &amp;  5.500\\</v>
      </c>
    </row>
    <row r="9" spans="1:8" x14ac:dyDescent="0.2">
      <c r="C9" s="6" t="s">
        <v>32</v>
      </c>
      <c r="D9" s="11" t="str">
        <f t="shared" si="2"/>
        <v>8.000</v>
      </c>
      <c r="E9" s="11" t="str">
        <f t="shared" si="2"/>
        <v>7.000</v>
      </c>
      <c r="F9" s="11" t="str">
        <f t="shared" si="2"/>
        <v>6.000</v>
      </c>
      <c r="G9" s="3"/>
      <c r="H9" s="9" t="str">
        <f t="shared" si="1"/>
        <v>20-24 años  &amp;  8.000  &amp;  7.000  &amp;  6.000\\</v>
      </c>
    </row>
    <row r="10" spans="1:8" x14ac:dyDescent="0.2">
      <c r="C10" s="6" t="s">
        <v>33</v>
      </c>
      <c r="D10" s="11" t="str">
        <f t="shared" si="2"/>
        <v>8.000</v>
      </c>
      <c r="E10" s="11" t="str">
        <f t="shared" si="2"/>
        <v>7.000</v>
      </c>
      <c r="F10" s="11" t="str">
        <f t="shared" si="2"/>
        <v>6.000</v>
      </c>
      <c r="G10" s="3"/>
      <c r="H10" s="9" t="str">
        <f t="shared" si="1"/>
        <v>25-29 años  &amp;  8.000  &amp;  7.000  &amp;  6.000\\</v>
      </c>
    </row>
    <row r="11" spans="1:8" x14ac:dyDescent="0.2">
      <c r="C11" s="6" t="s">
        <v>34</v>
      </c>
      <c r="D11" s="11" t="str">
        <f t="shared" si="2"/>
        <v>6.000</v>
      </c>
      <c r="E11" s="11" t="str">
        <f t="shared" si="2"/>
        <v>7.000</v>
      </c>
      <c r="F11" s="11" t="str">
        <f t="shared" si="2"/>
        <v>6.500</v>
      </c>
      <c r="G11" s="3"/>
      <c r="H11" s="9" t="str">
        <f t="shared" si="1"/>
        <v>30-34 años  &amp;  6.000  &amp;  7.000  &amp;  6.500\\</v>
      </c>
    </row>
    <row r="12" spans="1:8" x14ac:dyDescent="0.2">
      <c r="C12" s="6" t="s">
        <v>35</v>
      </c>
      <c r="D12" s="11" t="str">
        <f t="shared" si="2"/>
        <v>6.000</v>
      </c>
      <c r="E12" s="11" t="str">
        <f t="shared" si="2"/>
        <v>7.000</v>
      </c>
      <c r="F12" s="11" t="str">
        <f t="shared" si="2"/>
        <v>7.000</v>
      </c>
      <c r="G12" s="3"/>
      <c r="H12" s="9" t="str">
        <f t="shared" si="1"/>
        <v>35-39 años  &amp;  6.000  &amp;  7.000  &amp;  7.000\\</v>
      </c>
    </row>
    <row r="13" spans="1:8" x14ac:dyDescent="0.2">
      <c r="C13" s="6" t="s">
        <v>36</v>
      </c>
      <c r="D13" s="11" t="str">
        <f t="shared" si="2"/>
        <v>6.000</v>
      </c>
      <c r="E13" s="11" t="str">
        <f t="shared" si="2"/>
        <v>7.000</v>
      </c>
      <c r="F13" s="11" t="str">
        <f t="shared" si="2"/>
        <v>7.000</v>
      </c>
      <c r="G13" s="3"/>
      <c r="H13" s="9" t="str">
        <f t="shared" si="1"/>
        <v>40-44 años  &amp;  6.000  &amp;  7.000  &amp;  7.000\\</v>
      </c>
    </row>
    <row r="14" spans="1:8" x14ac:dyDescent="0.2">
      <c r="C14" s="6" t="s">
        <v>37</v>
      </c>
      <c r="D14" s="11" t="str">
        <f t="shared" si="2"/>
        <v>6.000</v>
      </c>
      <c r="E14" s="11" t="str">
        <f t="shared" si="2"/>
        <v>7.000</v>
      </c>
      <c r="F14" s="11" t="str">
        <f t="shared" si="2"/>
        <v>7.000</v>
      </c>
      <c r="G14" s="3"/>
      <c r="H14" s="9" t="str">
        <f t="shared" si="1"/>
        <v>45-49 años  &amp;  6.000  &amp;  7.000  &amp;  7.000\\</v>
      </c>
    </row>
    <row r="15" spans="1:8" x14ac:dyDescent="0.2">
      <c r="C15" s="6" t="s">
        <v>38</v>
      </c>
      <c r="D15" s="11" t="str">
        <f t="shared" si="2"/>
        <v>5.000</v>
      </c>
      <c r="E15" s="11" t="str">
        <f t="shared" si="2"/>
        <v>7.000</v>
      </c>
      <c r="F15" s="11" t="str">
        <f t="shared" si="2"/>
        <v>7.000</v>
      </c>
      <c r="G15" s="3"/>
      <c r="H15" s="9" t="str">
        <f t="shared" si="1"/>
        <v>50-54 años  &amp;  5.000  &amp;  7.000  &amp;  7.000\\</v>
      </c>
    </row>
    <row r="16" spans="1:8" x14ac:dyDescent="0.2">
      <c r="C16" s="6" t="s">
        <v>39</v>
      </c>
      <c r="D16" s="11" t="str">
        <f t="shared" si="2"/>
        <v>4.000</v>
      </c>
      <c r="E16" s="11" t="str">
        <f t="shared" si="2"/>
        <v>6.000</v>
      </c>
      <c r="F16" s="11" t="str">
        <f t="shared" si="2"/>
        <v>6.500</v>
      </c>
      <c r="G16" s="3"/>
      <c r="H16" s="9" t="str">
        <f t="shared" si="1"/>
        <v>55-59 años  &amp;  4.000  &amp;  6.000  &amp;  6.500\\</v>
      </c>
    </row>
    <row r="17" spans="1:8" x14ac:dyDescent="0.2">
      <c r="C17" s="6" t="s">
        <v>40</v>
      </c>
      <c r="D17" s="11" t="str">
        <f t="shared" si="2"/>
        <v>4.000</v>
      </c>
      <c r="E17" s="11" t="str">
        <f t="shared" si="2"/>
        <v>5.000</v>
      </c>
      <c r="F17" s="11" t="str">
        <f t="shared" si="2"/>
        <v>6.000</v>
      </c>
      <c r="G17" s="3"/>
      <c r="H17" s="9" t="str">
        <f t="shared" si="1"/>
        <v>60-64 años  &amp;  4.000  &amp;  5.000  &amp;  6.000\\</v>
      </c>
    </row>
    <row r="18" spans="1:8" x14ac:dyDescent="0.2">
      <c r="C18" s="6" t="s">
        <v>41</v>
      </c>
      <c r="D18" s="11" t="str">
        <f t="shared" si="2"/>
        <v>3.000</v>
      </c>
      <c r="E18" s="11" t="str">
        <f t="shared" si="2"/>
        <v>4.000</v>
      </c>
      <c r="F18" s="11" t="str">
        <f t="shared" si="2"/>
        <v>5.500</v>
      </c>
      <c r="G18" s="3"/>
      <c r="H18" s="9" t="str">
        <f t="shared" si="1"/>
        <v>65-69 años  &amp;  3.000  &amp;  4.000  &amp;  5.500\\</v>
      </c>
    </row>
    <row r="19" spans="1:8" x14ac:dyDescent="0.2">
      <c r="C19" s="6" t="s">
        <v>42</v>
      </c>
      <c r="D19" s="11" t="str">
        <f t="shared" si="2"/>
        <v>2.000</v>
      </c>
      <c r="E19" s="11" t="str">
        <f t="shared" si="2"/>
        <v>3.000</v>
      </c>
      <c r="F19" s="11" t="str">
        <f t="shared" si="2"/>
        <v>5.000</v>
      </c>
      <c r="G19" s="3"/>
      <c r="H19" s="9" t="str">
        <f t="shared" si="1"/>
        <v>70-74 años  &amp;  2.000  &amp;  3.000  &amp;  5.000\\</v>
      </c>
    </row>
    <row r="20" spans="1:8" x14ac:dyDescent="0.2">
      <c r="C20" s="6" t="s">
        <v>43</v>
      </c>
      <c r="D20" s="11" t="str">
        <f t="shared" si="2"/>
        <v>1.000</v>
      </c>
      <c r="E20" s="11" t="str">
        <f t="shared" si="2"/>
        <v>2.000</v>
      </c>
      <c r="F20" s="11" t="str">
        <f t="shared" si="2"/>
        <v>4.000</v>
      </c>
      <c r="G20" s="3"/>
      <c r="H20" s="9" t="str">
        <f t="shared" si="1"/>
        <v>75-79 años  &amp;  1.000  &amp;  2.000  &amp;  4.000\\</v>
      </c>
    </row>
    <row r="21" spans="1:8" x14ac:dyDescent="0.2">
      <c r="C21" s="6" t="s">
        <v>44</v>
      </c>
      <c r="D21" s="11">
        <f t="shared" si="2"/>
        <v>500</v>
      </c>
      <c r="E21" s="11" t="str">
        <f t="shared" si="2"/>
        <v>1.000</v>
      </c>
      <c r="F21" s="11" t="str">
        <f t="shared" si="2"/>
        <v>2.500</v>
      </c>
      <c r="G21" s="3"/>
      <c r="H21" s="9" t="str">
        <f t="shared" si="1"/>
        <v>80-84 años  &amp;  500  &amp;  1.000  &amp;  2.500\\</v>
      </c>
    </row>
    <row r="22" spans="1:8" x14ac:dyDescent="0.2">
      <c r="A22" s="1" t="s">
        <v>23</v>
      </c>
      <c r="C22" s="6" t="s">
        <v>45</v>
      </c>
      <c r="D22" s="11">
        <f t="shared" si="2"/>
        <v>500</v>
      </c>
      <c r="E22" s="11" t="str">
        <f t="shared" si="2"/>
        <v>1.000</v>
      </c>
      <c r="F22" s="11" t="str">
        <f t="shared" si="2"/>
        <v>2.500</v>
      </c>
      <c r="G22" s="3"/>
      <c r="H22" s="9" t="str">
        <f t="shared" si="1"/>
        <v>$\geq$85 años  &amp;  500  &amp;  1.000  &amp;  2.500\\\hline</v>
      </c>
    </row>
    <row r="25" spans="1:8" ht="26" x14ac:dyDescent="0.2">
      <c r="C25" s="8" t="s">
        <v>0</v>
      </c>
      <c r="D25" s="8" t="s">
        <v>1</v>
      </c>
      <c r="E25" s="8" t="s">
        <v>2</v>
      </c>
      <c r="F25" s="8" t="s">
        <v>3</v>
      </c>
    </row>
    <row r="26" spans="1:8" x14ac:dyDescent="0.2">
      <c r="C26" s="7" t="s">
        <v>20</v>
      </c>
      <c r="D26" s="7">
        <v>12000</v>
      </c>
      <c r="E26" s="7">
        <v>8000</v>
      </c>
      <c r="F26" s="7">
        <v>5000</v>
      </c>
    </row>
    <row r="27" spans="1:8" x14ac:dyDescent="0.2">
      <c r="C27" s="7" t="s">
        <v>4</v>
      </c>
      <c r="D27" s="7">
        <v>10000</v>
      </c>
      <c r="E27" s="7">
        <v>7000</v>
      </c>
      <c r="F27" s="7">
        <v>5500</v>
      </c>
    </row>
    <row r="28" spans="1:8" x14ac:dyDescent="0.2">
      <c r="C28" s="7" t="s">
        <v>5</v>
      </c>
      <c r="D28" s="7">
        <v>9000</v>
      </c>
      <c r="E28" s="7">
        <v>7000</v>
      </c>
      <c r="F28" s="7">
        <v>5500</v>
      </c>
    </row>
    <row r="29" spans="1:8" x14ac:dyDescent="0.2">
      <c r="C29" s="6" t="s">
        <v>6</v>
      </c>
      <c r="D29" s="7">
        <v>9000</v>
      </c>
      <c r="E29" s="7">
        <v>7000</v>
      </c>
      <c r="F29" s="7">
        <v>5500</v>
      </c>
    </row>
    <row r="30" spans="1:8" x14ac:dyDescent="0.2">
      <c r="C30" s="6" t="s">
        <v>7</v>
      </c>
      <c r="D30" s="7">
        <v>8000</v>
      </c>
      <c r="E30" s="7">
        <v>7000</v>
      </c>
      <c r="F30" s="7">
        <v>6000</v>
      </c>
    </row>
    <row r="31" spans="1:8" x14ac:dyDescent="0.2">
      <c r="C31" s="6" t="s">
        <v>8</v>
      </c>
      <c r="D31" s="7">
        <v>8000</v>
      </c>
      <c r="E31" s="7">
        <v>7000</v>
      </c>
      <c r="F31" s="7">
        <v>6000</v>
      </c>
    </row>
    <row r="32" spans="1:8" x14ac:dyDescent="0.2">
      <c r="C32" s="6" t="s">
        <v>9</v>
      </c>
      <c r="D32" s="7">
        <v>6000</v>
      </c>
      <c r="E32" s="7">
        <v>7000</v>
      </c>
      <c r="F32" s="7">
        <v>6500</v>
      </c>
    </row>
    <row r="33" spans="3:6" x14ac:dyDescent="0.2">
      <c r="C33" s="6" t="s">
        <v>10</v>
      </c>
      <c r="D33" s="7">
        <v>6000</v>
      </c>
      <c r="E33" s="7">
        <v>7000</v>
      </c>
      <c r="F33" s="7">
        <v>7000</v>
      </c>
    </row>
    <row r="34" spans="3:6" x14ac:dyDescent="0.2">
      <c r="C34" s="6" t="s">
        <v>11</v>
      </c>
      <c r="D34" s="7">
        <v>6000</v>
      </c>
      <c r="E34" s="7">
        <v>7000</v>
      </c>
      <c r="F34" s="7">
        <v>7000</v>
      </c>
    </row>
    <row r="35" spans="3:6" x14ac:dyDescent="0.2">
      <c r="C35" s="6" t="s">
        <v>12</v>
      </c>
      <c r="D35" s="7">
        <v>6000</v>
      </c>
      <c r="E35" s="7">
        <v>7000</v>
      </c>
      <c r="F35" s="7">
        <v>7000</v>
      </c>
    </row>
    <row r="36" spans="3:6" x14ac:dyDescent="0.2">
      <c r="C36" s="6" t="s">
        <v>13</v>
      </c>
      <c r="D36" s="7">
        <v>5000</v>
      </c>
      <c r="E36" s="7">
        <v>7000</v>
      </c>
      <c r="F36" s="7">
        <v>7000</v>
      </c>
    </row>
    <row r="37" spans="3:6" x14ac:dyDescent="0.2">
      <c r="C37" s="6" t="s">
        <v>14</v>
      </c>
      <c r="D37" s="7">
        <v>4000</v>
      </c>
      <c r="E37" s="7">
        <v>6000</v>
      </c>
      <c r="F37" s="7">
        <v>6500</v>
      </c>
    </row>
    <row r="38" spans="3:6" x14ac:dyDescent="0.2">
      <c r="C38" s="6" t="s">
        <v>15</v>
      </c>
      <c r="D38" s="7">
        <v>4000</v>
      </c>
      <c r="E38" s="7">
        <v>5000</v>
      </c>
      <c r="F38" s="7">
        <v>6000</v>
      </c>
    </row>
    <row r="39" spans="3:6" x14ac:dyDescent="0.2">
      <c r="C39" s="6" t="s">
        <v>16</v>
      </c>
      <c r="D39" s="7">
        <v>3000</v>
      </c>
      <c r="E39" s="7">
        <v>4000</v>
      </c>
      <c r="F39" s="7">
        <v>5500</v>
      </c>
    </row>
    <row r="40" spans="3:6" x14ac:dyDescent="0.2">
      <c r="C40" s="6" t="s">
        <v>17</v>
      </c>
      <c r="D40" s="7">
        <v>2000</v>
      </c>
      <c r="E40" s="7">
        <v>3000</v>
      </c>
      <c r="F40" s="7">
        <v>5000</v>
      </c>
    </row>
    <row r="41" spans="3:6" x14ac:dyDescent="0.2">
      <c r="C41" s="6" t="s">
        <v>18</v>
      </c>
      <c r="D41" s="7">
        <v>1000</v>
      </c>
      <c r="E41" s="7">
        <v>2000</v>
      </c>
      <c r="F41" s="7">
        <v>4000</v>
      </c>
    </row>
    <row r="42" spans="3:6" x14ac:dyDescent="0.2">
      <c r="C42" s="6" t="s">
        <v>19</v>
      </c>
      <c r="D42" s="7">
        <v>500</v>
      </c>
      <c r="E42" s="7">
        <v>1000</v>
      </c>
      <c r="F42" s="7">
        <v>2500</v>
      </c>
    </row>
    <row r="43" spans="3:6" x14ac:dyDescent="0.2">
      <c r="C43" s="6" t="s">
        <v>21</v>
      </c>
      <c r="D43" s="7">
        <v>500</v>
      </c>
      <c r="E43" s="7">
        <v>1000</v>
      </c>
      <c r="F43" s="7">
        <v>2500</v>
      </c>
    </row>
  </sheetData>
  <pageMargins left="0.7" right="0.7" top="0.75" bottom="0.75" header="0.3" footer="0.3"/>
  <pageSetup paperSize="9" orientation="portrait" r:id="rId1"/>
  <ignoredErrors>
    <ignoredError sqref="C28" twoDigitTextYear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BCBA3-1777-4443-88F8-AEA97B8D4F5E}">
  <dimension ref="B2:H34"/>
  <sheetViews>
    <sheetView workbookViewId="0">
      <selection activeCell="B24" sqref="B24"/>
    </sheetView>
  </sheetViews>
  <sheetFormatPr baseColWidth="10" defaultRowHeight="16" x14ac:dyDescent="0.2"/>
  <cols>
    <col min="2" max="2" width="30.1640625" bestFit="1" customWidth="1"/>
    <col min="3" max="4" width="10.83203125" style="36"/>
    <col min="6" max="6" width="30.1640625" bestFit="1" customWidth="1"/>
    <col min="7" max="7" width="15.5" bestFit="1" customWidth="1"/>
    <col min="8" max="8" width="9.83203125" bestFit="1" customWidth="1"/>
  </cols>
  <sheetData>
    <row r="2" spans="2:8" x14ac:dyDescent="0.2">
      <c r="C2" s="36" t="s">
        <v>47</v>
      </c>
      <c r="D2" s="36" t="s">
        <v>209</v>
      </c>
      <c r="G2" s="52" t="s">
        <v>244</v>
      </c>
      <c r="H2" s="52" t="s">
        <v>209</v>
      </c>
    </row>
    <row r="3" spans="2:8" x14ac:dyDescent="0.2">
      <c r="B3" s="34" t="s">
        <v>233</v>
      </c>
      <c r="C3" s="36">
        <v>404</v>
      </c>
      <c r="F3" s="34" t="s">
        <v>233</v>
      </c>
      <c r="G3" s="35">
        <v>404</v>
      </c>
      <c r="H3" s="51">
        <v>1</v>
      </c>
    </row>
    <row r="4" spans="2:8" x14ac:dyDescent="0.2">
      <c r="B4" s="38" t="s">
        <v>46</v>
      </c>
      <c r="D4" s="37"/>
      <c r="F4" s="38" t="s">
        <v>46</v>
      </c>
      <c r="G4" s="35"/>
    </row>
    <row r="5" spans="2:8" x14ac:dyDescent="0.2">
      <c r="B5" s="35" t="s">
        <v>216</v>
      </c>
      <c r="C5" s="36">
        <v>264</v>
      </c>
      <c r="D5" s="37">
        <f>C5/$C$3</f>
        <v>0.65346534653465349</v>
      </c>
      <c r="F5" s="35" t="s">
        <v>216</v>
      </c>
      <c r="G5" s="35">
        <f>C5</f>
        <v>264</v>
      </c>
      <c r="H5" s="35" t="str">
        <f>ROUND(100*D5,1) &amp; "%"</f>
        <v>65,3%</v>
      </c>
    </row>
    <row r="6" spans="2:8" x14ac:dyDescent="0.2">
      <c r="B6" s="35" t="s">
        <v>217</v>
      </c>
      <c r="C6" s="36">
        <v>140</v>
      </c>
      <c r="D6" s="37">
        <f>C6/$C$3</f>
        <v>0.34653465346534651</v>
      </c>
      <c r="F6" s="35" t="s">
        <v>217</v>
      </c>
      <c r="G6" s="35">
        <f>C6</f>
        <v>140</v>
      </c>
      <c r="H6" s="35" t="str">
        <f t="shared" ref="H6" si="0">ROUND(100*D6,1) &amp; "%"</f>
        <v>34,7%</v>
      </c>
    </row>
    <row r="7" spans="2:8" x14ac:dyDescent="0.2">
      <c r="B7" s="38" t="s">
        <v>0</v>
      </c>
      <c r="D7" s="37"/>
      <c r="F7" s="38" t="s">
        <v>0</v>
      </c>
      <c r="G7" s="35"/>
      <c r="H7" s="35"/>
    </row>
    <row r="8" spans="2:8" x14ac:dyDescent="0.2">
      <c r="B8" s="35" t="s">
        <v>210</v>
      </c>
      <c r="C8" s="36">
        <v>34</v>
      </c>
      <c r="D8" s="37">
        <f t="shared" ref="D8:D14" si="1">C8/$C$3</f>
        <v>8.4158415841584164E-2</v>
      </c>
      <c r="F8" s="35" t="s">
        <v>210</v>
      </c>
      <c r="G8" s="35">
        <f t="shared" ref="G8:G34" si="2">C8</f>
        <v>34</v>
      </c>
      <c r="H8" s="35" t="str">
        <f t="shared" ref="H8:H34" si="3">ROUND(100*D8,1) &amp; "%"</f>
        <v>8,4%</v>
      </c>
    </row>
    <row r="9" spans="2:8" x14ac:dyDescent="0.2">
      <c r="B9" s="35" t="s">
        <v>211</v>
      </c>
      <c r="C9" s="36">
        <v>40</v>
      </c>
      <c r="D9" s="37">
        <f t="shared" si="1"/>
        <v>9.9009900990099015E-2</v>
      </c>
      <c r="F9" s="35" t="s">
        <v>211</v>
      </c>
      <c r="G9" s="35">
        <f t="shared" si="2"/>
        <v>40</v>
      </c>
      <c r="H9" s="35" t="str">
        <f t="shared" si="3"/>
        <v>9,9%</v>
      </c>
    </row>
    <row r="10" spans="2:8" x14ac:dyDescent="0.2">
      <c r="B10" s="35" t="s">
        <v>212</v>
      </c>
      <c r="C10" s="36">
        <v>106</v>
      </c>
      <c r="D10" s="37">
        <f t="shared" si="1"/>
        <v>0.26237623762376239</v>
      </c>
      <c r="F10" s="35" t="s">
        <v>212</v>
      </c>
      <c r="G10" s="35">
        <f t="shared" si="2"/>
        <v>106</v>
      </c>
      <c r="H10" s="35" t="str">
        <f t="shared" si="3"/>
        <v>26,2%</v>
      </c>
    </row>
    <row r="11" spans="2:8" x14ac:dyDescent="0.2">
      <c r="B11" s="35" t="s">
        <v>213</v>
      </c>
      <c r="C11" s="36">
        <v>127</v>
      </c>
      <c r="D11" s="37">
        <f t="shared" si="1"/>
        <v>0.31435643564356436</v>
      </c>
      <c r="F11" s="35" t="s">
        <v>213</v>
      </c>
      <c r="G11" s="35">
        <f t="shared" si="2"/>
        <v>127</v>
      </c>
      <c r="H11" s="35" t="str">
        <f t="shared" si="3"/>
        <v>31,4%</v>
      </c>
    </row>
    <row r="12" spans="2:8" x14ac:dyDescent="0.2">
      <c r="B12" s="35" t="s">
        <v>214</v>
      </c>
      <c r="C12" s="36">
        <v>77</v>
      </c>
      <c r="D12" s="37">
        <f t="shared" si="1"/>
        <v>0.1905940594059406</v>
      </c>
      <c r="F12" s="35" t="s">
        <v>214</v>
      </c>
      <c r="G12" s="35">
        <f t="shared" si="2"/>
        <v>77</v>
      </c>
      <c r="H12" s="35" t="str">
        <f t="shared" si="3"/>
        <v>19,1%</v>
      </c>
    </row>
    <row r="13" spans="2:8" x14ac:dyDescent="0.2">
      <c r="B13" s="35" t="s">
        <v>215</v>
      </c>
      <c r="C13" s="36">
        <v>16</v>
      </c>
      <c r="D13" s="37">
        <f t="shared" si="1"/>
        <v>3.9603960396039604E-2</v>
      </c>
      <c r="F13" s="35" t="s">
        <v>215</v>
      </c>
      <c r="G13" s="35">
        <f t="shared" si="2"/>
        <v>16</v>
      </c>
      <c r="H13" s="35" t="str">
        <f t="shared" si="3"/>
        <v>4%</v>
      </c>
    </row>
    <row r="14" spans="2:8" x14ac:dyDescent="0.2">
      <c r="B14" s="35" t="s">
        <v>208</v>
      </c>
      <c r="C14" s="36">
        <v>4</v>
      </c>
      <c r="D14" s="37">
        <f t="shared" si="1"/>
        <v>9.9009900990099011E-3</v>
      </c>
      <c r="F14" s="35" t="s">
        <v>208</v>
      </c>
      <c r="G14" s="35">
        <f t="shared" si="2"/>
        <v>4</v>
      </c>
      <c r="H14" s="35" t="str">
        <f t="shared" si="3"/>
        <v>1%</v>
      </c>
    </row>
    <row r="15" spans="2:8" x14ac:dyDescent="0.2">
      <c r="B15" s="38" t="s">
        <v>221</v>
      </c>
      <c r="D15" s="37"/>
      <c r="F15" s="38" t="s">
        <v>221</v>
      </c>
      <c r="G15" s="35"/>
      <c r="H15" s="35"/>
    </row>
    <row r="16" spans="2:8" x14ac:dyDescent="0.2">
      <c r="B16" s="109" t="s">
        <v>411</v>
      </c>
      <c r="C16" s="36">
        <v>212</v>
      </c>
      <c r="D16" s="37">
        <f>C16/$C$3</f>
        <v>0.52475247524752477</v>
      </c>
      <c r="F16" s="35" t="s">
        <v>411</v>
      </c>
      <c r="G16" s="35">
        <f t="shared" si="2"/>
        <v>212</v>
      </c>
      <c r="H16" s="35" t="str">
        <f t="shared" si="3"/>
        <v>52,5%</v>
      </c>
    </row>
    <row r="17" spans="2:8" x14ac:dyDescent="0.2">
      <c r="B17" s="35" t="s">
        <v>223</v>
      </c>
      <c r="C17" s="36">
        <v>161</v>
      </c>
      <c r="D17" s="37">
        <f>C17/$C$3</f>
        <v>0.39851485148514854</v>
      </c>
      <c r="F17" s="35" t="s">
        <v>223</v>
      </c>
      <c r="G17" s="35">
        <f t="shared" si="2"/>
        <v>161</v>
      </c>
      <c r="H17" s="35" t="str">
        <f t="shared" si="3"/>
        <v>39,9%</v>
      </c>
    </row>
    <row r="18" spans="2:8" x14ac:dyDescent="0.2">
      <c r="B18" s="109" t="s">
        <v>412</v>
      </c>
      <c r="C18" s="36">
        <v>19</v>
      </c>
      <c r="D18" s="37">
        <f t="shared" ref="D18:D24" si="4">C18/$C$3</f>
        <v>4.702970297029703E-2</v>
      </c>
      <c r="F18" s="35" t="s">
        <v>412</v>
      </c>
      <c r="G18" s="35">
        <f t="shared" si="2"/>
        <v>19</v>
      </c>
      <c r="H18" s="35" t="str">
        <f t="shared" si="3"/>
        <v>4,7%</v>
      </c>
    </row>
    <row r="19" spans="2:8" x14ac:dyDescent="0.2">
      <c r="B19" s="35" t="s">
        <v>208</v>
      </c>
      <c r="C19" s="36">
        <v>10</v>
      </c>
      <c r="D19" s="37">
        <f t="shared" si="4"/>
        <v>2.4752475247524754E-2</v>
      </c>
      <c r="F19" s="35" t="s">
        <v>208</v>
      </c>
      <c r="G19" s="35">
        <f t="shared" si="2"/>
        <v>10</v>
      </c>
      <c r="H19" s="35" t="str">
        <f t="shared" si="3"/>
        <v>2,5%</v>
      </c>
    </row>
    <row r="20" spans="2:8" x14ac:dyDescent="0.2">
      <c r="B20" s="35" t="s">
        <v>222</v>
      </c>
      <c r="C20" s="36">
        <v>2</v>
      </c>
      <c r="D20" s="37">
        <f t="shared" si="4"/>
        <v>4.9504950495049506E-3</v>
      </c>
      <c r="F20" s="35" t="s">
        <v>222</v>
      </c>
      <c r="G20" s="35">
        <f t="shared" si="2"/>
        <v>2</v>
      </c>
      <c r="H20" s="35" t="str">
        <f t="shared" si="3"/>
        <v>0,5%</v>
      </c>
    </row>
    <row r="21" spans="2:8" x14ac:dyDescent="0.2">
      <c r="B21" s="38" t="s">
        <v>240</v>
      </c>
      <c r="D21" s="37"/>
      <c r="F21" s="38" t="s">
        <v>240</v>
      </c>
      <c r="G21" s="35"/>
      <c r="H21" s="35"/>
    </row>
    <row r="22" spans="2:8" x14ac:dyDescent="0.2">
      <c r="B22" s="35" t="s">
        <v>241</v>
      </c>
      <c r="C22" s="36">
        <v>362</v>
      </c>
      <c r="D22" s="37">
        <f t="shared" si="4"/>
        <v>0.89603960396039606</v>
      </c>
      <c r="F22" s="35" t="s">
        <v>241</v>
      </c>
      <c r="G22" s="35">
        <f t="shared" si="2"/>
        <v>362</v>
      </c>
      <c r="H22" s="35" t="str">
        <f t="shared" si="3"/>
        <v>89,6%</v>
      </c>
    </row>
    <row r="23" spans="2:8" x14ac:dyDescent="0.2">
      <c r="B23" s="35" t="s">
        <v>242</v>
      </c>
      <c r="C23" s="36">
        <v>33</v>
      </c>
      <c r="D23" s="37">
        <f t="shared" si="4"/>
        <v>8.1683168316831686E-2</v>
      </c>
      <c r="F23" s="35" t="s">
        <v>242</v>
      </c>
      <c r="G23" s="35">
        <f t="shared" si="2"/>
        <v>33</v>
      </c>
      <c r="H23" s="35" t="str">
        <f t="shared" si="3"/>
        <v>8,2%</v>
      </c>
    </row>
    <row r="24" spans="2:8" x14ac:dyDescent="0.2">
      <c r="B24" s="35" t="s">
        <v>243</v>
      </c>
      <c r="C24" s="36">
        <v>8</v>
      </c>
      <c r="D24" s="37">
        <f t="shared" si="4"/>
        <v>1.9801980198019802E-2</v>
      </c>
      <c r="F24" s="35" t="s">
        <v>243</v>
      </c>
      <c r="G24" s="35">
        <f t="shared" si="2"/>
        <v>8</v>
      </c>
      <c r="H24" s="35" t="str">
        <f t="shared" si="3"/>
        <v>2%</v>
      </c>
    </row>
    <row r="25" spans="2:8" x14ac:dyDescent="0.2">
      <c r="B25" s="34" t="s">
        <v>203</v>
      </c>
      <c r="F25" s="34" t="s">
        <v>203</v>
      </c>
      <c r="G25" s="35"/>
      <c r="H25" s="35"/>
    </row>
    <row r="26" spans="2:8" x14ac:dyDescent="0.2">
      <c r="B26" s="35" t="s">
        <v>204</v>
      </c>
      <c r="C26" s="36">
        <v>189</v>
      </c>
      <c r="D26" s="37">
        <f>C26/$C$3</f>
        <v>0.46782178217821785</v>
      </c>
      <c r="F26" s="35" t="s">
        <v>204</v>
      </c>
      <c r="G26" s="35">
        <f t="shared" si="2"/>
        <v>189</v>
      </c>
      <c r="H26" s="35" t="str">
        <f t="shared" si="3"/>
        <v>46,8%</v>
      </c>
    </row>
    <row r="27" spans="2:8" x14ac:dyDescent="0.2">
      <c r="B27" s="35" t="s">
        <v>206</v>
      </c>
      <c r="C27" s="36">
        <v>95</v>
      </c>
      <c r="D27" s="37">
        <f>C27/$C$3</f>
        <v>0.23514851485148514</v>
      </c>
      <c r="F27" s="35" t="s">
        <v>206</v>
      </c>
      <c r="G27" s="35">
        <f t="shared" si="2"/>
        <v>95</v>
      </c>
      <c r="H27" s="35" t="str">
        <f t="shared" si="3"/>
        <v>23,5%</v>
      </c>
    </row>
    <row r="28" spans="2:8" x14ac:dyDescent="0.2">
      <c r="B28" s="35" t="s">
        <v>207</v>
      </c>
      <c r="C28" s="36">
        <v>82</v>
      </c>
      <c r="D28" s="37">
        <f>C28/$C$3</f>
        <v>0.20297029702970298</v>
      </c>
      <c r="F28" s="35" t="s">
        <v>207</v>
      </c>
      <c r="G28" s="35">
        <f t="shared" si="2"/>
        <v>82</v>
      </c>
      <c r="H28" s="35" t="str">
        <f t="shared" si="3"/>
        <v>20,3%</v>
      </c>
    </row>
    <row r="29" spans="2:8" x14ac:dyDescent="0.2">
      <c r="B29" s="35" t="s">
        <v>205</v>
      </c>
      <c r="C29" s="36">
        <v>7</v>
      </c>
      <c r="D29" s="37">
        <f>C29/$C$3</f>
        <v>1.7326732673267328E-2</v>
      </c>
      <c r="F29" s="35" t="s">
        <v>205</v>
      </c>
      <c r="G29" s="35">
        <f t="shared" si="2"/>
        <v>7</v>
      </c>
      <c r="H29" s="35" t="str">
        <f t="shared" si="3"/>
        <v>1,7%</v>
      </c>
    </row>
    <row r="30" spans="2:8" x14ac:dyDescent="0.2">
      <c r="B30" s="35" t="s">
        <v>208</v>
      </c>
      <c r="C30" s="36">
        <v>31</v>
      </c>
      <c r="D30" s="37">
        <f>C30/$C$3</f>
        <v>7.6732673267326731E-2</v>
      </c>
      <c r="F30" s="35" t="s">
        <v>208</v>
      </c>
      <c r="G30" s="35">
        <f t="shared" si="2"/>
        <v>31</v>
      </c>
      <c r="H30" s="35" t="str">
        <f t="shared" si="3"/>
        <v>7,7%</v>
      </c>
    </row>
    <row r="31" spans="2:8" x14ac:dyDescent="0.2">
      <c r="B31" s="38" t="s">
        <v>226</v>
      </c>
      <c r="D31" s="37"/>
      <c r="F31" s="38" t="s">
        <v>226</v>
      </c>
      <c r="G31" s="35"/>
      <c r="H31" s="35"/>
    </row>
    <row r="32" spans="2:8" x14ac:dyDescent="0.2">
      <c r="B32" s="35" t="s">
        <v>227</v>
      </c>
      <c r="C32" s="36">
        <v>257</v>
      </c>
      <c r="D32" s="37">
        <f t="shared" ref="D32:D34" si="5">C32/$C$3</f>
        <v>0.63613861386138615</v>
      </c>
      <c r="F32" s="35" t="s">
        <v>227</v>
      </c>
      <c r="G32" s="35">
        <f t="shared" si="2"/>
        <v>257</v>
      </c>
      <c r="H32" s="35" t="str">
        <f t="shared" si="3"/>
        <v>63,6%</v>
      </c>
    </row>
    <row r="33" spans="2:8" x14ac:dyDescent="0.2">
      <c r="B33" s="35" t="s">
        <v>234</v>
      </c>
      <c r="C33" s="36">
        <v>146</v>
      </c>
      <c r="D33" s="37">
        <f t="shared" si="5"/>
        <v>0.36138613861386137</v>
      </c>
      <c r="F33" s="35" t="s">
        <v>234</v>
      </c>
      <c r="G33" s="35">
        <f t="shared" si="2"/>
        <v>146</v>
      </c>
      <c r="H33" s="35" t="str">
        <f t="shared" si="3"/>
        <v>36,1%</v>
      </c>
    </row>
    <row r="34" spans="2:8" x14ac:dyDescent="0.2">
      <c r="B34" s="35" t="s">
        <v>208</v>
      </c>
      <c r="C34" s="36">
        <v>1</v>
      </c>
      <c r="D34" s="37">
        <f t="shared" si="5"/>
        <v>2.4752475247524753E-3</v>
      </c>
      <c r="F34" s="35" t="s">
        <v>208</v>
      </c>
      <c r="G34" s="35">
        <f t="shared" si="2"/>
        <v>1</v>
      </c>
      <c r="H34" s="35" t="str">
        <f t="shared" si="3"/>
        <v>0,2%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CE535-076B-4A4A-931E-053042BF44D5}">
  <dimension ref="B1:F47"/>
  <sheetViews>
    <sheetView topLeftCell="A12" workbookViewId="0">
      <selection activeCell="A19" sqref="A19:XFD22"/>
    </sheetView>
  </sheetViews>
  <sheetFormatPr baseColWidth="10" defaultRowHeight="16" x14ac:dyDescent="0.2"/>
  <cols>
    <col min="2" max="2" width="30.1640625" bestFit="1" customWidth="1"/>
    <col min="3" max="4" width="10.83203125" style="36"/>
  </cols>
  <sheetData>
    <row r="1" spans="2:6" x14ac:dyDescent="0.2">
      <c r="B1" t="s">
        <v>231</v>
      </c>
    </row>
    <row r="2" spans="2:6" x14ac:dyDescent="0.2">
      <c r="C2" s="125" t="s">
        <v>229</v>
      </c>
      <c r="D2" s="125"/>
      <c r="E2" s="125" t="s">
        <v>230</v>
      </c>
      <c r="F2" s="125"/>
    </row>
    <row r="3" spans="2:6" x14ac:dyDescent="0.2">
      <c r="B3" s="34" t="s">
        <v>202</v>
      </c>
      <c r="C3" s="36">
        <v>257</v>
      </c>
      <c r="E3">
        <v>146</v>
      </c>
    </row>
    <row r="4" spans="2:6" x14ac:dyDescent="0.2">
      <c r="B4" s="38" t="s">
        <v>46</v>
      </c>
      <c r="D4" s="37"/>
      <c r="E4" s="36"/>
      <c r="F4" s="37"/>
    </row>
    <row r="5" spans="2:6" x14ac:dyDescent="0.2">
      <c r="B5" s="35" t="s">
        <v>216</v>
      </c>
      <c r="C5" s="36">
        <v>178</v>
      </c>
      <c r="D5" s="37">
        <f>C5/(C5+E5)</f>
        <v>0.67680608365019013</v>
      </c>
      <c r="E5" s="36">
        <v>85</v>
      </c>
      <c r="F5" s="37">
        <f>1-D5</f>
        <v>0.32319391634980987</v>
      </c>
    </row>
    <row r="6" spans="2:6" x14ac:dyDescent="0.2">
      <c r="B6" s="35" t="s">
        <v>217</v>
      </c>
      <c r="C6" s="36">
        <v>79</v>
      </c>
      <c r="D6" s="37">
        <f>C6/(C6+E6)</f>
        <v>0.83157894736842108</v>
      </c>
      <c r="E6" s="36">
        <v>16</v>
      </c>
      <c r="F6" s="37">
        <f t="shared" ref="F6:F18" si="0">1-D6</f>
        <v>0.16842105263157892</v>
      </c>
    </row>
    <row r="7" spans="2:6" x14ac:dyDescent="0.2">
      <c r="B7" s="38" t="s">
        <v>0</v>
      </c>
      <c r="D7" s="37"/>
      <c r="E7" s="36"/>
      <c r="F7" s="37"/>
    </row>
    <row r="8" spans="2:6" x14ac:dyDescent="0.2">
      <c r="B8" s="35" t="s">
        <v>210</v>
      </c>
      <c r="C8" s="36">
        <v>24</v>
      </c>
      <c r="D8" s="37">
        <f t="shared" ref="D8:D18" si="1">C8/(C8+E8)</f>
        <v>0.70588235294117652</v>
      </c>
      <c r="E8" s="36">
        <v>10</v>
      </c>
      <c r="F8" s="37">
        <f t="shared" si="0"/>
        <v>0.29411764705882348</v>
      </c>
    </row>
    <row r="9" spans="2:6" x14ac:dyDescent="0.2">
      <c r="B9" s="35" t="s">
        <v>211</v>
      </c>
      <c r="C9" s="36">
        <v>27</v>
      </c>
      <c r="D9" s="37">
        <f t="shared" si="1"/>
        <v>0.67500000000000004</v>
      </c>
      <c r="E9" s="36">
        <v>13</v>
      </c>
      <c r="F9" s="37">
        <f t="shared" si="0"/>
        <v>0.32499999999999996</v>
      </c>
    </row>
    <row r="10" spans="2:6" x14ac:dyDescent="0.2">
      <c r="B10" s="35" t="s">
        <v>212</v>
      </c>
      <c r="C10" s="36">
        <v>68</v>
      </c>
      <c r="D10" s="37">
        <f t="shared" si="1"/>
        <v>0.64150943396226412</v>
      </c>
      <c r="E10" s="36">
        <v>38</v>
      </c>
      <c r="F10" s="37">
        <f t="shared" si="0"/>
        <v>0.35849056603773588</v>
      </c>
    </row>
    <row r="11" spans="2:6" x14ac:dyDescent="0.2">
      <c r="B11" s="35" t="s">
        <v>213</v>
      </c>
      <c r="C11" s="36">
        <v>89</v>
      </c>
      <c r="D11" s="37">
        <f t="shared" si="1"/>
        <v>0.70634920634920639</v>
      </c>
      <c r="E11" s="36">
        <v>37</v>
      </c>
      <c r="F11" s="37">
        <f t="shared" si="0"/>
        <v>0.29365079365079361</v>
      </c>
    </row>
    <row r="12" spans="2:6" x14ac:dyDescent="0.2">
      <c r="B12" s="35" t="s">
        <v>214</v>
      </c>
      <c r="C12" s="36">
        <v>42</v>
      </c>
      <c r="D12" s="37">
        <f t="shared" si="1"/>
        <v>0.54545454545454541</v>
      </c>
      <c r="E12" s="36">
        <v>35</v>
      </c>
      <c r="F12" s="37">
        <f t="shared" si="0"/>
        <v>0.45454545454545459</v>
      </c>
    </row>
    <row r="13" spans="2:6" x14ac:dyDescent="0.2">
      <c r="B13" s="35" t="s">
        <v>215</v>
      </c>
      <c r="C13" s="36">
        <v>5</v>
      </c>
      <c r="D13" s="37">
        <f t="shared" si="1"/>
        <v>0.3125</v>
      </c>
      <c r="E13" s="36">
        <v>11</v>
      </c>
      <c r="F13" s="37">
        <f t="shared" si="0"/>
        <v>0.6875</v>
      </c>
    </row>
    <row r="14" spans="2:6" x14ac:dyDescent="0.2">
      <c r="B14" s="34" t="s">
        <v>203</v>
      </c>
      <c r="D14" s="37"/>
      <c r="F14" s="37"/>
    </row>
    <row r="15" spans="2:6" x14ac:dyDescent="0.2">
      <c r="B15" s="35" t="s">
        <v>204</v>
      </c>
      <c r="C15" s="36">
        <v>138</v>
      </c>
      <c r="D15" s="37">
        <f t="shared" si="1"/>
        <v>0.73404255319148937</v>
      </c>
      <c r="E15" s="36">
        <v>50</v>
      </c>
      <c r="F15" s="37">
        <f t="shared" si="0"/>
        <v>0.26595744680851063</v>
      </c>
    </row>
    <row r="16" spans="2:6" x14ac:dyDescent="0.2">
      <c r="B16" s="35" t="s">
        <v>206</v>
      </c>
      <c r="C16" s="36">
        <v>64</v>
      </c>
      <c r="D16" s="37">
        <f t="shared" si="1"/>
        <v>0.67368421052631577</v>
      </c>
      <c r="E16" s="36">
        <v>31</v>
      </c>
      <c r="F16" s="37">
        <f t="shared" si="0"/>
        <v>0.32631578947368423</v>
      </c>
    </row>
    <row r="17" spans="2:6" x14ac:dyDescent="0.2">
      <c r="B17" s="35" t="s">
        <v>207</v>
      </c>
      <c r="C17" s="36">
        <v>39</v>
      </c>
      <c r="D17" s="37">
        <f t="shared" si="1"/>
        <v>0.47560975609756095</v>
      </c>
      <c r="E17" s="36">
        <v>43</v>
      </c>
      <c r="F17" s="37">
        <f t="shared" si="0"/>
        <v>0.52439024390243905</v>
      </c>
    </row>
    <row r="18" spans="2:6" x14ac:dyDescent="0.2">
      <c r="B18" s="35" t="s">
        <v>205</v>
      </c>
      <c r="C18" s="36">
        <v>3</v>
      </c>
      <c r="D18" s="37">
        <f t="shared" si="1"/>
        <v>0.42857142857142855</v>
      </c>
      <c r="E18" s="36">
        <v>4</v>
      </c>
      <c r="F18" s="37">
        <f t="shared" si="0"/>
        <v>0.5714285714285714</v>
      </c>
    </row>
    <row r="19" spans="2:6" x14ac:dyDescent="0.2">
      <c r="B19" s="34" t="s">
        <v>240</v>
      </c>
      <c r="C19" s="48"/>
      <c r="D19" s="37"/>
      <c r="F19" s="37"/>
    </row>
    <row r="20" spans="2:6" x14ac:dyDescent="0.2">
      <c r="B20" s="35" t="s">
        <v>241</v>
      </c>
      <c r="C20" s="48">
        <v>233</v>
      </c>
      <c r="D20" s="37">
        <f t="shared" ref="D20:D22" si="2">C20/(C20+E20)</f>
        <v>0.64364640883977897</v>
      </c>
      <c r="E20" s="48">
        <v>129</v>
      </c>
      <c r="F20" s="37">
        <f t="shared" ref="F20:F22" si="3">1-D20</f>
        <v>0.35635359116022103</v>
      </c>
    </row>
    <row r="21" spans="2:6" x14ac:dyDescent="0.2">
      <c r="B21" s="35" t="s">
        <v>242</v>
      </c>
      <c r="C21" s="48">
        <v>17</v>
      </c>
      <c r="D21" s="37">
        <f t="shared" si="2"/>
        <v>0.51515151515151514</v>
      </c>
      <c r="E21" s="48">
        <v>16</v>
      </c>
      <c r="F21" s="37">
        <f t="shared" si="3"/>
        <v>0.48484848484848486</v>
      </c>
    </row>
    <row r="22" spans="2:6" x14ac:dyDescent="0.2">
      <c r="B22" s="35" t="s">
        <v>243</v>
      </c>
      <c r="C22" s="48">
        <v>7</v>
      </c>
      <c r="D22" s="37">
        <f t="shared" si="2"/>
        <v>0.875</v>
      </c>
      <c r="E22" s="48">
        <v>1</v>
      </c>
      <c r="F22" s="37">
        <f t="shared" si="3"/>
        <v>0.125</v>
      </c>
    </row>
    <row r="23" spans="2:6" x14ac:dyDescent="0.2">
      <c r="B23" s="35"/>
      <c r="C23" s="48"/>
      <c r="D23" s="37"/>
      <c r="E23" s="48"/>
      <c r="F23" s="37"/>
    </row>
    <row r="27" spans="2:6" x14ac:dyDescent="0.2">
      <c r="C27" s="53" t="s">
        <v>229</v>
      </c>
      <c r="D27" s="53" t="s">
        <v>235</v>
      </c>
      <c r="E27" s="50" t="s">
        <v>247</v>
      </c>
    </row>
    <row r="28" spans="2:6" x14ac:dyDescent="0.2">
      <c r="B28" s="34" t="s">
        <v>202</v>
      </c>
      <c r="C28" s="36">
        <v>257</v>
      </c>
      <c r="D28">
        <v>146</v>
      </c>
    </row>
    <row r="29" spans="2:6" x14ac:dyDescent="0.2">
      <c r="B29" s="38" t="s">
        <v>46</v>
      </c>
      <c r="E29" s="39" t="s">
        <v>248</v>
      </c>
    </row>
    <row r="30" spans="2:6" x14ac:dyDescent="0.2">
      <c r="B30" s="35" t="s">
        <v>216</v>
      </c>
      <c r="C30" s="36" t="str">
        <f>C5 &amp; " (" &amp; ROUND(100*D5,1) &amp; "%)"</f>
        <v>178 (67,7%)</v>
      </c>
      <c r="D30" s="36" t="str">
        <f>E5 &amp; " (" &amp; ROUND(100*F5,1) &amp; "%)"</f>
        <v>85 (32,3%)</v>
      </c>
      <c r="E30" s="39"/>
    </row>
    <row r="31" spans="2:6" x14ac:dyDescent="0.2">
      <c r="B31" s="35" t="s">
        <v>217</v>
      </c>
      <c r="C31" s="36" t="str">
        <f>C6 &amp; " (" &amp; ROUND(100*D6,1) &amp; "%)"</f>
        <v>79 (83,2%)</v>
      </c>
      <c r="D31" s="36" t="str">
        <f>E6 &amp; " (" &amp; ROUND(100*F6,1) &amp; "%)"</f>
        <v>16 (16,8%)</v>
      </c>
      <c r="E31" s="39"/>
    </row>
    <row r="32" spans="2:6" x14ac:dyDescent="0.2">
      <c r="B32" s="38" t="s">
        <v>0</v>
      </c>
      <c r="E32" s="39" t="s">
        <v>246</v>
      </c>
    </row>
    <row r="33" spans="2:5" x14ac:dyDescent="0.2">
      <c r="B33" s="35" t="s">
        <v>210</v>
      </c>
      <c r="C33" s="36" t="str">
        <f t="shared" ref="C33:C43" si="4">C8 &amp; " (" &amp; ROUND(100*D8,1) &amp; "%)"</f>
        <v>24 (70,6%)</v>
      </c>
      <c r="D33" s="36" t="str">
        <f t="shared" ref="D33:D38" si="5">E8 &amp; " (" &amp; ROUND(100*F8,1) &amp; "%)"</f>
        <v>10 (29,4%)</v>
      </c>
      <c r="E33" s="39"/>
    </row>
    <row r="34" spans="2:5" x14ac:dyDescent="0.2">
      <c r="B34" s="35" t="s">
        <v>211</v>
      </c>
      <c r="C34" s="36" t="str">
        <f t="shared" si="4"/>
        <v>27 (67,5%)</v>
      </c>
      <c r="D34" s="36" t="str">
        <f t="shared" si="5"/>
        <v>13 (32,5%)</v>
      </c>
      <c r="E34" s="39"/>
    </row>
    <row r="35" spans="2:5" x14ac:dyDescent="0.2">
      <c r="B35" s="35" t="s">
        <v>212</v>
      </c>
      <c r="C35" s="36" t="str">
        <f t="shared" si="4"/>
        <v>68 (64,2%)</v>
      </c>
      <c r="D35" s="36" t="str">
        <f t="shared" si="5"/>
        <v>38 (35,8%)</v>
      </c>
      <c r="E35" s="39"/>
    </row>
    <row r="36" spans="2:5" x14ac:dyDescent="0.2">
      <c r="B36" s="35" t="s">
        <v>213</v>
      </c>
      <c r="C36" s="36" t="str">
        <f t="shared" si="4"/>
        <v>89 (70,6%)</v>
      </c>
      <c r="D36" s="36" t="str">
        <f t="shared" si="5"/>
        <v>37 (29,4%)</v>
      </c>
      <c r="E36" s="39"/>
    </row>
    <row r="37" spans="2:5" x14ac:dyDescent="0.2">
      <c r="B37" s="35" t="s">
        <v>214</v>
      </c>
      <c r="C37" s="36" t="str">
        <f t="shared" si="4"/>
        <v>42 (54,5%)</v>
      </c>
      <c r="D37" s="36" t="str">
        <f t="shared" si="5"/>
        <v>35 (45,5%)</v>
      </c>
      <c r="E37" s="39"/>
    </row>
    <row r="38" spans="2:5" x14ac:dyDescent="0.2">
      <c r="B38" s="35" t="s">
        <v>215</v>
      </c>
      <c r="C38" s="36" t="str">
        <f t="shared" si="4"/>
        <v>5 (31,3%)</v>
      </c>
      <c r="D38" s="36" t="str">
        <f t="shared" si="5"/>
        <v>11 (68,8%)</v>
      </c>
      <c r="E38" s="39"/>
    </row>
    <row r="39" spans="2:5" x14ac:dyDescent="0.2">
      <c r="B39" s="34" t="s">
        <v>203</v>
      </c>
      <c r="E39" s="39" t="s">
        <v>239</v>
      </c>
    </row>
    <row r="40" spans="2:5" x14ac:dyDescent="0.2">
      <c r="B40" s="35" t="s">
        <v>204</v>
      </c>
      <c r="C40" s="36" t="str">
        <f t="shared" si="4"/>
        <v>138 (73,4%)</v>
      </c>
      <c r="D40" s="36" t="str">
        <f>E15 &amp; " (" &amp; ROUND(100*F15,1) &amp; "%)"</f>
        <v>50 (26,6%)</v>
      </c>
      <c r="E40" s="39"/>
    </row>
    <row r="41" spans="2:5" x14ac:dyDescent="0.2">
      <c r="B41" s="35" t="s">
        <v>206</v>
      </c>
      <c r="C41" s="36" t="str">
        <f t="shared" si="4"/>
        <v>64 (67,4%)</v>
      </c>
      <c r="D41" s="36" t="str">
        <f>E16 &amp; " (" &amp; ROUND(100*F16,1) &amp; "%)"</f>
        <v>31 (32,6%)</v>
      </c>
      <c r="E41" s="39"/>
    </row>
    <row r="42" spans="2:5" x14ac:dyDescent="0.2">
      <c r="B42" s="35" t="s">
        <v>207</v>
      </c>
      <c r="C42" s="36" t="str">
        <f t="shared" si="4"/>
        <v>39 (47,6%)</v>
      </c>
      <c r="D42" s="36" t="str">
        <f>E17 &amp; " (" &amp; ROUND(100*F17,1) &amp; "%)"</f>
        <v>43 (52,4%)</v>
      </c>
      <c r="E42" s="39"/>
    </row>
    <row r="43" spans="2:5" x14ac:dyDescent="0.2">
      <c r="B43" s="35" t="s">
        <v>205</v>
      </c>
      <c r="C43" s="36" t="str">
        <f t="shared" si="4"/>
        <v>3 (42,9%)</v>
      </c>
      <c r="D43" s="36" t="str">
        <f>E18 &amp; " (" &amp; ROUND(100*F18,1) &amp; "%)"</f>
        <v>4 (57,1%)</v>
      </c>
      <c r="E43" s="39"/>
    </row>
    <row r="44" spans="2:5" x14ac:dyDescent="0.2">
      <c r="B44" s="34" t="s">
        <v>240</v>
      </c>
      <c r="C44" s="48"/>
      <c r="D44" s="48"/>
      <c r="E44" s="39" t="s">
        <v>245</v>
      </c>
    </row>
    <row r="45" spans="2:5" x14ac:dyDescent="0.2">
      <c r="B45" s="35" t="s">
        <v>241</v>
      </c>
      <c r="C45" s="48" t="str">
        <f t="shared" ref="C45:C47" si="6">C20 &amp; " (" &amp; ROUND(100*D20,1) &amp; "%)"</f>
        <v>233 (64,4%)</v>
      </c>
      <c r="D45" s="48" t="str">
        <f>E20 &amp; " (" &amp; ROUND(100*F20,1) &amp; "%)"</f>
        <v>129 (35,6%)</v>
      </c>
      <c r="E45" s="39"/>
    </row>
    <row r="46" spans="2:5" x14ac:dyDescent="0.2">
      <c r="B46" s="35" t="s">
        <v>242</v>
      </c>
      <c r="C46" s="48" t="str">
        <f t="shared" si="6"/>
        <v>17 (51,5%)</v>
      </c>
      <c r="D46" s="48" t="str">
        <f>E21 &amp; " (" &amp; ROUND(100*F21,1) &amp; "%)"</f>
        <v>16 (48,5%)</v>
      </c>
      <c r="E46" s="39"/>
    </row>
    <row r="47" spans="2:5" x14ac:dyDescent="0.2">
      <c r="B47" s="35" t="s">
        <v>243</v>
      </c>
      <c r="C47" s="48" t="str">
        <f t="shared" si="6"/>
        <v>7 (87,5%)</v>
      </c>
      <c r="D47" s="48" t="str">
        <f>E22 &amp; " (" &amp; ROUND(100*F22,1) &amp; "%)"</f>
        <v>1 (12,5%)</v>
      </c>
      <c r="E47" s="39"/>
    </row>
  </sheetData>
  <mergeCells count="2">
    <mergeCell ref="C2:D2"/>
    <mergeCell ref="E2:F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4D0ED-D39A-9F40-BAAC-91509B1851FE}">
  <dimension ref="B1:H37"/>
  <sheetViews>
    <sheetView workbookViewId="0">
      <selection activeCell="F2" sqref="F2:G33"/>
    </sheetView>
  </sheetViews>
  <sheetFormatPr baseColWidth="10" defaultRowHeight="16" x14ac:dyDescent="0.2"/>
  <cols>
    <col min="2" max="2" width="30.1640625" bestFit="1" customWidth="1"/>
    <col min="3" max="4" width="10.83203125" style="40"/>
    <col min="6" max="6" width="30.1640625" bestFit="1" customWidth="1"/>
    <col min="7" max="7" width="26" bestFit="1" customWidth="1"/>
  </cols>
  <sheetData>
    <row r="1" spans="2:7" x14ac:dyDescent="0.2">
      <c r="G1" s="41"/>
    </row>
    <row r="2" spans="2:7" x14ac:dyDescent="0.2">
      <c r="C2" s="40" t="s">
        <v>47</v>
      </c>
      <c r="D2" s="40" t="s">
        <v>209</v>
      </c>
      <c r="F2" s="41"/>
      <c r="G2" s="44" t="s">
        <v>232</v>
      </c>
    </row>
    <row r="3" spans="2:7" x14ac:dyDescent="0.2">
      <c r="B3" s="34" t="s">
        <v>233</v>
      </c>
      <c r="C3" s="40">
        <v>620</v>
      </c>
      <c r="F3" s="42" t="s">
        <v>233</v>
      </c>
      <c r="G3" s="43" t="s">
        <v>236</v>
      </c>
    </row>
    <row r="4" spans="2:7" x14ac:dyDescent="0.2">
      <c r="B4" s="38" t="s">
        <v>46</v>
      </c>
      <c r="D4" s="37"/>
      <c r="F4" s="38" t="s">
        <v>46</v>
      </c>
      <c r="G4" s="35"/>
    </row>
    <row r="5" spans="2:7" x14ac:dyDescent="0.2">
      <c r="B5" s="35" t="s">
        <v>216</v>
      </c>
      <c r="C5" s="40">
        <v>329</v>
      </c>
      <c r="D5" s="37">
        <f>C5/$C$3</f>
        <v>0.53064516129032258</v>
      </c>
      <c r="F5" s="35" t="s">
        <v>216</v>
      </c>
      <c r="G5" s="35" t="str">
        <f>C5 &amp; " (" &amp; ROUND(100*D5,1) &amp; "%)"</f>
        <v>329 (53,1%)</v>
      </c>
    </row>
    <row r="6" spans="2:7" x14ac:dyDescent="0.2">
      <c r="B6" s="35" t="s">
        <v>217</v>
      </c>
      <c r="C6" s="40">
        <v>291</v>
      </c>
      <c r="D6" s="37">
        <f>C6/$C$3</f>
        <v>0.46935483870967742</v>
      </c>
      <c r="F6" s="43" t="s">
        <v>217</v>
      </c>
      <c r="G6" s="43" t="str">
        <f>C6 &amp; " (" &amp; ROUND(100*D6,1) &amp; "%)"</f>
        <v>291 (46,9%)</v>
      </c>
    </row>
    <row r="7" spans="2:7" x14ac:dyDescent="0.2">
      <c r="B7" s="38" t="s">
        <v>0</v>
      </c>
      <c r="D7" s="37"/>
      <c r="F7" s="38" t="s">
        <v>0</v>
      </c>
      <c r="G7" s="35"/>
    </row>
    <row r="8" spans="2:7" x14ac:dyDescent="0.2">
      <c r="B8" s="35" t="s">
        <v>210</v>
      </c>
      <c r="C8" s="40">
        <v>16</v>
      </c>
      <c r="D8" s="37">
        <f t="shared" ref="D8:D14" si="0">C8/$C$3</f>
        <v>2.5806451612903226E-2</v>
      </c>
      <c r="F8" s="35" t="s">
        <v>210</v>
      </c>
      <c r="G8" s="35" t="str">
        <f t="shared" ref="G8:G14" si="1">C8 &amp; " (" &amp; ROUND(100*D8,1) &amp; "%)"</f>
        <v>16 (2,6%)</v>
      </c>
    </row>
    <row r="9" spans="2:7" x14ac:dyDescent="0.2">
      <c r="B9" s="35" t="s">
        <v>211</v>
      </c>
      <c r="C9" s="40">
        <v>59</v>
      </c>
      <c r="D9" s="37">
        <f t="shared" si="0"/>
        <v>9.5161290322580638E-2</v>
      </c>
      <c r="F9" s="35" t="s">
        <v>211</v>
      </c>
      <c r="G9" s="35" t="str">
        <f t="shared" si="1"/>
        <v>59 (9,5%)</v>
      </c>
    </row>
    <row r="10" spans="2:7" x14ac:dyDescent="0.2">
      <c r="B10" s="35" t="s">
        <v>212</v>
      </c>
      <c r="C10" s="40">
        <v>101</v>
      </c>
      <c r="D10" s="37">
        <f t="shared" si="0"/>
        <v>0.16290322580645161</v>
      </c>
      <c r="F10" s="35" t="s">
        <v>212</v>
      </c>
      <c r="G10" s="35" t="str">
        <f t="shared" si="1"/>
        <v>101 (16,3%)</v>
      </c>
    </row>
    <row r="11" spans="2:7" x14ac:dyDescent="0.2">
      <c r="B11" s="35" t="s">
        <v>213</v>
      </c>
      <c r="C11" s="40">
        <v>173</v>
      </c>
      <c r="D11" s="37">
        <f t="shared" si="0"/>
        <v>0.27903225806451615</v>
      </c>
      <c r="F11" s="35" t="s">
        <v>213</v>
      </c>
      <c r="G11" s="35" t="str">
        <f t="shared" si="1"/>
        <v>173 (27,9%)</v>
      </c>
    </row>
    <row r="12" spans="2:7" x14ac:dyDescent="0.2">
      <c r="B12" s="35" t="s">
        <v>214</v>
      </c>
      <c r="C12" s="40">
        <v>171</v>
      </c>
      <c r="D12" s="37">
        <f t="shared" si="0"/>
        <v>0.27580645161290324</v>
      </c>
      <c r="F12" s="35" t="s">
        <v>214</v>
      </c>
      <c r="G12" s="35" t="str">
        <f t="shared" si="1"/>
        <v>171 (27,6%)</v>
      </c>
    </row>
    <row r="13" spans="2:7" x14ac:dyDescent="0.2">
      <c r="B13" s="35" t="s">
        <v>215</v>
      </c>
      <c r="C13" s="40">
        <v>98</v>
      </c>
      <c r="D13" s="37">
        <f t="shared" si="0"/>
        <v>0.15806451612903225</v>
      </c>
      <c r="F13" s="35" t="s">
        <v>215</v>
      </c>
      <c r="G13" s="35" t="str">
        <f t="shared" si="1"/>
        <v>98 (15,8%)</v>
      </c>
    </row>
    <row r="14" spans="2:7" x14ac:dyDescent="0.2">
      <c r="B14" s="35" t="s">
        <v>208</v>
      </c>
      <c r="C14" s="40">
        <v>2</v>
      </c>
      <c r="D14" s="37">
        <f t="shared" si="0"/>
        <v>3.2258064516129032E-3</v>
      </c>
      <c r="F14" s="43" t="s">
        <v>208</v>
      </c>
      <c r="G14" s="43" t="str">
        <f t="shared" si="1"/>
        <v>2 (0,3%)</v>
      </c>
    </row>
    <row r="15" spans="2:7" x14ac:dyDescent="0.2">
      <c r="B15" s="34" t="s">
        <v>203</v>
      </c>
      <c r="F15" s="38" t="s">
        <v>221</v>
      </c>
      <c r="G15" s="35"/>
    </row>
    <row r="16" spans="2:7" x14ac:dyDescent="0.2">
      <c r="B16" s="35" t="s">
        <v>204</v>
      </c>
      <c r="C16" s="40">
        <v>105</v>
      </c>
      <c r="D16" s="37">
        <f>C16/$C$3</f>
        <v>0.16935483870967741</v>
      </c>
      <c r="F16" s="35" t="s">
        <v>411</v>
      </c>
      <c r="G16" s="35" t="str">
        <f>C30 &amp; " (" &amp; ROUND(100*D30,1) &amp; "%)"</f>
        <v>293 (47,3%)</v>
      </c>
    </row>
    <row r="17" spans="2:8" x14ac:dyDescent="0.2">
      <c r="B17" s="35" t="s">
        <v>206</v>
      </c>
      <c r="C17" s="40">
        <v>225</v>
      </c>
      <c r="D17" s="37">
        <f t="shared" ref="D17:D37" si="2">C17/$C$3</f>
        <v>0.36290322580645162</v>
      </c>
      <c r="F17" s="35" t="s">
        <v>223</v>
      </c>
      <c r="G17" s="35" t="str">
        <f>C31 &amp; " (" &amp; ROUND(100*D31,1) &amp; "%)"</f>
        <v>13 (2,1%)</v>
      </c>
    </row>
    <row r="18" spans="2:8" x14ac:dyDescent="0.2">
      <c r="B18" s="35" t="s">
        <v>207</v>
      </c>
      <c r="C18" s="40">
        <v>178</v>
      </c>
      <c r="D18" s="37">
        <f t="shared" si="2"/>
        <v>0.2870967741935484</v>
      </c>
      <c r="F18" s="35" t="s">
        <v>412</v>
      </c>
      <c r="G18" s="35" t="str">
        <f>C32 &amp; " (" &amp; ROUND(100*D32,1) &amp; "%)"</f>
        <v>65 (10,5%)</v>
      </c>
    </row>
    <row r="19" spans="2:8" x14ac:dyDescent="0.2">
      <c r="B19" s="35" t="s">
        <v>205</v>
      </c>
      <c r="C19" s="40">
        <v>89</v>
      </c>
      <c r="D19" s="37">
        <f t="shared" si="2"/>
        <v>0.1435483870967742</v>
      </c>
      <c r="F19" s="35" t="s">
        <v>208</v>
      </c>
      <c r="G19" s="35" t="str">
        <f>C33 &amp; " (" &amp; ROUND(100*D33,1) &amp; "%)"</f>
        <v>248 (40%)</v>
      </c>
    </row>
    <row r="20" spans="2:8" x14ac:dyDescent="0.2">
      <c r="B20" s="35" t="s">
        <v>208</v>
      </c>
      <c r="C20" s="40">
        <v>23</v>
      </c>
      <c r="D20" s="37">
        <f t="shared" si="2"/>
        <v>3.7096774193548385E-2</v>
      </c>
      <c r="F20" s="43" t="s">
        <v>222</v>
      </c>
      <c r="G20" s="43" t="str">
        <f>C34 &amp; " (" &amp; ROUND(100*D34,1) &amp; "%)"</f>
        <v>1 (0,2%)</v>
      </c>
    </row>
    <row r="21" spans="2:8" x14ac:dyDescent="0.2">
      <c r="B21" s="120" t="s">
        <v>240</v>
      </c>
      <c r="C21"/>
      <c r="D21" s="37"/>
      <c r="F21" s="120" t="s">
        <v>240</v>
      </c>
    </row>
    <row r="22" spans="2:8" x14ac:dyDescent="0.2">
      <c r="B22" s="119" t="s">
        <v>413</v>
      </c>
      <c r="C22" s="108">
        <v>517</v>
      </c>
      <c r="D22" s="37">
        <f>C22/$C$3</f>
        <v>0.83387096774193548</v>
      </c>
      <c r="F22" s="119" t="s">
        <v>413</v>
      </c>
      <c r="G22" s="109" t="str">
        <f>C22 &amp; " (" &amp; ROUND(100*D22,1) &amp; "%)"</f>
        <v>517 (83,4%)</v>
      </c>
      <c r="H22" s="121"/>
    </row>
    <row r="23" spans="2:8" x14ac:dyDescent="0.2">
      <c r="B23" s="119" t="s">
        <v>414</v>
      </c>
      <c r="C23" s="108">
        <v>79</v>
      </c>
      <c r="D23" s="37">
        <f t="shared" si="2"/>
        <v>0.12741935483870967</v>
      </c>
      <c r="F23" s="119" t="s">
        <v>414</v>
      </c>
      <c r="G23" s="109" t="str">
        <f>C23 &amp; " (" &amp; ROUND(100*D23,1) &amp; "%)"</f>
        <v>79 (12,7%)</v>
      </c>
      <c r="H23" s="121"/>
    </row>
    <row r="24" spans="2:8" x14ac:dyDescent="0.2">
      <c r="B24" s="119" t="s">
        <v>243</v>
      </c>
      <c r="C24" s="108">
        <v>24</v>
      </c>
      <c r="D24" s="37">
        <f t="shared" si="2"/>
        <v>3.870967741935484E-2</v>
      </c>
      <c r="F24" s="119" t="s">
        <v>243</v>
      </c>
      <c r="G24" s="109" t="str">
        <f>C24 &amp; " (" &amp; ROUND(100*D24,1) &amp; "%)"</f>
        <v>24 (3,9%)</v>
      </c>
      <c r="H24" s="121"/>
    </row>
    <row r="25" spans="2:8" x14ac:dyDescent="0.2">
      <c r="B25" s="38" t="s">
        <v>218</v>
      </c>
      <c r="D25" s="37"/>
      <c r="F25" s="34" t="s">
        <v>203</v>
      </c>
      <c r="G25" s="35"/>
    </row>
    <row r="26" spans="2:8" x14ac:dyDescent="0.2">
      <c r="B26" s="35" t="s">
        <v>219</v>
      </c>
      <c r="C26" s="40">
        <v>5</v>
      </c>
      <c r="D26" s="37">
        <f t="shared" si="2"/>
        <v>8.0645161290322578E-3</v>
      </c>
      <c r="F26" s="35" t="s">
        <v>204</v>
      </c>
      <c r="G26" s="35" t="str">
        <f>C16 &amp; " (" &amp; ROUND(100*D16,1) &amp; "%)"</f>
        <v>105 (16,9%)</v>
      </c>
    </row>
    <row r="27" spans="2:8" x14ac:dyDescent="0.2">
      <c r="B27" s="35" t="s">
        <v>220</v>
      </c>
      <c r="C27" s="40">
        <v>352</v>
      </c>
      <c r="D27" s="37">
        <f t="shared" si="2"/>
        <v>0.56774193548387097</v>
      </c>
      <c r="F27" s="35" t="s">
        <v>206</v>
      </c>
      <c r="G27" s="35" t="str">
        <f>C17 &amp; " (" &amp; ROUND(100*D17,1) &amp; "%)"</f>
        <v>225 (36,3%)</v>
      </c>
    </row>
    <row r="28" spans="2:8" x14ac:dyDescent="0.2">
      <c r="B28" s="35" t="s">
        <v>208</v>
      </c>
      <c r="C28" s="40">
        <v>263</v>
      </c>
      <c r="D28" s="37">
        <f t="shared" si="2"/>
        <v>0.42419354838709677</v>
      </c>
      <c r="F28" s="35" t="s">
        <v>207</v>
      </c>
      <c r="G28" s="35" t="str">
        <f>C18 &amp; " (" &amp; ROUND(100*D18,1) &amp; "%)"</f>
        <v>178 (28,7%)</v>
      </c>
    </row>
    <row r="29" spans="2:8" x14ac:dyDescent="0.2">
      <c r="B29" s="38" t="s">
        <v>221</v>
      </c>
      <c r="D29" s="37"/>
      <c r="F29" s="35" t="s">
        <v>205</v>
      </c>
      <c r="G29" s="35" t="str">
        <f>C19 &amp; " (" &amp; ROUND(100*D19,1) &amp; "%)"</f>
        <v>89 (14,4%)</v>
      </c>
    </row>
    <row r="30" spans="2:8" x14ac:dyDescent="0.2">
      <c r="B30" s="35" t="s">
        <v>224</v>
      </c>
      <c r="C30" s="40">
        <v>293</v>
      </c>
      <c r="D30" s="37">
        <f t="shared" si="2"/>
        <v>0.47258064516129034</v>
      </c>
      <c r="F30" s="43" t="s">
        <v>208</v>
      </c>
      <c r="G30" s="43" t="str">
        <f>C20 &amp; " (" &amp; ROUND(100*D20,1) &amp; "%)"</f>
        <v>23 (3,7%)</v>
      </c>
    </row>
    <row r="31" spans="2:8" x14ac:dyDescent="0.2">
      <c r="B31" s="35" t="s">
        <v>223</v>
      </c>
      <c r="C31" s="40">
        <v>13</v>
      </c>
      <c r="D31" s="37">
        <f t="shared" si="2"/>
        <v>2.0967741935483872E-2</v>
      </c>
      <c r="F31" s="38" t="s">
        <v>226</v>
      </c>
      <c r="G31" s="35"/>
    </row>
    <row r="32" spans="2:8" x14ac:dyDescent="0.2">
      <c r="B32" s="35" t="s">
        <v>225</v>
      </c>
      <c r="C32" s="40">
        <v>65</v>
      </c>
      <c r="D32" s="37">
        <f t="shared" si="2"/>
        <v>0.10483870967741936</v>
      </c>
      <c r="F32" s="35" t="s">
        <v>227</v>
      </c>
      <c r="G32" s="35" t="str">
        <f>C36 &amp; " (" &amp; ROUND(100*D36,1) &amp; "%)"</f>
        <v>491 (79,2%)</v>
      </c>
    </row>
    <row r="33" spans="2:7" x14ac:dyDescent="0.2">
      <c r="B33" s="35" t="s">
        <v>208</v>
      </c>
      <c r="C33" s="40">
        <v>248</v>
      </c>
      <c r="D33" s="37">
        <f t="shared" si="2"/>
        <v>0.4</v>
      </c>
      <c r="F33" s="43" t="s">
        <v>228</v>
      </c>
      <c r="G33" s="43" t="str">
        <f>C37 &amp; " (" &amp; ROUND(100*D37,1) &amp; "%)"</f>
        <v>129 (20,8%)</v>
      </c>
    </row>
    <row r="34" spans="2:7" x14ac:dyDescent="0.2">
      <c r="B34" s="35" t="s">
        <v>222</v>
      </c>
      <c r="C34" s="40">
        <v>1</v>
      </c>
      <c r="D34" s="37">
        <f t="shared" si="2"/>
        <v>1.6129032258064516E-3</v>
      </c>
    </row>
    <row r="35" spans="2:7" x14ac:dyDescent="0.2">
      <c r="B35" s="38" t="s">
        <v>226</v>
      </c>
      <c r="D35" s="37"/>
    </row>
    <row r="36" spans="2:7" x14ac:dyDescent="0.2">
      <c r="B36" s="35" t="s">
        <v>227</v>
      </c>
      <c r="C36" s="40">
        <v>491</v>
      </c>
      <c r="D36" s="37">
        <f t="shared" si="2"/>
        <v>0.79193548387096779</v>
      </c>
    </row>
    <row r="37" spans="2:7" x14ac:dyDescent="0.2">
      <c r="B37" s="35" t="s">
        <v>234</v>
      </c>
      <c r="C37" s="40">
        <v>129</v>
      </c>
      <c r="D37" s="37">
        <f t="shared" si="2"/>
        <v>0.20806451612903226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EA2B4-200E-DB41-881C-003B476C11AE}">
  <dimension ref="B1:F46"/>
  <sheetViews>
    <sheetView topLeftCell="A13" workbookViewId="0">
      <selection activeCell="B44" sqref="B44:B46"/>
    </sheetView>
  </sheetViews>
  <sheetFormatPr baseColWidth="10" defaultRowHeight="16" x14ac:dyDescent="0.2"/>
  <cols>
    <col min="2" max="2" width="30.1640625" bestFit="1" customWidth="1"/>
    <col min="3" max="4" width="10.83203125" style="40"/>
  </cols>
  <sheetData>
    <row r="1" spans="2:6" x14ac:dyDescent="0.2">
      <c r="B1" t="s">
        <v>231</v>
      </c>
    </row>
    <row r="2" spans="2:6" x14ac:dyDescent="0.2">
      <c r="C2" s="125" t="s">
        <v>229</v>
      </c>
      <c r="D2" s="125"/>
      <c r="E2" s="125" t="s">
        <v>230</v>
      </c>
      <c r="F2" s="125"/>
    </row>
    <row r="3" spans="2:6" x14ac:dyDescent="0.2">
      <c r="B3" s="34" t="s">
        <v>202</v>
      </c>
    </row>
    <row r="4" spans="2:6" x14ac:dyDescent="0.2">
      <c r="B4" s="38" t="s">
        <v>46</v>
      </c>
      <c r="D4" s="37"/>
      <c r="E4" s="40"/>
      <c r="F4" s="37"/>
    </row>
    <row r="5" spans="2:6" x14ac:dyDescent="0.2">
      <c r="B5" s="35" t="s">
        <v>216</v>
      </c>
      <c r="C5" s="40">
        <v>260</v>
      </c>
      <c r="D5" s="37">
        <f>C5/(C5+E5)</f>
        <v>0.79027355623100304</v>
      </c>
      <c r="E5" s="40">
        <v>69</v>
      </c>
      <c r="F5" s="37">
        <f>1-D5</f>
        <v>0.20972644376899696</v>
      </c>
    </row>
    <row r="6" spans="2:6" x14ac:dyDescent="0.2">
      <c r="B6" s="35" t="s">
        <v>217</v>
      </c>
      <c r="C6" s="40">
        <v>231</v>
      </c>
      <c r="D6" s="37">
        <f>C6/(C6+E6)</f>
        <v>0.79381443298969068</v>
      </c>
      <c r="E6" s="40">
        <v>60</v>
      </c>
      <c r="F6" s="37">
        <f t="shared" ref="F6:F18" si="0">1-D6</f>
        <v>0.20618556701030932</v>
      </c>
    </row>
    <row r="7" spans="2:6" x14ac:dyDescent="0.2">
      <c r="B7" s="38" t="s">
        <v>0</v>
      </c>
      <c r="D7" s="37"/>
      <c r="E7" s="40"/>
      <c r="F7" s="37"/>
    </row>
    <row r="8" spans="2:6" x14ac:dyDescent="0.2">
      <c r="B8" s="35" t="s">
        <v>210</v>
      </c>
      <c r="C8" s="40">
        <v>14</v>
      </c>
      <c r="D8" s="37">
        <f t="shared" ref="D8:D18" si="1">C8/(C8+E8)</f>
        <v>0.875</v>
      </c>
      <c r="E8" s="40">
        <v>2</v>
      </c>
      <c r="F8" s="37">
        <f t="shared" si="0"/>
        <v>0.125</v>
      </c>
    </row>
    <row r="9" spans="2:6" x14ac:dyDescent="0.2">
      <c r="B9" s="35" t="s">
        <v>211</v>
      </c>
      <c r="C9" s="40">
        <v>51</v>
      </c>
      <c r="D9" s="37">
        <f t="shared" si="1"/>
        <v>0.86440677966101698</v>
      </c>
      <c r="E9" s="40">
        <v>8</v>
      </c>
      <c r="F9" s="37">
        <f t="shared" si="0"/>
        <v>0.13559322033898302</v>
      </c>
    </row>
    <row r="10" spans="2:6" x14ac:dyDescent="0.2">
      <c r="B10" s="35" t="s">
        <v>212</v>
      </c>
      <c r="C10" s="40">
        <v>85</v>
      </c>
      <c r="D10" s="37">
        <f t="shared" si="1"/>
        <v>0.84158415841584155</v>
      </c>
      <c r="E10" s="40">
        <v>16</v>
      </c>
      <c r="F10" s="37">
        <f t="shared" si="0"/>
        <v>0.15841584158415845</v>
      </c>
    </row>
    <row r="11" spans="2:6" x14ac:dyDescent="0.2">
      <c r="B11" s="35" t="s">
        <v>213</v>
      </c>
      <c r="C11" s="40">
        <v>150</v>
      </c>
      <c r="D11" s="37">
        <f t="shared" si="1"/>
        <v>0.86705202312138729</v>
      </c>
      <c r="E11" s="40">
        <v>23</v>
      </c>
      <c r="F11" s="37">
        <f t="shared" si="0"/>
        <v>0.13294797687861271</v>
      </c>
    </row>
    <row r="12" spans="2:6" x14ac:dyDescent="0.2">
      <c r="B12" s="35" t="s">
        <v>214</v>
      </c>
      <c r="C12" s="40">
        <v>120</v>
      </c>
      <c r="D12" s="37">
        <f t="shared" si="1"/>
        <v>0.70175438596491224</v>
      </c>
      <c r="E12" s="40">
        <v>51</v>
      </c>
      <c r="F12" s="37">
        <f t="shared" si="0"/>
        <v>0.29824561403508776</v>
      </c>
    </row>
    <row r="13" spans="2:6" x14ac:dyDescent="0.2">
      <c r="B13" s="35" t="s">
        <v>215</v>
      </c>
      <c r="C13" s="40">
        <v>70</v>
      </c>
      <c r="D13" s="37">
        <f t="shared" si="1"/>
        <v>0.7142857142857143</v>
      </c>
      <c r="E13" s="40">
        <v>28</v>
      </c>
      <c r="F13" s="37">
        <f t="shared" si="0"/>
        <v>0.2857142857142857</v>
      </c>
    </row>
    <row r="14" spans="2:6" x14ac:dyDescent="0.2">
      <c r="B14" s="34" t="s">
        <v>203</v>
      </c>
      <c r="D14" s="37"/>
      <c r="F14" s="37"/>
    </row>
    <row r="15" spans="2:6" x14ac:dyDescent="0.2">
      <c r="B15" s="35" t="s">
        <v>204</v>
      </c>
      <c r="C15" s="40">
        <v>98</v>
      </c>
      <c r="D15" s="37">
        <f t="shared" si="1"/>
        <v>0.93333333333333335</v>
      </c>
      <c r="E15" s="40">
        <v>7</v>
      </c>
      <c r="F15" s="37">
        <f t="shared" si="0"/>
        <v>6.6666666666666652E-2</v>
      </c>
    </row>
    <row r="16" spans="2:6" x14ac:dyDescent="0.2">
      <c r="B16" s="35" t="s">
        <v>206</v>
      </c>
      <c r="C16" s="40">
        <v>192</v>
      </c>
      <c r="D16" s="37">
        <f t="shared" si="1"/>
        <v>0.85333333333333339</v>
      </c>
      <c r="E16" s="40">
        <v>33</v>
      </c>
      <c r="F16" s="37">
        <f t="shared" si="0"/>
        <v>0.14666666666666661</v>
      </c>
    </row>
    <row r="17" spans="2:6" x14ac:dyDescent="0.2">
      <c r="B17" s="35" t="s">
        <v>207</v>
      </c>
      <c r="C17" s="40">
        <v>139</v>
      </c>
      <c r="D17" s="37">
        <f t="shared" si="1"/>
        <v>0.7808988764044944</v>
      </c>
      <c r="E17" s="40">
        <v>39</v>
      </c>
      <c r="F17" s="37">
        <f t="shared" si="0"/>
        <v>0.2191011235955056</v>
      </c>
    </row>
    <row r="18" spans="2:6" x14ac:dyDescent="0.2">
      <c r="B18" s="35" t="s">
        <v>205</v>
      </c>
      <c r="C18" s="40">
        <v>48</v>
      </c>
      <c r="D18" s="37">
        <f t="shared" si="1"/>
        <v>0.5393258426966292</v>
      </c>
      <c r="E18" s="40">
        <v>41</v>
      </c>
      <c r="F18" s="37">
        <f t="shared" si="0"/>
        <v>0.4606741573033708</v>
      </c>
    </row>
    <row r="19" spans="2:6" x14ac:dyDescent="0.2">
      <c r="B19" s="34" t="s">
        <v>240</v>
      </c>
      <c r="C19" s="108"/>
      <c r="D19" s="37"/>
      <c r="F19" s="37"/>
    </row>
    <row r="20" spans="2:6" x14ac:dyDescent="0.2">
      <c r="B20" s="109" t="s">
        <v>413</v>
      </c>
      <c r="C20" s="108">
        <v>409</v>
      </c>
      <c r="D20" s="37">
        <f t="shared" ref="D20:D22" si="2">C20/(C20+E20)</f>
        <v>0.79110251450676983</v>
      </c>
      <c r="E20" s="108">
        <v>108</v>
      </c>
      <c r="F20" s="37">
        <f t="shared" ref="F20:F22" si="3">1-D20</f>
        <v>0.20889748549323017</v>
      </c>
    </row>
    <row r="21" spans="2:6" x14ac:dyDescent="0.2">
      <c r="B21" s="109" t="s">
        <v>414</v>
      </c>
      <c r="C21" s="108">
        <v>60</v>
      </c>
      <c r="D21" s="37">
        <f t="shared" si="2"/>
        <v>0.759493670886076</v>
      </c>
      <c r="E21" s="108">
        <v>19</v>
      </c>
      <c r="F21" s="37">
        <f t="shared" si="3"/>
        <v>0.240506329113924</v>
      </c>
    </row>
    <row r="22" spans="2:6" x14ac:dyDescent="0.2">
      <c r="B22" s="109" t="s">
        <v>243</v>
      </c>
      <c r="C22" s="108">
        <v>22</v>
      </c>
      <c r="D22" s="37">
        <f t="shared" si="2"/>
        <v>0.91666666666666663</v>
      </c>
      <c r="E22" s="108">
        <v>2</v>
      </c>
      <c r="F22" s="37">
        <f t="shared" si="3"/>
        <v>8.333333333333337E-2</v>
      </c>
    </row>
    <row r="26" spans="2:6" x14ac:dyDescent="0.2">
      <c r="B26" s="1"/>
      <c r="C26" s="5" t="s">
        <v>229</v>
      </c>
      <c r="D26" s="5" t="s">
        <v>235</v>
      </c>
      <c r="E26" s="46" t="s">
        <v>238</v>
      </c>
    </row>
    <row r="27" spans="2:6" x14ac:dyDescent="0.2">
      <c r="B27" s="34" t="s">
        <v>202</v>
      </c>
      <c r="C27" s="5">
        <f>SUM(C5:C6)</f>
        <v>491</v>
      </c>
      <c r="D27" s="5">
        <f>SUM(E5:E6)</f>
        <v>129</v>
      </c>
      <c r="E27" s="46"/>
    </row>
    <row r="28" spans="2:6" x14ac:dyDescent="0.2">
      <c r="B28" s="38" t="s">
        <v>46</v>
      </c>
      <c r="C28" s="46"/>
      <c r="D28" s="46"/>
      <c r="E28" s="45" t="s">
        <v>237</v>
      </c>
    </row>
    <row r="29" spans="2:6" x14ac:dyDescent="0.2">
      <c r="B29" s="47" t="s">
        <v>216</v>
      </c>
      <c r="C29" s="46" t="str">
        <f>C5 &amp; " (" &amp; ROUND(100*D5,1) &amp; "%)"</f>
        <v>260 (79%)</v>
      </c>
      <c r="D29" s="46" t="str">
        <f>E5 &amp; " (" &amp; ROUND(100*F5,1) &amp; "%)"</f>
        <v>69 (21%)</v>
      </c>
      <c r="E29" s="45"/>
    </row>
    <row r="30" spans="2:6" x14ac:dyDescent="0.2">
      <c r="B30" s="47" t="s">
        <v>217</v>
      </c>
      <c r="C30" s="46" t="str">
        <f>C6 &amp; " (" &amp; ROUND(100*D6,1) &amp; "%)"</f>
        <v>231 (79,4%)</v>
      </c>
      <c r="D30" s="46" t="str">
        <f>E6 &amp; " (" &amp; ROUND(100*F6,1) &amp; "%)"</f>
        <v>60 (20,6%)</v>
      </c>
      <c r="E30" s="45"/>
    </row>
    <row r="31" spans="2:6" x14ac:dyDescent="0.2">
      <c r="B31" s="38" t="s">
        <v>0</v>
      </c>
      <c r="C31" s="46"/>
      <c r="D31" s="46"/>
      <c r="E31" s="45" t="s">
        <v>239</v>
      </c>
    </row>
    <row r="32" spans="2:6" x14ac:dyDescent="0.2">
      <c r="B32" s="47" t="s">
        <v>210</v>
      </c>
      <c r="C32" s="46" t="str">
        <f t="shared" ref="C32:C42" si="4">C8 &amp; " (" &amp; ROUND(100*D8,1) &amp; "%)"</f>
        <v>14 (87,5%)</v>
      </c>
      <c r="D32" s="46" t="str">
        <f t="shared" ref="D32:D37" si="5">E8 &amp; " (" &amp; ROUND(100*F8,1) &amp; "%)"</f>
        <v>2 (12,5%)</v>
      </c>
      <c r="E32" s="45"/>
    </row>
    <row r="33" spans="2:5" x14ac:dyDescent="0.2">
      <c r="B33" s="47" t="s">
        <v>211</v>
      </c>
      <c r="C33" s="46" t="str">
        <f t="shared" si="4"/>
        <v>51 (86,4%)</v>
      </c>
      <c r="D33" s="46" t="str">
        <f t="shared" si="5"/>
        <v>8 (13,6%)</v>
      </c>
      <c r="E33" s="45"/>
    </row>
    <row r="34" spans="2:5" x14ac:dyDescent="0.2">
      <c r="B34" s="47" t="s">
        <v>212</v>
      </c>
      <c r="C34" s="46" t="str">
        <f t="shared" si="4"/>
        <v>85 (84,2%)</v>
      </c>
      <c r="D34" s="46" t="str">
        <f t="shared" si="5"/>
        <v>16 (15,8%)</v>
      </c>
      <c r="E34" s="45"/>
    </row>
    <row r="35" spans="2:5" x14ac:dyDescent="0.2">
      <c r="B35" s="47" t="s">
        <v>213</v>
      </c>
      <c r="C35" s="46" t="str">
        <f t="shared" si="4"/>
        <v>150 (86,7%)</v>
      </c>
      <c r="D35" s="46" t="str">
        <f t="shared" si="5"/>
        <v>23 (13,3%)</v>
      </c>
      <c r="E35" s="45"/>
    </row>
    <row r="36" spans="2:5" x14ac:dyDescent="0.2">
      <c r="B36" s="47" t="s">
        <v>214</v>
      </c>
      <c r="C36" s="46" t="str">
        <f t="shared" si="4"/>
        <v>120 (70,2%)</v>
      </c>
      <c r="D36" s="46" t="str">
        <f t="shared" si="5"/>
        <v>51 (29,8%)</v>
      </c>
      <c r="E36" s="45"/>
    </row>
    <row r="37" spans="2:5" x14ac:dyDescent="0.2">
      <c r="B37" s="47" t="s">
        <v>215</v>
      </c>
      <c r="C37" s="46" t="str">
        <f t="shared" si="4"/>
        <v>70 (71,4%)</v>
      </c>
      <c r="D37" s="46" t="str">
        <f t="shared" si="5"/>
        <v>28 (28,6%)</v>
      </c>
      <c r="E37" s="45"/>
    </row>
    <row r="38" spans="2:5" x14ac:dyDescent="0.2">
      <c r="B38" s="34" t="s">
        <v>203</v>
      </c>
      <c r="C38" s="46"/>
      <c r="D38" s="46"/>
      <c r="E38" s="45" t="s">
        <v>239</v>
      </c>
    </row>
    <row r="39" spans="2:5" x14ac:dyDescent="0.2">
      <c r="B39" s="47" t="s">
        <v>204</v>
      </c>
      <c r="C39" s="46" t="str">
        <f t="shared" si="4"/>
        <v>98 (93,3%)</v>
      </c>
      <c r="D39" s="46" t="str">
        <f>E15 &amp; " (" &amp; ROUND(100*F15,1) &amp; "%)"</f>
        <v>7 (6,7%)</v>
      </c>
      <c r="E39" s="45"/>
    </row>
    <row r="40" spans="2:5" x14ac:dyDescent="0.2">
      <c r="B40" s="47" t="s">
        <v>206</v>
      </c>
      <c r="C40" s="46" t="str">
        <f t="shared" si="4"/>
        <v>192 (85,3%)</v>
      </c>
      <c r="D40" s="46" t="str">
        <f>E16 &amp; " (" &amp; ROUND(100*F16,1) &amp; "%)"</f>
        <v>33 (14,7%)</v>
      </c>
      <c r="E40" s="45"/>
    </row>
    <row r="41" spans="2:5" x14ac:dyDescent="0.2">
      <c r="B41" s="47" t="s">
        <v>207</v>
      </c>
      <c r="C41" s="46" t="str">
        <f t="shared" si="4"/>
        <v>139 (78,1%)</v>
      </c>
      <c r="D41" s="46" t="str">
        <f>E17 &amp; " (" &amp; ROUND(100*F17,1) &amp; "%)"</f>
        <v>39 (21,9%)</v>
      </c>
      <c r="E41" s="45"/>
    </row>
    <row r="42" spans="2:5" x14ac:dyDescent="0.2">
      <c r="B42" s="47" t="s">
        <v>205</v>
      </c>
      <c r="C42" s="46" t="str">
        <f t="shared" si="4"/>
        <v>48 (53,9%)</v>
      </c>
      <c r="D42" s="46" t="str">
        <f>E18 &amp; " (" &amp; ROUND(100*F18,1) &amp; "%)"</f>
        <v>41 (46,1%)</v>
      </c>
      <c r="E42" s="45"/>
    </row>
    <row r="43" spans="2:5" x14ac:dyDescent="0.2">
      <c r="B43" s="34" t="s">
        <v>240</v>
      </c>
      <c r="C43" s="108"/>
      <c r="D43" s="108"/>
      <c r="E43" s="39" t="s">
        <v>415</v>
      </c>
    </row>
    <row r="44" spans="2:5" x14ac:dyDescent="0.2">
      <c r="B44" s="109" t="s">
        <v>413</v>
      </c>
      <c r="C44" s="108" t="str">
        <f>C20 &amp; " (" &amp; ROUND(100*D20,1) &amp; "%)"</f>
        <v>409 (79,1%)</v>
      </c>
      <c r="D44" s="108" t="str">
        <f>E20 &amp; " (" &amp; ROUND(100*F20,1) &amp; "%)"</f>
        <v>108 (20,9%)</v>
      </c>
      <c r="E44" s="39"/>
    </row>
    <row r="45" spans="2:5" x14ac:dyDescent="0.2">
      <c r="B45" s="109" t="s">
        <v>414</v>
      </c>
      <c r="C45" s="108" t="str">
        <f t="shared" ref="C45:C46" si="6">C21 &amp; " (" &amp; ROUND(100*D21,1) &amp; "%)"</f>
        <v>60 (75,9%)</v>
      </c>
      <c r="D45" s="108" t="str">
        <f t="shared" ref="D45:D46" si="7">E21 &amp; " (" &amp; ROUND(100*F21,1) &amp; "%)"</f>
        <v>19 (24,1%)</v>
      </c>
      <c r="E45" s="39"/>
    </row>
    <row r="46" spans="2:5" x14ac:dyDescent="0.2">
      <c r="B46" s="109" t="s">
        <v>243</v>
      </c>
      <c r="C46" s="108" t="str">
        <f t="shared" si="6"/>
        <v>22 (91,7%)</v>
      </c>
      <c r="D46" s="108" t="str">
        <f t="shared" si="7"/>
        <v>2 (8,3%)</v>
      </c>
      <c r="E46" s="39"/>
    </row>
  </sheetData>
  <mergeCells count="2">
    <mergeCell ref="C2:D2"/>
    <mergeCell ref="E2:F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DB3F1-EACB-C84B-A8AC-1AB7D29D4995}">
  <dimension ref="B2:J7"/>
  <sheetViews>
    <sheetView workbookViewId="0">
      <selection sqref="A1:XFD1048576"/>
    </sheetView>
  </sheetViews>
  <sheetFormatPr baseColWidth="10" defaultRowHeight="16" x14ac:dyDescent="0.2"/>
  <cols>
    <col min="1" max="1" width="10.83203125" style="35"/>
    <col min="2" max="2" width="13" style="35" bestFit="1" customWidth="1"/>
    <col min="3" max="16384" width="10.83203125" style="35"/>
  </cols>
  <sheetData>
    <row r="2" spans="2:10" x14ac:dyDescent="0.2">
      <c r="B2" s="127" t="s">
        <v>322</v>
      </c>
      <c r="C2" s="35">
        <v>0</v>
      </c>
      <c r="D2" s="35">
        <v>0.01</v>
      </c>
      <c r="E2" s="35">
        <v>0.02</v>
      </c>
      <c r="F2" s="35">
        <v>2.5000000000000001E-2</v>
      </c>
      <c r="G2" s="35">
        <v>0.03</v>
      </c>
      <c r="H2" s="35">
        <v>0.04</v>
      </c>
      <c r="I2" s="35">
        <v>0.05</v>
      </c>
      <c r="J2" s="35">
        <v>0.06</v>
      </c>
    </row>
    <row r="3" spans="2:10" x14ac:dyDescent="0.2">
      <c r="B3" s="127"/>
      <c r="C3" s="35">
        <v>7.0000000000000007E-2</v>
      </c>
      <c r="D3" s="35">
        <v>0.08</v>
      </c>
      <c r="E3" s="47">
        <v>0.09</v>
      </c>
      <c r="F3" s="47">
        <v>0.1</v>
      </c>
      <c r="G3" s="35">
        <v>0.25</v>
      </c>
      <c r="H3" s="35">
        <v>0.5</v>
      </c>
      <c r="I3" s="35">
        <v>0.75</v>
      </c>
      <c r="J3" s="35">
        <v>0.9</v>
      </c>
    </row>
    <row r="4" spans="2:10" x14ac:dyDescent="0.2">
      <c r="B4" s="127" t="s">
        <v>323</v>
      </c>
      <c r="C4" s="35">
        <v>0.01</v>
      </c>
      <c r="D4" s="47">
        <v>0.05</v>
      </c>
      <c r="E4" s="47">
        <v>0.1</v>
      </c>
      <c r="F4" s="47">
        <v>0.25</v>
      </c>
      <c r="G4" s="47">
        <v>0.5</v>
      </c>
    </row>
    <row r="5" spans="2:10" x14ac:dyDescent="0.2">
      <c r="B5" s="127"/>
      <c r="C5" s="47">
        <v>0.75</v>
      </c>
      <c r="D5" s="47">
        <v>1</v>
      </c>
      <c r="E5" s="47">
        <v>1.5</v>
      </c>
      <c r="F5" s="47">
        <v>2</v>
      </c>
      <c r="G5" s="47">
        <v>5</v>
      </c>
    </row>
    <row r="6" spans="2:10" x14ac:dyDescent="0.2">
      <c r="B6" s="126"/>
      <c r="C6" s="52"/>
    </row>
    <row r="7" spans="2:10" x14ac:dyDescent="0.2">
      <c r="B7" s="126"/>
      <c r="C7" s="52"/>
    </row>
  </sheetData>
  <mergeCells count="3">
    <mergeCell ref="B6:B7"/>
    <mergeCell ref="B4:B5"/>
    <mergeCell ref="B2:B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9609A-05AB-D543-9DD0-5AC0324048FB}">
  <dimension ref="B5:D9"/>
  <sheetViews>
    <sheetView workbookViewId="0">
      <selection activeCell="B5" sqref="B5:D8"/>
    </sheetView>
  </sheetViews>
  <sheetFormatPr baseColWidth="10" defaultRowHeight="16" x14ac:dyDescent="0.2"/>
  <cols>
    <col min="2" max="2" width="10.5" bestFit="1" customWidth="1"/>
  </cols>
  <sheetData>
    <row r="5" spans="2:4" x14ac:dyDescent="0.2">
      <c r="C5" s="50" t="s">
        <v>47</v>
      </c>
      <c r="D5" s="50" t="s">
        <v>209</v>
      </c>
    </row>
    <row r="6" spans="2:4" x14ac:dyDescent="0.2">
      <c r="B6" s="34" t="s">
        <v>280</v>
      </c>
      <c r="C6" s="49">
        <v>404</v>
      </c>
      <c r="D6" s="39" t="s">
        <v>282</v>
      </c>
    </row>
    <row r="7" spans="2:4" x14ac:dyDescent="0.2">
      <c r="B7" s="34" t="s">
        <v>281</v>
      </c>
      <c r="C7" s="49">
        <v>58</v>
      </c>
      <c r="D7" s="39" t="s">
        <v>283</v>
      </c>
    </row>
    <row r="8" spans="2:4" x14ac:dyDescent="0.2">
      <c r="B8" s="34" t="s">
        <v>233</v>
      </c>
      <c r="C8" s="49">
        <v>462</v>
      </c>
      <c r="D8" s="39" t="s">
        <v>284</v>
      </c>
    </row>
    <row r="9" spans="2:4" x14ac:dyDescent="0.2">
      <c r="D9" s="5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C70AE-C051-1642-A6CB-97D2F568B5BC}">
  <dimension ref="B2:E12"/>
  <sheetViews>
    <sheetView zoomScale="136" zoomScaleNormal="77" workbookViewId="0">
      <selection activeCell="B9" sqref="B9:E12"/>
    </sheetView>
  </sheetViews>
  <sheetFormatPr baseColWidth="10" defaultRowHeight="16" x14ac:dyDescent="0.2"/>
  <cols>
    <col min="2" max="2" width="23.6640625" bestFit="1" customWidth="1"/>
    <col min="3" max="5" width="17" customWidth="1"/>
  </cols>
  <sheetData>
    <row r="2" spans="2:5" x14ac:dyDescent="0.2">
      <c r="B2" s="56"/>
      <c r="C2" s="56" t="s">
        <v>233</v>
      </c>
      <c r="D2" s="56" t="s">
        <v>285</v>
      </c>
      <c r="E2" s="56" t="s">
        <v>286</v>
      </c>
    </row>
    <row r="3" spans="2:5" x14ac:dyDescent="0.2">
      <c r="B3" s="53" t="s">
        <v>280</v>
      </c>
      <c r="C3" s="54">
        <v>404</v>
      </c>
      <c r="D3" s="54">
        <v>303</v>
      </c>
      <c r="E3" s="54">
        <v>101</v>
      </c>
    </row>
    <row r="4" spans="2:5" x14ac:dyDescent="0.2">
      <c r="B4" s="53" t="s">
        <v>287</v>
      </c>
      <c r="C4" s="54">
        <v>58</v>
      </c>
      <c r="D4" s="54">
        <v>44</v>
      </c>
      <c r="E4" s="54">
        <v>14</v>
      </c>
    </row>
    <row r="9" spans="2:5" x14ac:dyDescent="0.2">
      <c r="B9" s="56"/>
      <c r="C9" s="56" t="s">
        <v>233</v>
      </c>
      <c r="D9" s="56" t="s">
        <v>285</v>
      </c>
      <c r="E9" s="56" t="s">
        <v>286</v>
      </c>
    </row>
    <row r="10" spans="2:5" x14ac:dyDescent="0.2">
      <c r="B10" s="60" t="s">
        <v>280</v>
      </c>
      <c r="C10" s="54" t="s">
        <v>288</v>
      </c>
      <c r="D10" s="54" t="str">
        <f>D3 &amp; " (" &amp; ROUND(100* D3/$C3,1) &amp; "%)"</f>
        <v>303 (75%)</v>
      </c>
      <c r="E10" s="54" t="str">
        <f>E3 &amp; " (" &amp; ROUND(100* E3/$C3,1) &amp; "%)"</f>
        <v>101 (25%)</v>
      </c>
    </row>
    <row r="11" spans="2:5" x14ac:dyDescent="0.2">
      <c r="B11" s="60" t="s">
        <v>281</v>
      </c>
      <c r="C11" s="54" t="s">
        <v>289</v>
      </c>
      <c r="D11" s="54" t="str">
        <f>D4 &amp; " (" &amp; ROUND(100* D4/$C4,1) &amp; "%)"</f>
        <v>44 (75,9%)</v>
      </c>
      <c r="E11" s="54" t="str">
        <f>E4 &amp; " (" &amp; ROUND(100* E4/$C4,1) &amp; "%)"</f>
        <v>14 (24,1%)</v>
      </c>
    </row>
    <row r="12" spans="2:5" ht="34" x14ac:dyDescent="0.2">
      <c r="B12" s="61" t="s">
        <v>290</v>
      </c>
      <c r="C12" s="54">
        <f>ROUND(C3/C4,2)</f>
        <v>6.97</v>
      </c>
      <c r="D12" s="54">
        <f t="shared" ref="D12:E12" si="0">ROUND(D3/D4,2)</f>
        <v>6.89</v>
      </c>
      <c r="E12" s="54">
        <f t="shared" si="0"/>
        <v>7.21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ACC79-E576-FA47-9FAD-6537E6579EFB}">
  <dimension ref="A1:G28"/>
  <sheetViews>
    <sheetView workbookViewId="0">
      <selection activeCell="B27" sqref="B27"/>
    </sheetView>
  </sheetViews>
  <sheetFormatPr baseColWidth="10" defaultRowHeight="16" x14ac:dyDescent="0.2"/>
  <cols>
    <col min="3" max="3" width="42.33203125" bestFit="1" customWidth="1"/>
    <col min="4" max="5" width="26.83203125" customWidth="1"/>
  </cols>
  <sheetData>
    <row r="1" spans="1:4" x14ac:dyDescent="0.2">
      <c r="A1" s="41"/>
      <c r="B1" s="41"/>
      <c r="C1" s="41"/>
      <c r="D1" s="41"/>
    </row>
    <row r="2" spans="1:4" x14ac:dyDescent="0.2">
      <c r="A2" s="56" t="s">
        <v>279</v>
      </c>
      <c r="B2" s="56" t="s">
        <v>276</v>
      </c>
      <c r="C2" s="56" t="s">
        <v>277</v>
      </c>
      <c r="D2" s="56" t="s">
        <v>278</v>
      </c>
    </row>
    <row r="3" spans="1:4" x14ac:dyDescent="0.2">
      <c r="A3" s="55">
        <v>1</v>
      </c>
      <c r="B3" s="133" t="s">
        <v>249</v>
      </c>
      <c r="C3" s="133" t="s">
        <v>249</v>
      </c>
      <c r="D3" s="49" t="s">
        <v>250</v>
      </c>
    </row>
    <row r="4" spans="1:4" x14ac:dyDescent="0.2">
      <c r="A4" s="55">
        <v>2</v>
      </c>
      <c r="B4" s="133" t="s">
        <v>251</v>
      </c>
      <c r="C4" s="133" t="s">
        <v>252</v>
      </c>
      <c r="D4" s="49" t="s">
        <v>253</v>
      </c>
    </row>
    <row r="5" spans="1:4" x14ac:dyDescent="0.2">
      <c r="A5" s="55">
        <v>3</v>
      </c>
      <c r="B5" s="133" t="s">
        <v>254</v>
      </c>
      <c r="C5" s="133" t="s">
        <v>254</v>
      </c>
      <c r="D5" s="49" t="s">
        <v>255</v>
      </c>
    </row>
    <row r="6" spans="1:4" x14ac:dyDescent="0.2">
      <c r="A6" s="55">
        <v>4</v>
      </c>
      <c r="B6" s="133" t="s">
        <v>256</v>
      </c>
      <c r="C6" s="133" t="s">
        <v>257</v>
      </c>
      <c r="D6" s="49" t="s">
        <v>258</v>
      </c>
    </row>
    <row r="7" spans="1:4" x14ac:dyDescent="0.2">
      <c r="A7" s="55">
        <v>5</v>
      </c>
      <c r="B7" s="133" t="s">
        <v>259</v>
      </c>
      <c r="C7" s="49" t="s">
        <v>260</v>
      </c>
      <c r="D7" s="49" t="s">
        <v>261</v>
      </c>
    </row>
    <row r="8" spans="1:4" x14ac:dyDescent="0.2">
      <c r="A8" s="55">
        <v>6</v>
      </c>
      <c r="B8" s="133" t="s">
        <v>262</v>
      </c>
      <c r="C8" s="49" t="s">
        <v>263</v>
      </c>
      <c r="D8" s="49" t="s">
        <v>264</v>
      </c>
    </row>
    <row r="9" spans="1:4" x14ac:dyDescent="0.2">
      <c r="A9" s="55">
        <v>7</v>
      </c>
      <c r="B9" s="133" t="s">
        <v>265</v>
      </c>
      <c r="C9" s="49" t="s">
        <v>266</v>
      </c>
      <c r="D9" s="49" t="s">
        <v>267</v>
      </c>
    </row>
    <row r="10" spans="1:4" x14ac:dyDescent="0.2">
      <c r="A10" s="55">
        <v>8</v>
      </c>
      <c r="B10" s="49" t="s">
        <v>268</v>
      </c>
      <c r="C10" s="49" t="s">
        <v>269</v>
      </c>
      <c r="D10" s="49" t="s">
        <v>270</v>
      </c>
    </row>
    <row r="11" spans="1:4" x14ac:dyDescent="0.2">
      <c r="A11" s="55">
        <v>9</v>
      </c>
      <c r="B11" s="49" t="s">
        <v>271</v>
      </c>
      <c r="C11" s="49" t="s">
        <v>272</v>
      </c>
      <c r="D11" s="49" t="s">
        <v>273</v>
      </c>
    </row>
    <row r="12" spans="1:4" x14ac:dyDescent="0.2">
      <c r="A12" s="57">
        <v>10</v>
      </c>
      <c r="B12" s="58" t="s">
        <v>274</v>
      </c>
      <c r="C12" s="58" t="s">
        <v>268</v>
      </c>
      <c r="D12" s="58" t="s">
        <v>275</v>
      </c>
    </row>
    <row r="19" spans="2:7" x14ac:dyDescent="0.2">
      <c r="D19" t="s">
        <v>450</v>
      </c>
    </row>
    <row r="20" spans="2:7" x14ac:dyDescent="0.2">
      <c r="B20" s="133" t="s">
        <v>249</v>
      </c>
      <c r="C20" t="s">
        <v>446</v>
      </c>
    </row>
    <row r="21" spans="2:7" x14ac:dyDescent="0.2">
      <c r="B21" s="133" t="s">
        <v>251</v>
      </c>
      <c r="C21" t="s">
        <v>448</v>
      </c>
      <c r="D21" t="s">
        <v>447</v>
      </c>
    </row>
    <row r="22" spans="2:7" x14ac:dyDescent="0.2">
      <c r="B22" s="133" t="s">
        <v>254</v>
      </c>
      <c r="C22" t="s">
        <v>448</v>
      </c>
      <c r="D22" s="134" t="s">
        <v>451</v>
      </c>
      <c r="E22" s="134" t="s">
        <v>452</v>
      </c>
    </row>
    <row r="23" spans="2:7" x14ac:dyDescent="0.2">
      <c r="B23" s="133" t="s">
        <v>256</v>
      </c>
      <c r="C23" t="s">
        <v>446</v>
      </c>
    </row>
    <row r="24" spans="2:7" x14ac:dyDescent="0.2">
      <c r="B24" s="133" t="s">
        <v>259</v>
      </c>
      <c r="C24" t="s">
        <v>448</v>
      </c>
      <c r="D24" s="134" t="s">
        <v>453</v>
      </c>
      <c r="E24" t="s">
        <v>454</v>
      </c>
      <c r="G24" t="s">
        <v>455</v>
      </c>
    </row>
    <row r="25" spans="2:7" x14ac:dyDescent="0.2">
      <c r="B25" s="133" t="s">
        <v>262</v>
      </c>
      <c r="C25" t="s">
        <v>449</v>
      </c>
      <c r="D25" t="s">
        <v>456</v>
      </c>
    </row>
    <row r="26" spans="2:7" x14ac:dyDescent="0.2">
      <c r="B26" s="133" t="s">
        <v>265</v>
      </c>
      <c r="C26" t="s">
        <v>449</v>
      </c>
      <c r="D26" t="s">
        <v>457</v>
      </c>
    </row>
    <row r="27" spans="2:7" x14ac:dyDescent="0.2">
      <c r="B27" s="133" t="s">
        <v>252</v>
      </c>
      <c r="C27" t="s">
        <v>459</v>
      </c>
      <c r="D27" s="134" t="s">
        <v>451</v>
      </c>
      <c r="E27" s="134" t="s">
        <v>458</v>
      </c>
      <c r="F27" t="s">
        <v>447</v>
      </c>
    </row>
    <row r="28" spans="2:7" x14ac:dyDescent="0.2">
      <c r="B28" s="133" t="s">
        <v>257</v>
      </c>
      <c r="C28" t="s">
        <v>446</v>
      </c>
    </row>
  </sheetData>
  <hyperlinks>
    <hyperlink ref="D22" r:id="rId1" xr:uid="{32442C13-8085-BE4F-B46F-15A8AF37E95F}"/>
    <hyperlink ref="E22" r:id="rId2" xr:uid="{CCC9D002-2B2C-6542-87C4-BD93964CA31A}"/>
    <hyperlink ref="D24" r:id="rId3" xr:uid="{B18EABC3-2E56-C947-BFD6-F32EAB436A0B}"/>
    <hyperlink ref="D27" r:id="rId4" xr:uid="{A5D4DC61-A453-5444-9224-16D427E0510F}"/>
    <hyperlink ref="E27" r:id="rId5" xr:uid="{1E9B5A15-EBE2-D741-9CBA-18AA9E091BD7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F6425-97C2-6D4A-A83F-08A73FCBF017}">
  <dimension ref="B2:D5"/>
  <sheetViews>
    <sheetView workbookViewId="0">
      <selection activeCell="B2" sqref="B2:D5"/>
    </sheetView>
  </sheetViews>
  <sheetFormatPr baseColWidth="10" defaultRowHeight="16" x14ac:dyDescent="0.2"/>
  <sheetData>
    <row r="2" spans="2:4" x14ac:dyDescent="0.2">
      <c r="C2" t="s">
        <v>362</v>
      </c>
      <c r="D2" t="s">
        <v>363</v>
      </c>
    </row>
    <row r="3" spans="2:4" x14ac:dyDescent="0.2">
      <c r="B3" t="s">
        <v>364</v>
      </c>
      <c r="C3">
        <v>0.05</v>
      </c>
      <c r="D3">
        <v>0.05</v>
      </c>
    </row>
    <row r="4" spans="2:4" x14ac:dyDescent="0.2">
      <c r="B4" t="s">
        <v>365</v>
      </c>
      <c r="C4">
        <v>0.75</v>
      </c>
      <c r="D4">
        <v>0.1</v>
      </c>
    </row>
    <row r="5" spans="2:4" x14ac:dyDescent="0.2">
      <c r="B5" t="s">
        <v>366</v>
      </c>
      <c r="C5">
        <v>0.1</v>
      </c>
      <c r="D5">
        <v>0.06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23F0E-23F7-4D4A-A1CD-76A06C6C06B0}">
  <dimension ref="C2:E3"/>
  <sheetViews>
    <sheetView workbookViewId="0">
      <selection activeCell="C1" sqref="C1:F4"/>
    </sheetView>
  </sheetViews>
  <sheetFormatPr baseColWidth="10" defaultRowHeight="16" x14ac:dyDescent="0.2"/>
  <sheetData>
    <row r="2" spans="3:5" x14ac:dyDescent="0.2">
      <c r="C2" t="s">
        <v>364</v>
      </c>
      <c r="D2" t="s">
        <v>365</v>
      </c>
      <c r="E2" t="s">
        <v>366</v>
      </c>
    </row>
    <row r="3" spans="3:5" x14ac:dyDescent="0.2">
      <c r="C3">
        <v>7</v>
      </c>
      <c r="D3">
        <v>5</v>
      </c>
      <c r="E3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6DE70-BD75-40BC-B5AC-9E5F6E635EB5}">
  <dimension ref="A4:K29"/>
  <sheetViews>
    <sheetView workbookViewId="0">
      <selection activeCell="F54" sqref="F54"/>
    </sheetView>
  </sheetViews>
  <sheetFormatPr baseColWidth="10" defaultRowHeight="16" x14ac:dyDescent="0.2"/>
  <cols>
    <col min="3" max="3" width="13.83203125" bestFit="1" customWidth="1"/>
    <col min="4" max="4" width="13.83203125" customWidth="1"/>
  </cols>
  <sheetData>
    <row r="4" spans="1:11" x14ac:dyDescent="0.2">
      <c r="A4" t="s">
        <v>22</v>
      </c>
    </row>
    <row r="5" spans="1:11" x14ac:dyDescent="0.2">
      <c r="A5" t="s">
        <v>23</v>
      </c>
      <c r="B5" t="s">
        <v>46</v>
      </c>
      <c r="C5" t="s">
        <v>59</v>
      </c>
      <c r="D5" t="s">
        <v>58</v>
      </c>
      <c r="E5" t="s">
        <v>47</v>
      </c>
      <c r="F5" t="s">
        <v>48</v>
      </c>
      <c r="G5" t="s">
        <v>133</v>
      </c>
      <c r="H5" t="s">
        <v>134</v>
      </c>
      <c r="I5" t="s">
        <v>135</v>
      </c>
      <c r="K5" s="9" t="str">
        <f xml:space="preserve"> B5 &amp; " &amp; " &amp; C5 &amp; " &amp; " &amp; D5 &amp; " &amp; " &amp; E5 &amp; " &amp; " &amp; F5 &amp; " &amp; " &amp; G5 &amp; " &amp; " &amp; H5 &amp; " &amp; " &amp; I5 &amp; "\\" &amp; IF(A5="x","\hline","")</f>
        <v>Sexo &amp; Población &amp; Fuente &amp; N &amp; TB &amp; TE-W &amp; TE-oE &amp; TE-nE\\\hline</v>
      </c>
    </row>
    <row r="6" spans="1:11" x14ac:dyDescent="0.2">
      <c r="B6" t="s">
        <v>68</v>
      </c>
      <c r="C6" s="21" t="s">
        <v>63</v>
      </c>
      <c r="D6" s="21" t="s">
        <v>61</v>
      </c>
      <c r="E6" s="17" t="s">
        <v>51</v>
      </c>
      <c r="F6" s="17" t="s">
        <v>57</v>
      </c>
      <c r="G6" s="17">
        <v>204.7</v>
      </c>
      <c r="H6" s="18"/>
      <c r="I6" s="18"/>
      <c r="K6" s="9" t="str">
        <f t="shared" ref="K6:K14" si="0" xml:space="preserve"> B6 &amp; " &amp; " &amp; C6 &amp; " &amp; " &amp; D6 &amp; " &amp; " &amp; E6 &amp; " &amp; " &amp; F6 &amp; " &amp; " &amp; G6 &amp; " &amp; " &amp; H6 &amp; " &amp; " &amp; I6 &amp; "\\" &amp; IF(A6="x","\hline","")</f>
        <v>\multirow{3}{*}{Hombres} &amp; Mundo &amp; GCO \cite{GCO} &amp; 8.818.685 &amp; 229,0 &amp; 204,7 &amp;  &amp; \\</v>
      </c>
    </row>
    <row r="7" spans="1:11" x14ac:dyDescent="0.2">
      <c r="B7" s="12"/>
      <c r="C7" s="21" t="s">
        <v>67</v>
      </c>
      <c r="D7" s="22" t="s">
        <v>62</v>
      </c>
      <c r="E7" s="19" t="s">
        <v>64</v>
      </c>
      <c r="F7" s="20">
        <v>572.9</v>
      </c>
      <c r="G7" s="17">
        <v>302.7</v>
      </c>
      <c r="H7" s="18" t="s">
        <v>71</v>
      </c>
      <c r="I7" s="18">
        <v>651.70000000000005</v>
      </c>
      <c r="K7" s="9" t="str">
        <f t="shared" si="0"/>
        <v xml:space="preserve"> &amp; Europa &amp; ECIS \cite{ECIS} &amp; 2.059.673 &amp; 572,9 &amp; 302,7 &amp; 436,0 &amp; 651,7\\</v>
      </c>
    </row>
    <row r="8" spans="1:11" ht="17" x14ac:dyDescent="0.2">
      <c r="A8" t="s">
        <v>23</v>
      </c>
      <c r="B8" s="12"/>
      <c r="C8" s="21" t="s">
        <v>60</v>
      </c>
      <c r="D8" s="22" t="s">
        <v>62</v>
      </c>
      <c r="E8" s="20" t="s">
        <v>52</v>
      </c>
      <c r="F8" s="20">
        <v>625.6</v>
      </c>
      <c r="G8" s="17">
        <v>309.7</v>
      </c>
      <c r="H8" s="18">
        <v>444.7</v>
      </c>
      <c r="I8" s="18">
        <v>658.6</v>
      </c>
      <c r="K8" s="9" t="str">
        <f t="shared" si="0"/>
        <v xml:space="preserve"> &amp; España &amp; ECIS \cite{ECIS} &amp; 142.353 &amp; 625,6 &amp; 309,7 &amp; 444,7 &amp; 658,6\\\hline</v>
      </c>
    </row>
    <row r="9" spans="1:11" x14ac:dyDescent="0.2">
      <c r="B9" t="s">
        <v>69</v>
      </c>
      <c r="C9" s="21" t="s">
        <v>63</v>
      </c>
      <c r="D9" s="21" t="s">
        <v>61</v>
      </c>
      <c r="E9" s="18" t="s">
        <v>53</v>
      </c>
      <c r="F9" s="18">
        <v>217.3</v>
      </c>
      <c r="G9" s="18">
        <v>175.6</v>
      </c>
      <c r="H9" s="18"/>
      <c r="I9" s="18"/>
      <c r="K9" s="9" t="str">
        <f t="shared" si="0"/>
        <v>\multirow{3}{*}{Mujeres} &amp; Mundo &amp; GCO \cite{GCO} &amp; 8.218.216 &amp; 217,3 &amp; 175,6 &amp;  &amp; \\</v>
      </c>
    </row>
    <row r="10" spans="1:11" x14ac:dyDescent="0.2">
      <c r="C10" s="21" t="s">
        <v>67</v>
      </c>
      <c r="D10" s="22" t="s">
        <v>62</v>
      </c>
      <c r="E10" s="19" t="s">
        <v>65</v>
      </c>
      <c r="F10" s="18">
        <v>481.8</v>
      </c>
      <c r="G10" s="18">
        <v>242.7</v>
      </c>
      <c r="H10" s="18">
        <v>332.6</v>
      </c>
      <c r="I10" s="18">
        <v>451.2</v>
      </c>
      <c r="K10" s="9" t="str">
        <f t="shared" si="0"/>
        <v xml:space="preserve"> &amp; Europa &amp; ECIS \cite{ECIS} &amp; 1.851.644 &amp; 481,8 &amp; 242,7 &amp; 332,6 &amp; 451,2\\</v>
      </c>
    </row>
    <row r="11" spans="1:11" x14ac:dyDescent="0.2">
      <c r="A11" t="s">
        <v>23</v>
      </c>
      <c r="C11" s="21" t="s">
        <v>60</v>
      </c>
      <c r="D11" s="22" t="s">
        <v>62</v>
      </c>
      <c r="E11" s="19" t="s">
        <v>54</v>
      </c>
      <c r="F11" s="18">
        <v>451.1</v>
      </c>
      <c r="G11" s="18">
        <v>218.4</v>
      </c>
      <c r="H11" s="18">
        <v>298.5</v>
      </c>
      <c r="I11" s="18">
        <v>401.7</v>
      </c>
      <c r="K11" s="9" t="str">
        <f t="shared" si="0"/>
        <v xml:space="preserve"> &amp; España &amp; ECIS \cite{ECIS} &amp; 106.647 &amp; 451,1 &amp; 218,4 &amp; 298,5 &amp; 401,7\\\hline</v>
      </c>
    </row>
    <row r="12" spans="1:11" x14ac:dyDescent="0.2">
      <c r="B12" t="s">
        <v>70</v>
      </c>
      <c r="C12" s="21" t="s">
        <v>63</v>
      </c>
      <c r="D12" s="21" t="s">
        <v>61</v>
      </c>
      <c r="E12" s="18" t="s">
        <v>55</v>
      </c>
      <c r="F12" s="18">
        <v>223.2</v>
      </c>
      <c r="G12" s="18">
        <v>187.8</v>
      </c>
      <c r="H12" s="18"/>
      <c r="I12" s="18"/>
      <c r="K12" s="9" t="str">
        <f t="shared" si="0"/>
        <v>\multirow{3}{*}{\begin{tabular}[c]{@{}c@{}}Ambos\\sexos\end{tabular}} &amp; Mundo &amp; GCO \cite{GCO} &amp; 17.036.901 &amp; 223,2 &amp; 187,8 &amp;  &amp; \\</v>
      </c>
    </row>
    <row r="13" spans="1:11" x14ac:dyDescent="0.2">
      <c r="C13" s="21" t="s">
        <v>67</v>
      </c>
      <c r="D13" s="22" t="s">
        <v>62</v>
      </c>
      <c r="E13" s="19" t="s">
        <v>66</v>
      </c>
      <c r="F13" s="18">
        <v>525.79999999999995</v>
      </c>
      <c r="G13" s="18">
        <v>266.7</v>
      </c>
      <c r="H13" s="18">
        <v>374.3</v>
      </c>
      <c r="I13" s="18">
        <v>531.9</v>
      </c>
      <c r="K13" s="9" t="str">
        <f t="shared" si="0"/>
        <v xml:space="preserve"> &amp; Europa &amp; ECIS \cite{ECIS} &amp; 3.911.317 &amp; 525,8 &amp; 266,7 &amp; 374,3 &amp; 531,9\\</v>
      </c>
    </row>
    <row r="14" spans="1:11" x14ac:dyDescent="0.2">
      <c r="A14" t="s">
        <v>23</v>
      </c>
      <c r="C14" s="21" t="s">
        <v>60</v>
      </c>
      <c r="D14" s="22" t="s">
        <v>62</v>
      </c>
      <c r="E14" s="18" t="s">
        <v>56</v>
      </c>
      <c r="F14" s="18">
        <v>536.70000000000005</v>
      </c>
      <c r="G14" s="18">
        <v>259.39999999999998</v>
      </c>
      <c r="H14" s="18">
        <v>363.8</v>
      </c>
      <c r="I14" s="18">
        <v>515.29999999999995</v>
      </c>
      <c r="K14" s="9" t="str">
        <f t="shared" si="0"/>
        <v xml:space="preserve"> &amp; España &amp; ECIS \cite{ECIS} &amp; 249.000 &amp; 536,7 &amp; 259,4 &amp; 363,8 &amp; 515,3\\\hline</v>
      </c>
    </row>
    <row r="20" spans="2:6" x14ac:dyDescent="0.2">
      <c r="B20" t="s">
        <v>49</v>
      </c>
      <c r="C20" t="s">
        <v>50</v>
      </c>
    </row>
    <row r="21" spans="2:6" x14ac:dyDescent="0.2">
      <c r="B21" s="13">
        <v>8818685</v>
      </c>
      <c r="C21" s="11">
        <f>QUOTIENT(B21,1000000)</f>
        <v>8</v>
      </c>
      <c r="D21" s="11" t="str">
        <f t="shared" ref="D21:D29" si="1">MID(B21,LEN(B21)-5,3)</f>
        <v>818</v>
      </c>
      <c r="E21" s="11" t="str">
        <f t="shared" ref="E21:E29" si="2">MID(B21,LEN(B21)-2,3)</f>
        <v>685</v>
      </c>
      <c r="F21" t="str">
        <f t="shared" ref="F21:F29" si="3">IF(C21&lt;&gt;"",C21&amp;"."&amp;D21&amp;"."&amp;E21,D21&amp;"."&amp;E21)</f>
        <v>8.818.685</v>
      </c>
    </row>
    <row r="22" spans="2:6" x14ac:dyDescent="0.2">
      <c r="B22" s="14">
        <v>2059673</v>
      </c>
      <c r="C22" s="11">
        <f t="shared" ref="C22:C28" si="4">QUOTIENT(B22,1000000)</f>
        <v>2</v>
      </c>
      <c r="D22" s="11" t="str">
        <f t="shared" si="1"/>
        <v>059</v>
      </c>
      <c r="E22" s="11" t="str">
        <f t="shared" si="2"/>
        <v>673</v>
      </c>
      <c r="F22" t="str">
        <f t="shared" si="3"/>
        <v>2.059.673</v>
      </c>
    </row>
    <row r="23" spans="2:6" x14ac:dyDescent="0.2">
      <c r="B23" s="15">
        <v>142353</v>
      </c>
      <c r="C23" s="11"/>
      <c r="D23" s="11" t="str">
        <f t="shared" si="1"/>
        <v>142</v>
      </c>
      <c r="E23" s="11" t="str">
        <f t="shared" si="2"/>
        <v>353</v>
      </c>
      <c r="F23" t="str">
        <f t="shared" si="3"/>
        <v>142.353</v>
      </c>
    </row>
    <row r="24" spans="2:6" x14ac:dyDescent="0.2">
      <c r="B24" s="16">
        <v>8218216</v>
      </c>
      <c r="C24" s="11">
        <f t="shared" si="4"/>
        <v>8</v>
      </c>
      <c r="D24" s="11" t="str">
        <f t="shared" si="1"/>
        <v>218</v>
      </c>
      <c r="E24" s="11" t="str">
        <f t="shared" si="2"/>
        <v>216</v>
      </c>
      <c r="F24" t="str">
        <f t="shared" si="3"/>
        <v>8.218.216</v>
      </c>
    </row>
    <row r="25" spans="2:6" x14ac:dyDescent="0.2">
      <c r="B25" s="14">
        <v>1851644</v>
      </c>
      <c r="C25" s="11">
        <f t="shared" si="4"/>
        <v>1</v>
      </c>
      <c r="D25" s="11" t="str">
        <f t="shared" si="1"/>
        <v>851</v>
      </c>
      <c r="E25" s="11" t="str">
        <f t="shared" si="2"/>
        <v>644</v>
      </c>
      <c r="F25" t="str">
        <f t="shared" si="3"/>
        <v>1.851.644</v>
      </c>
    </row>
    <row r="26" spans="2:6" x14ac:dyDescent="0.2">
      <c r="B26" s="14">
        <v>106647</v>
      </c>
      <c r="C26" s="11"/>
      <c r="D26" s="11" t="str">
        <f t="shared" si="1"/>
        <v>106</v>
      </c>
      <c r="E26" s="11" t="str">
        <f t="shared" si="2"/>
        <v>647</v>
      </c>
      <c r="F26" t="str">
        <f t="shared" si="3"/>
        <v>106.647</v>
      </c>
    </row>
    <row r="27" spans="2:6" x14ac:dyDescent="0.2">
      <c r="B27" s="16">
        <v>17036901</v>
      </c>
      <c r="C27" s="11">
        <f t="shared" si="4"/>
        <v>17</v>
      </c>
      <c r="D27" s="11" t="str">
        <f t="shared" si="1"/>
        <v>036</v>
      </c>
      <c r="E27" s="11" t="str">
        <f t="shared" si="2"/>
        <v>901</v>
      </c>
      <c r="F27" t="str">
        <f t="shared" si="3"/>
        <v>17.036.901</v>
      </c>
    </row>
    <row r="28" spans="2:6" x14ac:dyDescent="0.2">
      <c r="B28" s="14">
        <v>3911317</v>
      </c>
      <c r="C28" s="11">
        <f t="shared" si="4"/>
        <v>3</v>
      </c>
      <c r="D28" s="11" t="str">
        <f t="shared" si="1"/>
        <v>911</v>
      </c>
      <c r="E28" s="11" t="str">
        <f t="shared" si="2"/>
        <v>317</v>
      </c>
      <c r="F28" t="str">
        <f t="shared" si="3"/>
        <v>3.911.317</v>
      </c>
    </row>
    <row r="29" spans="2:6" x14ac:dyDescent="0.2">
      <c r="B29" s="16">
        <v>249000</v>
      </c>
      <c r="C29" s="11"/>
      <c r="D29" s="11" t="str">
        <f t="shared" si="1"/>
        <v>249</v>
      </c>
      <c r="E29" s="11" t="str">
        <f t="shared" si="2"/>
        <v>000</v>
      </c>
      <c r="F29" t="str">
        <f t="shared" si="3"/>
        <v>249.000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8158E-CC8D-5C4D-9772-76527F28A4B7}">
  <dimension ref="B1:H19"/>
  <sheetViews>
    <sheetView workbookViewId="0">
      <selection activeCell="B15" sqref="B15"/>
    </sheetView>
  </sheetViews>
  <sheetFormatPr baseColWidth="10" defaultRowHeight="16" x14ac:dyDescent="0.2"/>
  <cols>
    <col min="1" max="1" width="10.83203125" style="89"/>
    <col min="2" max="2" width="12.1640625" style="89" customWidth="1"/>
    <col min="3" max="3" width="13" style="89" customWidth="1"/>
    <col min="4" max="4" width="15" style="89" customWidth="1"/>
    <col min="5" max="8" width="12.1640625" style="89" customWidth="1"/>
    <col min="9" max="16384" width="10.83203125" style="89"/>
  </cols>
  <sheetData>
    <row r="1" spans="2:8" ht="17" thickBot="1" x14ac:dyDescent="0.25"/>
    <row r="2" spans="2:8" s="64" customFormat="1" ht="17" thickBot="1" x14ac:dyDescent="0.25">
      <c r="C2" s="128" t="s">
        <v>299</v>
      </c>
      <c r="D2" s="129"/>
      <c r="E2" s="129"/>
      <c r="F2" s="129"/>
      <c r="G2" s="129"/>
      <c r="H2" s="130"/>
    </row>
    <row r="3" spans="2:8" s="64" customFormat="1" ht="35" thickBot="1" x14ac:dyDescent="0.25">
      <c r="C3" s="65" t="s">
        <v>324</v>
      </c>
      <c r="D3" s="66" t="s">
        <v>300</v>
      </c>
      <c r="E3" s="66" t="s">
        <v>327</v>
      </c>
      <c r="F3" s="67" t="s">
        <v>328</v>
      </c>
      <c r="G3" s="68" t="s">
        <v>329</v>
      </c>
      <c r="H3" s="69" t="s">
        <v>330</v>
      </c>
    </row>
    <row r="4" spans="2:8" s="64" customFormat="1" ht="34" x14ac:dyDescent="0.2">
      <c r="B4" s="70" t="s">
        <v>301</v>
      </c>
      <c r="C4" s="71" t="s">
        <v>302</v>
      </c>
      <c r="D4" s="72" t="s">
        <v>325</v>
      </c>
      <c r="E4" s="73">
        <v>99.67</v>
      </c>
      <c r="F4" s="74">
        <v>99.42</v>
      </c>
      <c r="G4" s="71">
        <v>99.5</v>
      </c>
      <c r="H4" s="75">
        <v>99.13</v>
      </c>
    </row>
    <row r="5" spans="2:8" s="64" customFormat="1" x14ac:dyDescent="0.2">
      <c r="B5" s="76" t="s">
        <v>277</v>
      </c>
      <c r="C5" s="77" t="s">
        <v>303</v>
      </c>
      <c r="D5" s="78" t="s">
        <v>304</v>
      </c>
      <c r="E5" s="79">
        <v>99.68</v>
      </c>
      <c r="F5" s="80">
        <v>99.43</v>
      </c>
      <c r="G5" s="81">
        <v>99.5</v>
      </c>
      <c r="H5" s="82">
        <v>99.13</v>
      </c>
    </row>
    <row r="6" spans="2:8" s="64" customFormat="1" ht="17" thickBot="1" x14ac:dyDescent="0.25">
      <c r="B6" s="83" t="s">
        <v>305</v>
      </c>
      <c r="C6" s="84" t="s">
        <v>306</v>
      </c>
      <c r="D6" s="85" t="s">
        <v>326</v>
      </c>
      <c r="E6" s="85">
        <v>99.67</v>
      </c>
      <c r="F6" s="86">
        <v>99.42</v>
      </c>
      <c r="G6" s="87">
        <v>99.5</v>
      </c>
      <c r="H6" s="88">
        <v>99.13</v>
      </c>
    </row>
    <row r="7" spans="2:8" x14ac:dyDescent="0.2">
      <c r="G7" s="89" t="s">
        <v>307</v>
      </c>
    </row>
    <row r="8" spans="2:8" ht="17" thickBot="1" x14ac:dyDescent="0.25"/>
    <row r="9" spans="2:8" s="64" customFormat="1" ht="17" thickBot="1" x14ac:dyDescent="0.25">
      <c r="C9" s="128" t="s">
        <v>308</v>
      </c>
      <c r="D9" s="129"/>
      <c r="E9" s="129"/>
      <c r="F9" s="129"/>
      <c r="G9" s="129"/>
      <c r="H9" s="130"/>
    </row>
    <row r="10" spans="2:8" s="64" customFormat="1" ht="35" thickBot="1" x14ac:dyDescent="0.25">
      <c r="C10" s="65" t="s">
        <v>324</v>
      </c>
      <c r="D10" s="66" t="s">
        <v>300</v>
      </c>
      <c r="E10" s="66" t="s">
        <v>327</v>
      </c>
      <c r="F10" s="67" t="s">
        <v>328</v>
      </c>
      <c r="G10" s="68" t="s">
        <v>329</v>
      </c>
      <c r="H10" s="69" t="s">
        <v>330</v>
      </c>
    </row>
    <row r="11" spans="2:8" s="64" customFormat="1" ht="34" x14ac:dyDescent="0.2">
      <c r="B11" s="70" t="s">
        <v>301</v>
      </c>
      <c r="C11" s="71" t="s">
        <v>303</v>
      </c>
      <c r="D11" s="72" t="s">
        <v>309</v>
      </c>
      <c r="E11" s="90">
        <v>94.99</v>
      </c>
      <c r="F11" s="91">
        <v>97.66</v>
      </c>
      <c r="G11" s="81">
        <v>91.84</v>
      </c>
      <c r="H11" s="82">
        <v>96.43</v>
      </c>
    </row>
    <row r="12" spans="2:8" s="64" customFormat="1" x14ac:dyDescent="0.2">
      <c r="B12" s="76" t="s">
        <v>277</v>
      </c>
      <c r="C12" s="77" t="s">
        <v>310</v>
      </c>
      <c r="D12" s="78" t="s">
        <v>304</v>
      </c>
      <c r="E12" s="16">
        <v>94.08</v>
      </c>
      <c r="F12" s="92">
        <v>97.08</v>
      </c>
      <c r="G12" s="93" t="s">
        <v>311</v>
      </c>
      <c r="H12" s="94">
        <v>95.54</v>
      </c>
    </row>
    <row r="13" spans="2:8" s="64" customFormat="1" ht="17" thickBot="1" x14ac:dyDescent="0.25">
      <c r="B13" s="83" t="s">
        <v>305</v>
      </c>
      <c r="C13" s="84" t="s">
        <v>312</v>
      </c>
      <c r="D13" s="85" t="s">
        <v>313</v>
      </c>
      <c r="E13" s="85">
        <v>92.98</v>
      </c>
      <c r="F13" s="86">
        <v>96.79</v>
      </c>
      <c r="G13" s="71">
        <v>91.84</v>
      </c>
      <c r="H13" s="75">
        <v>96.43</v>
      </c>
    </row>
    <row r="14" spans="2:8" ht="17" thickBot="1" x14ac:dyDescent="0.25"/>
    <row r="15" spans="2:8" s="64" customFormat="1" ht="17" thickBot="1" x14ac:dyDescent="0.25">
      <c r="C15" s="128" t="s">
        <v>314</v>
      </c>
      <c r="D15" s="129"/>
      <c r="E15" s="129"/>
      <c r="F15" s="129"/>
      <c r="G15" s="129"/>
      <c r="H15" s="130"/>
    </row>
    <row r="16" spans="2:8" s="64" customFormat="1" ht="35" thickBot="1" x14ac:dyDescent="0.25">
      <c r="C16" s="65" t="s">
        <v>324</v>
      </c>
      <c r="D16" s="66" t="s">
        <v>300</v>
      </c>
      <c r="E16" s="66" t="s">
        <v>327</v>
      </c>
      <c r="F16" s="67" t="s">
        <v>328</v>
      </c>
      <c r="G16" s="68" t="s">
        <v>329</v>
      </c>
      <c r="H16" s="69" t="s">
        <v>330</v>
      </c>
    </row>
    <row r="17" spans="2:8" s="64" customFormat="1" ht="34" x14ac:dyDescent="0.2">
      <c r="B17" s="70" t="s">
        <v>301</v>
      </c>
      <c r="C17" s="71" t="s">
        <v>315</v>
      </c>
      <c r="D17" s="72" t="s">
        <v>316</v>
      </c>
      <c r="E17" s="73">
        <v>12.91</v>
      </c>
      <c r="F17" s="74">
        <v>78.11</v>
      </c>
      <c r="G17" s="71">
        <v>53.35</v>
      </c>
      <c r="H17" s="75">
        <v>72.48</v>
      </c>
    </row>
    <row r="18" spans="2:8" s="64" customFormat="1" x14ac:dyDescent="0.2">
      <c r="B18" s="76" t="s">
        <v>277</v>
      </c>
      <c r="C18" s="77" t="s">
        <v>317</v>
      </c>
      <c r="D18" s="78" t="s">
        <v>304</v>
      </c>
      <c r="E18" s="16">
        <v>69.92</v>
      </c>
      <c r="F18" s="92">
        <v>76.319999999999993</v>
      </c>
      <c r="G18" s="93" t="s">
        <v>318</v>
      </c>
      <c r="H18" s="94">
        <v>61.47</v>
      </c>
    </row>
    <row r="19" spans="2:8" s="64" customFormat="1" ht="17" thickBot="1" x14ac:dyDescent="0.25">
      <c r="B19" s="83" t="s">
        <v>305</v>
      </c>
      <c r="C19" s="84" t="s">
        <v>319</v>
      </c>
      <c r="D19" s="85" t="s">
        <v>320</v>
      </c>
      <c r="E19" s="85">
        <v>64.67</v>
      </c>
      <c r="F19" s="95" t="s">
        <v>321</v>
      </c>
      <c r="G19" s="84">
        <v>65.63</v>
      </c>
      <c r="H19" s="88">
        <v>66.97</v>
      </c>
    </row>
  </sheetData>
  <mergeCells count="3">
    <mergeCell ref="C2:H2"/>
    <mergeCell ref="C9:H9"/>
    <mergeCell ref="C15:H1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A1BDA-DB0A-444D-8EAC-2B1EEF16EDCA}">
  <dimension ref="B3:D7"/>
  <sheetViews>
    <sheetView workbookViewId="0">
      <selection activeCell="B2" sqref="B2:D9"/>
    </sheetView>
  </sheetViews>
  <sheetFormatPr baseColWidth="10" defaultRowHeight="16" x14ac:dyDescent="0.2"/>
  <cols>
    <col min="2" max="2" width="21.83203125" bestFit="1" customWidth="1"/>
  </cols>
  <sheetData>
    <row r="3" spans="2:4" x14ac:dyDescent="0.2">
      <c r="C3" s="50" t="s">
        <v>47</v>
      </c>
      <c r="D3" s="50" t="s">
        <v>209</v>
      </c>
    </row>
    <row r="4" spans="2:4" x14ac:dyDescent="0.2">
      <c r="B4" s="34" t="s">
        <v>241</v>
      </c>
      <c r="C4" s="62">
        <v>363</v>
      </c>
      <c r="D4" s="37">
        <f>C4/$C$7</f>
        <v>0.79955947136563876</v>
      </c>
    </row>
    <row r="5" spans="2:4" x14ac:dyDescent="0.2">
      <c r="B5" s="34" t="s">
        <v>242</v>
      </c>
      <c r="C5" s="62">
        <v>33</v>
      </c>
      <c r="D5" s="37">
        <f t="shared" ref="D5:D6" si="0">C5/$C$7</f>
        <v>7.268722466960352E-2</v>
      </c>
    </row>
    <row r="6" spans="2:4" x14ac:dyDescent="0.2">
      <c r="B6" s="34" t="s">
        <v>281</v>
      </c>
      <c r="C6" s="62">
        <v>58</v>
      </c>
      <c r="D6" s="37">
        <f t="shared" si="0"/>
        <v>0.1277533039647577</v>
      </c>
    </row>
    <row r="7" spans="2:4" x14ac:dyDescent="0.2">
      <c r="B7" s="34" t="s">
        <v>233</v>
      </c>
      <c r="C7" s="62">
        <f>SUM(C4:C6)</f>
        <v>454</v>
      </c>
      <c r="D7" s="37">
        <f>C7/$C$7</f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22595-EA40-0340-B09B-972358CE14DA}">
  <dimension ref="D3:I20"/>
  <sheetViews>
    <sheetView workbookViewId="0">
      <selection sqref="A1:XFD1048576"/>
    </sheetView>
  </sheetViews>
  <sheetFormatPr baseColWidth="10" defaultRowHeight="16" x14ac:dyDescent="0.2"/>
  <cols>
    <col min="4" max="4" width="21.83203125" bestFit="1" customWidth="1"/>
    <col min="5" max="8" width="18.83203125" customWidth="1"/>
  </cols>
  <sheetData>
    <row r="3" spans="4:9" x14ac:dyDescent="0.2">
      <c r="D3" s="96"/>
      <c r="E3" s="96" t="s">
        <v>233</v>
      </c>
      <c r="F3" s="96" t="s">
        <v>285</v>
      </c>
      <c r="G3" s="96"/>
      <c r="H3" s="96" t="s">
        <v>286</v>
      </c>
    </row>
    <row r="4" spans="4:9" x14ac:dyDescent="0.2">
      <c r="D4" s="34" t="s">
        <v>241</v>
      </c>
      <c r="E4" s="55">
        <v>363</v>
      </c>
      <c r="F4" s="99">
        <v>273</v>
      </c>
      <c r="G4" s="102">
        <f>F4/E4</f>
        <v>0.75206611570247939</v>
      </c>
      <c r="H4" s="99">
        <f>E4-F4</f>
        <v>90</v>
      </c>
      <c r="I4" s="102">
        <f>H4/E4</f>
        <v>0.24793388429752067</v>
      </c>
    </row>
    <row r="5" spans="4:9" x14ac:dyDescent="0.2">
      <c r="D5" s="34" t="s">
        <v>242</v>
      </c>
      <c r="E5" s="55">
        <v>33</v>
      </c>
      <c r="F5" s="99">
        <v>25</v>
      </c>
      <c r="G5" s="102">
        <f t="shared" ref="G5:G6" si="0">F5/E5</f>
        <v>0.75757575757575757</v>
      </c>
      <c r="H5" s="99">
        <f t="shared" ref="H5:H6" si="1">E5-F5</f>
        <v>8</v>
      </c>
      <c r="I5" s="102">
        <f t="shared" ref="I5:I6" si="2">H5/E5</f>
        <v>0.24242424242424243</v>
      </c>
    </row>
    <row r="6" spans="4:9" x14ac:dyDescent="0.2">
      <c r="D6" s="34" t="s">
        <v>281</v>
      </c>
      <c r="E6" s="55">
        <v>58</v>
      </c>
      <c r="F6" s="99">
        <v>44</v>
      </c>
      <c r="G6" s="102">
        <f t="shared" si="0"/>
        <v>0.75862068965517238</v>
      </c>
      <c r="H6" s="99">
        <f t="shared" si="1"/>
        <v>14</v>
      </c>
      <c r="I6" s="102">
        <f t="shared" si="2"/>
        <v>0.2413793103448276</v>
      </c>
    </row>
    <row r="7" spans="4:9" ht="34" x14ac:dyDescent="0.2">
      <c r="D7" s="98" t="s">
        <v>336</v>
      </c>
      <c r="E7" s="100">
        <f>E4/E6</f>
        <v>6.2586206896551726</v>
      </c>
      <c r="F7" s="100">
        <f t="shared" ref="F7:H7" si="3">F4/F6</f>
        <v>6.2045454545454541</v>
      </c>
      <c r="G7" s="100"/>
      <c r="H7" s="100">
        <f t="shared" si="3"/>
        <v>6.4285714285714288</v>
      </c>
    </row>
    <row r="8" spans="4:9" ht="34" x14ac:dyDescent="0.2">
      <c r="D8" s="98" t="s">
        <v>335</v>
      </c>
      <c r="E8" s="101">
        <f>E5/E6</f>
        <v>0.56896551724137934</v>
      </c>
      <c r="F8" s="101">
        <f t="shared" ref="F8:H8" si="4">F5/F6</f>
        <v>0.56818181818181823</v>
      </c>
      <c r="G8" s="101"/>
      <c r="H8" s="101">
        <f t="shared" si="4"/>
        <v>0.5714285714285714</v>
      </c>
    </row>
    <row r="9" spans="4:9" x14ac:dyDescent="0.2">
      <c r="E9" s="62"/>
      <c r="F9" s="62"/>
      <c r="G9" s="62"/>
      <c r="H9" s="62"/>
    </row>
    <row r="10" spans="4:9" x14ac:dyDescent="0.2">
      <c r="E10" s="62"/>
      <c r="F10" s="62"/>
      <c r="G10" s="62"/>
      <c r="H10" s="62"/>
    </row>
    <row r="11" spans="4:9" x14ac:dyDescent="0.2">
      <c r="E11" s="62"/>
      <c r="F11" s="62"/>
      <c r="G11" s="62"/>
      <c r="H11" s="62"/>
    </row>
    <row r="12" spans="4:9" x14ac:dyDescent="0.2">
      <c r="E12" s="62"/>
      <c r="F12" s="62"/>
      <c r="G12" s="62"/>
      <c r="H12" s="62"/>
    </row>
    <row r="13" spans="4:9" x14ac:dyDescent="0.2">
      <c r="E13" s="62"/>
      <c r="F13" s="62"/>
      <c r="G13" s="62"/>
      <c r="H13" s="62"/>
    </row>
    <row r="14" spans="4:9" x14ac:dyDescent="0.2">
      <c r="E14" s="62"/>
      <c r="F14" s="62"/>
      <c r="G14" s="62"/>
      <c r="H14" s="62"/>
    </row>
    <row r="15" spans="4:9" x14ac:dyDescent="0.2">
      <c r="D15" s="96"/>
      <c r="E15" s="96" t="s">
        <v>233</v>
      </c>
      <c r="F15" s="96" t="s">
        <v>285</v>
      </c>
      <c r="G15" s="96" t="s">
        <v>286</v>
      </c>
    </row>
    <row r="16" spans="4:9" x14ac:dyDescent="0.2">
      <c r="D16" s="34" t="s">
        <v>241</v>
      </c>
      <c r="E16" s="62" t="s">
        <v>333</v>
      </c>
      <c r="F16" s="97" t="s">
        <v>337</v>
      </c>
      <c r="G16" s="97" t="s">
        <v>339</v>
      </c>
    </row>
    <row r="17" spans="4:7" x14ac:dyDescent="0.2">
      <c r="D17" s="34" t="s">
        <v>242</v>
      </c>
      <c r="E17" s="62" t="s">
        <v>334</v>
      </c>
      <c r="F17" s="97" t="s">
        <v>338</v>
      </c>
      <c r="G17" s="97" t="s">
        <v>340</v>
      </c>
    </row>
    <row r="18" spans="4:7" x14ac:dyDescent="0.2">
      <c r="D18" s="34" t="s">
        <v>281</v>
      </c>
      <c r="E18" s="62" t="s">
        <v>289</v>
      </c>
      <c r="F18" s="97" t="s">
        <v>331</v>
      </c>
      <c r="G18" s="97" t="s">
        <v>332</v>
      </c>
    </row>
    <row r="19" spans="4:7" ht="34" x14ac:dyDescent="0.2">
      <c r="D19" s="98" t="s">
        <v>336</v>
      </c>
      <c r="E19" s="97">
        <v>6.3</v>
      </c>
      <c r="F19" s="97">
        <v>6.2</v>
      </c>
      <c r="G19" s="97">
        <v>6.4</v>
      </c>
    </row>
    <row r="20" spans="4:7" ht="34" x14ac:dyDescent="0.2">
      <c r="D20" s="98" t="s">
        <v>335</v>
      </c>
      <c r="E20" s="62">
        <v>0.6</v>
      </c>
      <c r="F20" s="62">
        <v>0.6</v>
      </c>
      <c r="G20" s="62">
        <v>0.6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02438-7BEC-1A4B-A9D0-17EBA73CFC02}">
  <dimension ref="B4:H25"/>
  <sheetViews>
    <sheetView workbookViewId="0">
      <selection activeCell="B20" sqref="B20"/>
    </sheetView>
  </sheetViews>
  <sheetFormatPr baseColWidth="10" defaultRowHeight="16" x14ac:dyDescent="0.2"/>
  <sheetData>
    <row r="4" spans="2:5" x14ac:dyDescent="0.2">
      <c r="B4" s="56" t="s">
        <v>279</v>
      </c>
      <c r="C4" s="56" t="s">
        <v>276</v>
      </c>
      <c r="D4" s="56" t="s">
        <v>277</v>
      </c>
      <c r="E4" s="56" t="s">
        <v>278</v>
      </c>
    </row>
    <row r="5" spans="2:5" x14ac:dyDescent="0.2">
      <c r="B5" s="55">
        <v>1</v>
      </c>
      <c r="C5" t="s">
        <v>249</v>
      </c>
      <c r="D5" t="s">
        <v>249</v>
      </c>
      <c r="E5" t="s">
        <v>341</v>
      </c>
    </row>
    <row r="6" spans="2:5" x14ac:dyDescent="0.2">
      <c r="B6" s="55">
        <v>2</v>
      </c>
      <c r="C6" t="s">
        <v>342</v>
      </c>
      <c r="D6" t="s">
        <v>268</v>
      </c>
      <c r="E6" t="s">
        <v>343</v>
      </c>
    </row>
    <row r="7" spans="2:5" x14ac:dyDescent="0.2">
      <c r="B7" s="55">
        <v>3</v>
      </c>
      <c r="C7" t="s">
        <v>344</v>
      </c>
      <c r="D7" t="s">
        <v>262</v>
      </c>
      <c r="E7" t="s">
        <v>345</v>
      </c>
    </row>
    <row r="8" spans="2:5" x14ac:dyDescent="0.2">
      <c r="B8" s="55">
        <v>4</v>
      </c>
      <c r="C8" t="s">
        <v>346</v>
      </c>
      <c r="D8" t="s">
        <v>347</v>
      </c>
      <c r="E8" t="s">
        <v>348</v>
      </c>
    </row>
    <row r="9" spans="2:5" x14ac:dyDescent="0.2">
      <c r="B9" s="55">
        <v>5</v>
      </c>
      <c r="C9" t="s">
        <v>349</v>
      </c>
      <c r="D9" t="s">
        <v>257</v>
      </c>
      <c r="E9" t="s">
        <v>350</v>
      </c>
    </row>
    <row r="10" spans="2:5" x14ac:dyDescent="0.2">
      <c r="B10" s="55">
        <v>6</v>
      </c>
      <c r="C10" t="s">
        <v>351</v>
      </c>
      <c r="D10" t="s">
        <v>352</v>
      </c>
      <c r="E10" t="s">
        <v>353</v>
      </c>
    </row>
    <row r="11" spans="2:5" x14ac:dyDescent="0.2">
      <c r="B11" s="55">
        <v>7</v>
      </c>
      <c r="C11" t="s">
        <v>262</v>
      </c>
      <c r="D11" t="s">
        <v>254</v>
      </c>
      <c r="E11" t="s">
        <v>354</v>
      </c>
    </row>
    <row r="12" spans="2:5" x14ac:dyDescent="0.2">
      <c r="B12" s="55">
        <v>8</v>
      </c>
      <c r="C12" t="s">
        <v>355</v>
      </c>
      <c r="D12" t="s">
        <v>356</v>
      </c>
      <c r="E12" t="s">
        <v>357</v>
      </c>
    </row>
    <row r="13" spans="2:5" x14ac:dyDescent="0.2">
      <c r="B13" s="55">
        <v>9</v>
      </c>
      <c r="C13" t="s">
        <v>358</v>
      </c>
      <c r="D13" t="s">
        <v>263</v>
      </c>
      <c r="E13" t="s">
        <v>359</v>
      </c>
    </row>
    <row r="14" spans="2:5" x14ac:dyDescent="0.2">
      <c r="B14" s="57">
        <v>10</v>
      </c>
      <c r="C14" t="s">
        <v>254</v>
      </c>
      <c r="D14" t="s">
        <v>360</v>
      </c>
      <c r="E14" t="s">
        <v>361</v>
      </c>
    </row>
    <row r="18" spans="2:8" x14ac:dyDescent="0.2">
      <c r="C18" t="s">
        <v>460</v>
      </c>
      <c r="D18" t="s">
        <v>466</v>
      </c>
      <c r="E18" t="s">
        <v>461</v>
      </c>
      <c r="F18" t="s">
        <v>462</v>
      </c>
      <c r="G18" t="s">
        <v>463</v>
      </c>
      <c r="H18" t="s">
        <v>464</v>
      </c>
    </row>
    <row r="19" spans="2:8" x14ac:dyDescent="0.2">
      <c r="B19" t="s">
        <v>249</v>
      </c>
    </row>
    <row r="20" spans="2:8" x14ac:dyDescent="0.2">
      <c r="B20" t="s">
        <v>342</v>
      </c>
    </row>
    <row r="21" spans="2:8" x14ac:dyDescent="0.2">
      <c r="B21" t="s">
        <v>344</v>
      </c>
      <c r="F21" t="s">
        <v>465</v>
      </c>
    </row>
    <row r="22" spans="2:8" x14ac:dyDescent="0.2">
      <c r="B22" t="s">
        <v>346</v>
      </c>
    </row>
    <row r="23" spans="2:8" x14ac:dyDescent="0.2">
      <c r="B23" t="s">
        <v>349</v>
      </c>
    </row>
    <row r="24" spans="2:8" x14ac:dyDescent="0.2">
      <c r="B24" t="s">
        <v>351</v>
      </c>
      <c r="F24" t="s">
        <v>468</v>
      </c>
    </row>
    <row r="25" spans="2:8" x14ac:dyDescent="0.2">
      <c r="B25" t="s">
        <v>262</v>
      </c>
      <c r="G25" t="s">
        <v>467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42ADB-AC69-1947-96C4-C2E0C80B530E}">
  <dimension ref="A1:C4"/>
  <sheetViews>
    <sheetView workbookViewId="0">
      <selection sqref="A1:C4"/>
    </sheetView>
  </sheetViews>
  <sheetFormatPr baseColWidth="10" defaultRowHeight="16" x14ac:dyDescent="0.2"/>
  <sheetData>
    <row r="1" spans="1:3" x14ac:dyDescent="0.2">
      <c r="A1" s="103"/>
      <c r="B1" s="103" t="s">
        <v>362</v>
      </c>
      <c r="C1" s="103" t="s">
        <v>363</v>
      </c>
    </row>
    <row r="2" spans="1:3" x14ac:dyDescent="0.2">
      <c r="A2" s="103" t="s">
        <v>364</v>
      </c>
      <c r="B2" s="103">
        <v>1</v>
      </c>
      <c r="C2" s="103">
        <v>2.5000000000000001E-2</v>
      </c>
    </row>
    <row r="3" spans="1:3" x14ac:dyDescent="0.2">
      <c r="A3" s="103" t="s">
        <v>365</v>
      </c>
      <c r="B3" s="103">
        <v>5</v>
      </c>
      <c r="C3" s="103">
        <v>0.08</v>
      </c>
    </row>
    <row r="4" spans="1:3" x14ac:dyDescent="0.2">
      <c r="A4" s="103" t="s">
        <v>366</v>
      </c>
      <c r="B4" s="103">
        <v>2</v>
      </c>
      <c r="C4" s="103">
        <v>0.02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956B4-6D5B-2740-ABEA-A34EE433960D}">
  <dimension ref="B3:D4"/>
  <sheetViews>
    <sheetView workbookViewId="0">
      <selection activeCell="B3" sqref="B3:D4"/>
    </sheetView>
  </sheetViews>
  <sheetFormatPr baseColWidth="10" defaultRowHeight="16" x14ac:dyDescent="0.2"/>
  <sheetData>
    <row r="3" spans="2:4" x14ac:dyDescent="0.2">
      <c r="B3" t="s">
        <v>364</v>
      </c>
      <c r="C3" t="s">
        <v>365</v>
      </c>
      <c r="D3" t="s">
        <v>366</v>
      </c>
    </row>
    <row r="4" spans="2:4" x14ac:dyDescent="0.2">
      <c r="B4">
        <v>7</v>
      </c>
      <c r="C4">
        <v>9</v>
      </c>
      <c r="D4">
        <v>13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E7814-DDAF-7143-B741-EB2317A2CB9A}">
  <dimension ref="B1:H6"/>
  <sheetViews>
    <sheetView workbookViewId="0">
      <selection activeCell="E16" sqref="E16"/>
    </sheetView>
  </sheetViews>
  <sheetFormatPr baseColWidth="10" defaultRowHeight="16" x14ac:dyDescent="0.2"/>
  <sheetData>
    <row r="1" spans="2:8" ht="17" thickBot="1" x14ac:dyDescent="0.25"/>
    <row r="2" spans="2:8" ht="17" thickBot="1" x14ac:dyDescent="0.25">
      <c r="B2" s="64"/>
      <c r="C2" s="128" t="s">
        <v>308</v>
      </c>
      <c r="D2" s="129"/>
      <c r="E2" s="129"/>
      <c r="F2" s="129"/>
      <c r="G2" s="129"/>
      <c r="H2" s="130"/>
    </row>
    <row r="3" spans="2:8" ht="35" thickBot="1" x14ac:dyDescent="0.25">
      <c r="B3" s="64"/>
      <c r="C3" s="65" t="s">
        <v>324</v>
      </c>
      <c r="D3" s="66" t="s">
        <v>300</v>
      </c>
      <c r="E3" s="66" t="s">
        <v>327</v>
      </c>
      <c r="F3" s="67" t="s">
        <v>328</v>
      </c>
      <c r="G3" s="68" t="s">
        <v>329</v>
      </c>
      <c r="H3" s="69" t="s">
        <v>330</v>
      </c>
    </row>
    <row r="4" spans="2:8" ht="51" x14ac:dyDescent="0.2">
      <c r="B4" s="70" t="s">
        <v>301</v>
      </c>
      <c r="C4" s="71" t="s">
        <v>303</v>
      </c>
      <c r="D4" s="72" t="s">
        <v>367</v>
      </c>
      <c r="E4" s="104">
        <v>94.99</v>
      </c>
      <c r="F4" s="105">
        <v>97.66</v>
      </c>
      <c r="G4" s="106">
        <v>91.84</v>
      </c>
      <c r="H4" s="107">
        <v>96.43</v>
      </c>
    </row>
    <row r="5" spans="2:8" x14ac:dyDescent="0.2">
      <c r="B5" s="76" t="s">
        <v>277</v>
      </c>
      <c r="C5" s="77" t="s">
        <v>310</v>
      </c>
      <c r="D5" s="78" t="s">
        <v>304</v>
      </c>
      <c r="E5" s="16">
        <v>94.08</v>
      </c>
      <c r="F5" s="92">
        <v>97.08</v>
      </c>
      <c r="G5" s="93" t="s">
        <v>311</v>
      </c>
      <c r="H5" s="94">
        <v>95.54</v>
      </c>
    </row>
    <row r="6" spans="2:8" ht="17" thickBot="1" x14ac:dyDescent="0.25">
      <c r="B6" s="83" t="s">
        <v>305</v>
      </c>
      <c r="C6" s="84" t="s">
        <v>312</v>
      </c>
      <c r="D6" s="85" t="s">
        <v>313</v>
      </c>
      <c r="E6" s="85">
        <v>92.98</v>
      </c>
      <c r="F6" s="86">
        <v>96.79</v>
      </c>
      <c r="G6" s="71">
        <v>91.84</v>
      </c>
      <c r="H6" s="75">
        <v>96.43</v>
      </c>
    </row>
  </sheetData>
  <mergeCells count="1">
    <mergeCell ref="C2:H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BADF8-DCD8-AA4D-8591-AA233CE00153}">
  <dimension ref="C2:E8"/>
  <sheetViews>
    <sheetView workbookViewId="0">
      <selection activeCell="G15" sqref="G15"/>
    </sheetView>
  </sheetViews>
  <sheetFormatPr baseColWidth="10" defaultRowHeight="16" x14ac:dyDescent="0.2"/>
  <cols>
    <col min="3" max="3" width="21.83203125" bestFit="1" customWidth="1"/>
  </cols>
  <sheetData>
    <row r="2" spans="3:5" x14ac:dyDescent="0.2">
      <c r="C2" s="103"/>
      <c r="D2" s="103"/>
      <c r="E2" s="103"/>
    </row>
    <row r="3" spans="3:5" x14ac:dyDescent="0.2">
      <c r="C3" s="103"/>
      <c r="D3" s="110" t="s">
        <v>47</v>
      </c>
      <c r="E3" s="110" t="s">
        <v>209</v>
      </c>
    </row>
    <row r="4" spans="3:5" x14ac:dyDescent="0.2">
      <c r="C4" s="111" t="s">
        <v>368</v>
      </c>
      <c r="D4" s="97">
        <v>644</v>
      </c>
      <c r="E4" s="112">
        <v>0.92700000000000005</v>
      </c>
    </row>
    <row r="5" spans="3:5" x14ac:dyDescent="0.2">
      <c r="C5" s="111" t="s">
        <v>281</v>
      </c>
      <c r="D5" s="97">
        <v>51</v>
      </c>
      <c r="E5" s="112">
        <v>7.2999999999999995E-2</v>
      </c>
    </row>
    <row r="6" spans="3:5" x14ac:dyDescent="0.2">
      <c r="C6" s="111" t="s">
        <v>233</v>
      </c>
      <c r="D6" s="97">
        <f>SUM(D4:D5)</f>
        <v>695</v>
      </c>
      <c r="E6" s="112">
        <v>1</v>
      </c>
    </row>
    <row r="7" spans="3:5" x14ac:dyDescent="0.2">
      <c r="C7" s="103"/>
      <c r="D7" s="103"/>
      <c r="E7" s="103"/>
    </row>
    <row r="8" spans="3:5" x14ac:dyDescent="0.2">
      <c r="C8" s="103"/>
      <c r="D8" s="103"/>
      <c r="E8" s="103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3D2C-DD9C-104B-9D9D-0475372857CB}">
  <dimension ref="D5:I18"/>
  <sheetViews>
    <sheetView workbookViewId="0">
      <selection activeCell="G15" sqref="G15"/>
    </sheetView>
  </sheetViews>
  <sheetFormatPr baseColWidth="10" defaultRowHeight="16" x14ac:dyDescent="0.2"/>
  <cols>
    <col min="4" max="4" width="21.83203125" bestFit="1" customWidth="1"/>
  </cols>
  <sheetData>
    <row r="5" spans="4:9" x14ac:dyDescent="0.2">
      <c r="D5" s="96"/>
      <c r="E5" s="96" t="s">
        <v>233</v>
      </c>
      <c r="F5" s="96" t="s">
        <v>285</v>
      </c>
      <c r="G5" s="96"/>
      <c r="H5" s="96" t="s">
        <v>286</v>
      </c>
    </row>
    <row r="6" spans="4:9" x14ac:dyDescent="0.2">
      <c r="D6" s="34" t="s">
        <v>280</v>
      </c>
      <c r="E6" s="55">
        <v>644</v>
      </c>
      <c r="F6" s="99">
        <v>483</v>
      </c>
      <c r="G6" s="102">
        <f>F6/E6</f>
        <v>0.75</v>
      </c>
      <c r="H6" s="99">
        <f>E6-F6</f>
        <v>161</v>
      </c>
      <c r="I6" s="102">
        <f>H6/E6</f>
        <v>0.25</v>
      </c>
    </row>
    <row r="7" spans="4:9" x14ac:dyDescent="0.2">
      <c r="D7" s="34" t="s">
        <v>281</v>
      </c>
      <c r="E7" s="55">
        <v>51</v>
      </c>
      <c r="F7" s="99">
        <v>39</v>
      </c>
      <c r="G7" s="102">
        <f>F7/E7</f>
        <v>0.76470588235294112</v>
      </c>
      <c r="H7" s="99">
        <f t="shared" ref="H7" si="0">E7-F7</f>
        <v>12</v>
      </c>
      <c r="I7" s="102">
        <f t="shared" ref="I7" si="1">H7/E7</f>
        <v>0.23529411764705882</v>
      </c>
    </row>
    <row r="8" spans="4:9" ht="34" x14ac:dyDescent="0.2">
      <c r="D8" s="98" t="s">
        <v>290</v>
      </c>
      <c r="E8" s="100">
        <f>E6/E7</f>
        <v>12.627450980392156</v>
      </c>
      <c r="F8" s="100">
        <f t="shared" ref="F8:H8" si="2">F6/F7</f>
        <v>12.384615384615385</v>
      </c>
      <c r="G8" s="100"/>
      <c r="H8" s="100">
        <f t="shared" si="2"/>
        <v>13.416666666666666</v>
      </c>
    </row>
    <row r="9" spans="4:9" x14ac:dyDescent="0.2">
      <c r="E9" s="63"/>
      <c r="F9" s="63"/>
      <c r="G9" s="63"/>
      <c r="H9" s="63"/>
    </row>
    <row r="10" spans="4:9" x14ac:dyDescent="0.2">
      <c r="E10" s="63"/>
      <c r="F10" s="63"/>
      <c r="G10" s="63"/>
      <c r="H10" s="63"/>
    </row>
    <row r="11" spans="4:9" x14ac:dyDescent="0.2">
      <c r="E11" s="63"/>
      <c r="F11" s="63"/>
      <c r="G11" s="63"/>
      <c r="H11" s="63"/>
    </row>
    <row r="12" spans="4:9" x14ac:dyDescent="0.2">
      <c r="E12" s="63"/>
      <c r="F12" s="63"/>
      <c r="G12" s="63"/>
      <c r="H12" s="63"/>
    </row>
    <row r="13" spans="4:9" x14ac:dyDescent="0.2">
      <c r="E13" s="63"/>
      <c r="F13" s="63"/>
      <c r="G13" s="63"/>
      <c r="H13" s="63"/>
    </row>
    <row r="14" spans="4:9" x14ac:dyDescent="0.2">
      <c r="E14" s="63"/>
      <c r="F14" s="63"/>
      <c r="G14" s="63"/>
      <c r="H14" s="63"/>
    </row>
    <row r="15" spans="4:9" x14ac:dyDescent="0.2">
      <c r="D15" s="96"/>
      <c r="E15" s="96" t="s">
        <v>233</v>
      </c>
      <c r="F15" s="96" t="s">
        <v>285</v>
      </c>
      <c r="G15" s="96" t="s">
        <v>286</v>
      </c>
    </row>
    <row r="16" spans="4:9" x14ac:dyDescent="0.2">
      <c r="D16" s="34" t="s">
        <v>280</v>
      </c>
      <c r="E16" s="63" t="s">
        <v>369</v>
      </c>
      <c r="F16" s="97" t="s">
        <v>371</v>
      </c>
      <c r="G16" s="97" t="s">
        <v>373</v>
      </c>
    </row>
    <row r="17" spans="4:7" x14ac:dyDescent="0.2">
      <c r="D17" s="34" t="s">
        <v>281</v>
      </c>
      <c r="E17" s="63" t="s">
        <v>370</v>
      </c>
      <c r="F17" s="97" t="s">
        <v>372</v>
      </c>
      <c r="G17" s="97" t="s">
        <v>374</v>
      </c>
    </row>
    <row r="18" spans="4:7" ht="34" x14ac:dyDescent="0.2">
      <c r="D18" s="98" t="s">
        <v>290</v>
      </c>
      <c r="E18" s="97">
        <v>12.6</v>
      </c>
      <c r="F18" s="97">
        <v>12.4</v>
      </c>
      <c r="G18" s="63">
        <v>13.4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0E40B-B96B-6F4F-8E6B-693729C259F4}">
  <dimension ref="A3:L24"/>
  <sheetViews>
    <sheetView workbookViewId="0">
      <selection activeCell="C16" sqref="C16:L16"/>
    </sheetView>
  </sheetViews>
  <sheetFormatPr baseColWidth="10" defaultRowHeight="16" x14ac:dyDescent="0.2"/>
  <cols>
    <col min="3" max="5" width="6.6640625" customWidth="1"/>
    <col min="7" max="7" width="6" customWidth="1"/>
    <col min="8" max="9" width="8.6640625" customWidth="1"/>
    <col min="10" max="10" width="6" customWidth="1"/>
    <col min="11" max="11" width="5.83203125" bestFit="1" customWidth="1"/>
    <col min="12" max="12" width="6" bestFit="1" customWidth="1"/>
  </cols>
  <sheetData>
    <row r="3" spans="2:12" x14ac:dyDescent="0.2">
      <c r="B3" s="56" t="s">
        <v>279</v>
      </c>
      <c r="C3" s="56" t="s">
        <v>276</v>
      </c>
      <c r="D3" s="56" t="s">
        <v>277</v>
      </c>
      <c r="E3" s="56" t="s">
        <v>278</v>
      </c>
    </row>
    <row r="4" spans="2:12" x14ac:dyDescent="0.2">
      <c r="B4" s="55">
        <v>1</v>
      </c>
      <c r="C4" t="s">
        <v>375</v>
      </c>
      <c r="D4" t="s">
        <v>376</v>
      </c>
      <c r="E4" t="s">
        <v>377</v>
      </c>
    </row>
    <row r="5" spans="2:12" x14ac:dyDescent="0.2">
      <c r="B5" s="55">
        <v>2</v>
      </c>
      <c r="C5" t="s">
        <v>378</v>
      </c>
      <c r="D5" t="s">
        <v>379</v>
      </c>
      <c r="E5" t="s">
        <v>380</v>
      </c>
    </row>
    <row r="6" spans="2:12" x14ac:dyDescent="0.2">
      <c r="B6" s="55">
        <v>3</v>
      </c>
      <c r="C6" t="s">
        <v>381</v>
      </c>
      <c r="D6" t="s">
        <v>382</v>
      </c>
      <c r="E6" t="s">
        <v>383</v>
      </c>
    </row>
    <row r="7" spans="2:12" x14ac:dyDescent="0.2">
      <c r="B7" s="55">
        <v>4</v>
      </c>
      <c r="C7" t="s">
        <v>384</v>
      </c>
      <c r="D7" t="s">
        <v>385</v>
      </c>
      <c r="E7" t="s">
        <v>386</v>
      </c>
    </row>
    <row r="8" spans="2:12" x14ac:dyDescent="0.2">
      <c r="B8" s="55">
        <v>5</v>
      </c>
      <c r="C8" t="s">
        <v>387</v>
      </c>
      <c r="D8" t="s">
        <v>388</v>
      </c>
      <c r="E8" t="s">
        <v>389</v>
      </c>
    </row>
    <row r="9" spans="2:12" x14ac:dyDescent="0.2">
      <c r="B9" s="55">
        <v>6</v>
      </c>
      <c r="C9" t="s">
        <v>390</v>
      </c>
      <c r="D9" t="s">
        <v>391</v>
      </c>
      <c r="E9" t="s">
        <v>392</v>
      </c>
    </row>
    <row r="10" spans="2:12" x14ac:dyDescent="0.2">
      <c r="B10" s="55">
        <v>7</v>
      </c>
      <c r="C10" t="s">
        <v>393</v>
      </c>
      <c r="D10" t="s">
        <v>394</v>
      </c>
      <c r="E10" t="s">
        <v>395</v>
      </c>
    </row>
    <row r="11" spans="2:12" x14ac:dyDescent="0.2">
      <c r="B11" s="55">
        <v>8</v>
      </c>
      <c r="C11" t="s">
        <v>394</v>
      </c>
      <c r="D11" t="s">
        <v>396</v>
      </c>
      <c r="E11" t="s">
        <v>397</v>
      </c>
    </row>
    <row r="12" spans="2:12" x14ac:dyDescent="0.2">
      <c r="B12" s="55">
        <v>9</v>
      </c>
      <c r="C12" t="s">
        <v>398</v>
      </c>
      <c r="D12" t="s">
        <v>399</v>
      </c>
      <c r="E12" t="s">
        <v>400</v>
      </c>
    </row>
    <row r="13" spans="2:12" x14ac:dyDescent="0.2">
      <c r="B13" s="57">
        <v>10</v>
      </c>
      <c r="C13" t="s">
        <v>401</v>
      </c>
      <c r="D13" t="s">
        <v>402</v>
      </c>
      <c r="E13" t="s">
        <v>403</v>
      </c>
    </row>
    <row r="16" spans="2:12" x14ac:dyDescent="0.2">
      <c r="C16" t="s">
        <v>469</v>
      </c>
      <c r="D16" t="s">
        <v>470</v>
      </c>
      <c r="E16" t="s">
        <v>466</v>
      </c>
      <c r="F16" t="s">
        <v>471</v>
      </c>
      <c r="G16" t="s">
        <v>472</v>
      </c>
      <c r="H16" t="s">
        <v>463</v>
      </c>
      <c r="I16" t="s">
        <v>473</v>
      </c>
      <c r="J16" t="s">
        <v>474</v>
      </c>
      <c r="K16" t="s">
        <v>475</v>
      </c>
      <c r="L16" t="s">
        <v>476</v>
      </c>
    </row>
    <row r="17" spans="1:12" x14ac:dyDescent="0.2">
      <c r="A17" t="s">
        <v>364</v>
      </c>
      <c r="B17" t="s">
        <v>375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</row>
    <row r="18" spans="1:12" x14ac:dyDescent="0.2">
      <c r="B18" t="s">
        <v>378</v>
      </c>
      <c r="C18" s="134" t="s">
        <v>477</v>
      </c>
    </row>
    <row r="19" spans="1:12" x14ac:dyDescent="0.2">
      <c r="B19" t="s">
        <v>381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</row>
    <row r="20" spans="1:12" ht="18" x14ac:dyDescent="0.2">
      <c r="B20" t="s">
        <v>384</v>
      </c>
      <c r="H20" s="135" t="s">
        <v>478</v>
      </c>
    </row>
    <row r="22" spans="1:12" x14ac:dyDescent="0.2">
      <c r="A22" t="s">
        <v>365</v>
      </c>
      <c r="B22" t="s">
        <v>376</v>
      </c>
      <c r="C22" t="s">
        <v>479</v>
      </c>
    </row>
    <row r="23" spans="1:12" x14ac:dyDescent="0.2">
      <c r="B23" t="s">
        <v>379</v>
      </c>
    </row>
    <row r="24" spans="1:12" x14ac:dyDescent="0.2">
      <c r="B24" t="s">
        <v>382</v>
      </c>
    </row>
  </sheetData>
  <hyperlinks>
    <hyperlink ref="C18" r:id="rId1" display="https://doi.org/10.1007/BF00121166" xr:uid="{55B317CA-7CDC-1743-9B51-EF062373CBD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6AF80-A29C-4664-8945-39173FEA3D6E}">
  <dimension ref="A4:K29"/>
  <sheetViews>
    <sheetView workbookViewId="0">
      <selection activeCell="G5" sqref="G5:I5"/>
    </sheetView>
  </sheetViews>
  <sheetFormatPr baseColWidth="10" defaultRowHeight="16" x14ac:dyDescent="0.2"/>
  <cols>
    <col min="3" max="3" width="13.83203125" bestFit="1" customWidth="1"/>
    <col min="4" max="4" width="13.83203125" customWidth="1"/>
  </cols>
  <sheetData>
    <row r="4" spans="1:11" x14ac:dyDescent="0.2">
      <c r="A4" t="s">
        <v>22</v>
      </c>
    </row>
    <row r="5" spans="1:11" x14ac:dyDescent="0.2">
      <c r="A5" t="s">
        <v>23</v>
      </c>
      <c r="B5" t="s">
        <v>46</v>
      </c>
      <c r="C5" t="s">
        <v>59</v>
      </c>
      <c r="D5" t="s">
        <v>58</v>
      </c>
      <c r="E5" t="s">
        <v>47</v>
      </c>
      <c r="F5" t="s">
        <v>48</v>
      </c>
      <c r="G5" t="s">
        <v>133</v>
      </c>
      <c r="H5" t="s">
        <v>134</v>
      </c>
      <c r="I5" t="s">
        <v>135</v>
      </c>
      <c r="K5" s="9" t="str">
        <f xml:space="preserve"> B5 &amp; " &amp; " &amp; C5 &amp; " &amp; " &amp; D5 &amp; " &amp; " &amp; E5 &amp; " &amp; " &amp; F5 &amp; " &amp; " &amp; G5 &amp; " &amp; " &amp; H5 &amp; " &amp; " &amp; I5 &amp; "\\" &amp; IF(A5="x","\hline","")</f>
        <v>Sexo &amp; Población &amp; Fuente &amp; N &amp; TB &amp; TE-W &amp; TE-oE &amp; TE-nE\\\hline</v>
      </c>
    </row>
    <row r="6" spans="1:11" x14ac:dyDescent="0.2">
      <c r="B6" t="s">
        <v>68</v>
      </c>
      <c r="C6" s="21" t="s">
        <v>63</v>
      </c>
      <c r="D6" s="21" t="s">
        <v>61</v>
      </c>
      <c r="E6" s="13" t="s">
        <v>72</v>
      </c>
      <c r="F6" s="17">
        <v>15.5</v>
      </c>
      <c r="G6" s="17">
        <v>13.9</v>
      </c>
      <c r="H6" s="18"/>
      <c r="I6" s="18"/>
      <c r="K6" s="9" t="str">
        <f t="shared" ref="K6:K14" si="0" xml:space="preserve"> B6 &amp; " &amp; " &amp; C6 &amp; " &amp; " &amp; D6 &amp; " &amp; " &amp; E6 &amp; " &amp; " &amp; F6 &amp; " &amp; " &amp; G6 &amp; " &amp; " &amp; H6 &amp; " &amp; " &amp; I6 &amp; "\\" &amp; IF(A6="x","\hline","")</f>
        <v>\multirow{3}{*}{Hombres} &amp; Mundo &amp; GCO \cite{GCO} &amp; 596.574 &amp; 15,5 &amp; 13,9 &amp;  &amp; \\</v>
      </c>
    </row>
    <row r="7" spans="1:11" ht="17" x14ac:dyDescent="0.2">
      <c r="B7" s="12"/>
      <c r="C7" s="21" t="s">
        <v>67</v>
      </c>
      <c r="D7" s="22" t="s">
        <v>62</v>
      </c>
      <c r="E7" s="23" t="s">
        <v>73</v>
      </c>
      <c r="F7" s="27">
        <v>15.5</v>
      </c>
      <c r="G7" s="28" t="s">
        <v>85</v>
      </c>
      <c r="H7" s="29">
        <v>11.7</v>
      </c>
      <c r="I7" s="29">
        <v>17.7</v>
      </c>
      <c r="K7" s="9" t="str">
        <f t="shared" si="0"/>
        <v xml:space="preserve"> &amp; Europa &amp; ECIS \cite{ECIS} &amp; 55.825 &amp; 15,5 &amp; 8,0 &amp; 11,7 &amp; 17,7\\</v>
      </c>
    </row>
    <row r="8" spans="1:11" ht="17" x14ac:dyDescent="0.2">
      <c r="A8" t="s">
        <v>23</v>
      </c>
      <c r="B8" s="12"/>
      <c r="C8" s="21" t="s">
        <v>60</v>
      </c>
      <c r="D8" s="22" t="s">
        <v>62</v>
      </c>
      <c r="E8" s="15" t="s">
        <v>74</v>
      </c>
      <c r="F8" s="20">
        <v>21.9</v>
      </c>
      <c r="G8" s="17">
        <v>10.9</v>
      </c>
      <c r="H8" s="18">
        <v>15.7</v>
      </c>
      <c r="I8" s="18">
        <v>22.5</v>
      </c>
      <c r="K8" s="9" t="str">
        <f t="shared" si="0"/>
        <v xml:space="preserve"> &amp; España &amp; ECIS \cite{ECIS} &amp; 4.976 &amp; 21,9 &amp; 10,9 &amp; 15,7 &amp; 22,5\\\hline</v>
      </c>
    </row>
    <row r="9" spans="1:11" x14ac:dyDescent="0.2">
      <c r="B9" t="s">
        <v>69</v>
      </c>
      <c r="C9" s="21" t="s">
        <v>63</v>
      </c>
      <c r="D9" s="21" t="s">
        <v>61</v>
      </c>
      <c r="E9" s="16" t="s">
        <v>75</v>
      </c>
      <c r="F9" s="18">
        <v>6.5</v>
      </c>
      <c r="G9" s="18">
        <v>4.9000000000000004</v>
      </c>
      <c r="H9" s="18"/>
      <c r="I9" s="18"/>
      <c r="K9" s="9" t="str">
        <f t="shared" si="0"/>
        <v>\multirow{3}{*}{Mujeres} &amp; Mundo &amp; GCO \cite{GCO} &amp; 244.506 &amp; 6,5 &amp; 4,9 &amp;  &amp; \\</v>
      </c>
    </row>
    <row r="10" spans="1:11" x14ac:dyDescent="0.2">
      <c r="C10" s="21" t="s">
        <v>67</v>
      </c>
      <c r="D10" s="22" t="s">
        <v>62</v>
      </c>
      <c r="E10" s="24" t="s">
        <v>76</v>
      </c>
      <c r="F10" s="29">
        <v>6.9</v>
      </c>
      <c r="G10" s="29">
        <v>2.7</v>
      </c>
      <c r="H10" s="29" t="s">
        <v>83</v>
      </c>
      <c r="I10" s="29">
        <v>6.3</v>
      </c>
      <c r="K10" s="9" t="str">
        <f t="shared" si="0"/>
        <v xml:space="preserve"> &amp; Europa &amp; ECIS \cite{ECIS} &amp; 26.641 &amp; 6,9 &amp; 2,7 &amp; 4,0 &amp; 6,3\\</v>
      </c>
    </row>
    <row r="11" spans="1:11" x14ac:dyDescent="0.2">
      <c r="A11" t="s">
        <v>23</v>
      </c>
      <c r="C11" s="21" t="s">
        <v>60</v>
      </c>
      <c r="D11" s="22" t="s">
        <v>62</v>
      </c>
      <c r="E11" s="25" t="s">
        <v>77</v>
      </c>
      <c r="F11" s="18" t="s">
        <v>81</v>
      </c>
      <c r="G11" s="18">
        <v>2.4</v>
      </c>
      <c r="H11" s="18">
        <v>3.6</v>
      </c>
      <c r="I11" s="18" t="s">
        <v>84</v>
      </c>
      <c r="K11" s="9" t="str">
        <f t="shared" si="0"/>
        <v xml:space="preserve"> &amp; España &amp; ECIS \cite{ECIS} &amp; 1.654 &amp; 7,0 &amp; 2,4 &amp; 3,6 &amp; 6,0\\\hline</v>
      </c>
    </row>
    <row r="12" spans="1:11" x14ac:dyDescent="0.2">
      <c r="B12" t="s">
        <v>70</v>
      </c>
      <c r="C12" s="21" t="s">
        <v>63</v>
      </c>
      <c r="D12" s="21" t="s">
        <v>61</v>
      </c>
      <c r="E12" s="16" t="s">
        <v>78</v>
      </c>
      <c r="F12" s="18" t="s">
        <v>82</v>
      </c>
      <c r="G12" s="18">
        <v>9.3000000000000007</v>
      </c>
      <c r="H12" s="18"/>
      <c r="I12" s="18"/>
      <c r="K12" s="9" t="str">
        <f t="shared" si="0"/>
        <v>\multirow{3}{*}{\begin{tabular}[c]{@{}c@{}}Ambos\\sexos\end{tabular}} &amp; Mundo &amp; GCO \cite{GCO} &amp; 841.080 &amp; 11,0 &amp; 9,3 &amp;  &amp; \\</v>
      </c>
    </row>
    <row r="13" spans="1:11" x14ac:dyDescent="0.2">
      <c r="C13" s="21" t="s">
        <v>67</v>
      </c>
      <c r="D13" s="22" t="s">
        <v>62</v>
      </c>
      <c r="E13" s="26" t="s">
        <v>79</v>
      </c>
      <c r="F13" s="29">
        <v>11.1</v>
      </c>
      <c r="G13" s="29">
        <v>5.0999999999999996</v>
      </c>
      <c r="H13" s="29">
        <v>7.4</v>
      </c>
      <c r="I13" s="29">
        <v>11.3</v>
      </c>
      <c r="K13" s="9" t="str">
        <f t="shared" si="0"/>
        <v xml:space="preserve"> &amp; Europa &amp; ECIS \cite{ECIS} &amp; 82.466 &amp; 11,1 &amp; 5,1 &amp; 7,4 &amp; 11,3\\</v>
      </c>
    </row>
    <row r="14" spans="1:11" x14ac:dyDescent="0.2">
      <c r="A14" t="s">
        <v>23</v>
      </c>
      <c r="C14" s="21" t="s">
        <v>60</v>
      </c>
      <c r="D14" s="22" t="s">
        <v>62</v>
      </c>
      <c r="E14" s="16" t="s">
        <v>80</v>
      </c>
      <c r="F14" s="18">
        <v>14.3</v>
      </c>
      <c r="G14" s="18">
        <v>6.5</v>
      </c>
      <c r="H14" s="18">
        <v>9.3000000000000007</v>
      </c>
      <c r="I14" s="18">
        <v>13.6</v>
      </c>
      <c r="K14" s="9" t="str">
        <f t="shared" si="0"/>
        <v xml:space="preserve"> &amp; España &amp; ECIS \cite{ECIS} &amp; 6.630 &amp; 14,3 &amp; 6,5 &amp; 9,3 &amp; 13,6\\\hline</v>
      </c>
    </row>
    <row r="20" spans="2:6" x14ac:dyDescent="0.2">
      <c r="B20" t="s">
        <v>49</v>
      </c>
      <c r="C20" t="s">
        <v>50</v>
      </c>
    </row>
    <row r="21" spans="2:6" x14ac:dyDescent="0.2">
      <c r="B21" s="13">
        <v>596574</v>
      </c>
      <c r="C21" s="11"/>
      <c r="D21" s="11">
        <f>QUOTIENT(B21,1000)</f>
        <v>596</v>
      </c>
      <c r="E21" s="11" t="str">
        <f>MID(B21,LEN(B21)-2,3)</f>
        <v>574</v>
      </c>
      <c r="F21" t="str">
        <f t="shared" ref="F21:F29" si="1">IF(C21&lt;&gt;"",C21&amp;"."&amp;D21&amp;"."&amp;E21,D21&amp;"."&amp;E21)</f>
        <v>596.574</v>
      </c>
    </row>
    <row r="22" spans="2:6" x14ac:dyDescent="0.2">
      <c r="B22" s="23">
        <v>55825</v>
      </c>
      <c r="C22" s="11"/>
      <c r="D22" s="11">
        <f t="shared" ref="D22:D29" si="2">QUOTIENT(B22,1000)</f>
        <v>55</v>
      </c>
      <c r="E22" s="11" t="str">
        <f t="shared" ref="E22:E29" si="3">MID(B22,LEN(B22)-2,3)</f>
        <v>825</v>
      </c>
      <c r="F22" t="str">
        <f t="shared" si="1"/>
        <v>55.825</v>
      </c>
    </row>
    <row r="23" spans="2:6" x14ac:dyDescent="0.2">
      <c r="B23" s="15">
        <v>4976</v>
      </c>
      <c r="C23" s="11"/>
      <c r="D23" s="11">
        <f t="shared" si="2"/>
        <v>4</v>
      </c>
      <c r="E23" s="11" t="str">
        <f t="shared" si="3"/>
        <v>976</v>
      </c>
      <c r="F23" t="str">
        <f t="shared" si="1"/>
        <v>4.976</v>
      </c>
    </row>
    <row r="24" spans="2:6" x14ac:dyDescent="0.2">
      <c r="B24" s="16">
        <v>244506</v>
      </c>
      <c r="C24" s="11"/>
      <c r="D24" s="11">
        <f t="shared" si="2"/>
        <v>244</v>
      </c>
      <c r="E24" s="11" t="str">
        <f t="shared" si="3"/>
        <v>506</v>
      </c>
      <c r="F24" t="str">
        <f t="shared" si="1"/>
        <v>244.506</v>
      </c>
    </row>
    <row r="25" spans="2:6" x14ac:dyDescent="0.2">
      <c r="B25" s="24">
        <v>26641</v>
      </c>
      <c r="C25" s="11"/>
      <c r="D25" s="11">
        <f t="shared" si="2"/>
        <v>26</v>
      </c>
      <c r="E25" s="11" t="str">
        <f t="shared" si="3"/>
        <v>641</v>
      </c>
      <c r="F25" t="str">
        <f t="shared" si="1"/>
        <v>26.641</v>
      </c>
    </row>
    <row r="26" spans="2:6" x14ac:dyDescent="0.2">
      <c r="B26" s="25">
        <v>1654</v>
      </c>
      <c r="C26" s="11"/>
      <c r="D26" s="11">
        <f t="shared" si="2"/>
        <v>1</v>
      </c>
      <c r="E26" s="11" t="str">
        <f t="shared" si="3"/>
        <v>654</v>
      </c>
      <c r="F26" t="str">
        <f t="shared" si="1"/>
        <v>1.654</v>
      </c>
    </row>
    <row r="27" spans="2:6" x14ac:dyDescent="0.2">
      <c r="B27" s="16">
        <v>841080</v>
      </c>
      <c r="C27" s="11"/>
      <c r="D27" s="11">
        <f t="shared" si="2"/>
        <v>841</v>
      </c>
      <c r="E27" s="11" t="str">
        <f t="shared" si="3"/>
        <v>080</v>
      </c>
      <c r="F27" t="str">
        <f t="shared" si="1"/>
        <v>841.080</v>
      </c>
    </row>
    <row r="28" spans="2:6" x14ac:dyDescent="0.2">
      <c r="B28" s="26">
        <v>82466</v>
      </c>
      <c r="C28" s="11"/>
      <c r="D28" s="11">
        <f t="shared" si="2"/>
        <v>82</v>
      </c>
      <c r="E28" s="11" t="str">
        <f t="shared" si="3"/>
        <v>466</v>
      </c>
      <c r="F28" t="str">
        <f t="shared" si="1"/>
        <v>82.466</v>
      </c>
    </row>
    <row r="29" spans="2:6" x14ac:dyDescent="0.2">
      <c r="B29" s="16">
        <v>6630</v>
      </c>
      <c r="C29" s="11"/>
      <c r="D29" s="11">
        <f t="shared" si="2"/>
        <v>6</v>
      </c>
      <c r="E29" s="11" t="str">
        <f t="shared" si="3"/>
        <v>630</v>
      </c>
      <c r="F29" t="str">
        <f t="shared" si="1"/>
        <v>6.630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1CEAA-B4E5-F047-9D57-12CB0B49B3E2}">
  <dimension ref="B2:D5"/>
  <sheetViews>
    <sheetView workbookViewId="0">
      <selection activeCell="G15" sqref="G15"/>
    </sheetView>
  </sheetViews>
  <sheetFormatPr baseColWidth="10" defaultRowHeight="16" x14ac:dyDescent="0.2"/>
  <sheetData>
    <row r="2" spans="2:4" x14ac:dyDescent="0.2">
      <c r="C2" t="s">
        <v>362</v>
      </c>
      <c r="D2" t="s">
        <v>363</v>
      </c>
    </row>
    <row r="3" spans="2:4" x14ac:dyDescent="0.2">
      <c r="B3" t="s">
        <v>364</v>
      </c>
      <c r="C3">
        <v>0.05</v>
      </c>
      <c r="D3">
        <v>0.06</v>
      </c>
    </row>
    <row r="4" spans="2:4" x14ac:dyDescent="0.2">
      <c r="B4" t="s">
        <v>365</v>
      </c>
      <c r="C4">
        <v>0.05</v>
      </c>
      <c r="D4">
        <v>7.0000000000000007E-2</v>
      </c>
    </row>
    <row r="5" spans="2:4" x14ac:dyDescent="0.2">
      <c r="B5" t="s">
        <v>366</v>
      </c>
      <c r="C5">
        <v>0.05</v>
      </c>
      <c r="D5">
        <v>0.06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09184-1487-C445-8833-D6CA226ED2E8}">
  <dimension ref="B3:D4"/>
  <sheetViews>
    <sheetView workbookViewId="0">
      <selection activeCell="G15" sqref="G15"/>
    </sheetView>
  </sheetViews>
  <sheetFormatPr baseColWidth="10" defaultRowHeight="16" x14ac:dyDescent="0.2"/>
  <sheetData>
    <row r="3" spans="2:4" x14ac:dyDescent="0.2">
      <c r="B3" t="s">
        <v>364</v>
      </c>
      <c r="C3" t="s">
        <v>365</v>
      </c>
      <c r="D3" t="s">
        <v>366</v>
      </c>
    </row>
    <row r="4" spans="2:4" x14ac:dyDescent="0.2">
      <c r="B4">
        <v>23</v>
      </c>
      <c r="C4">
        <v>23</v>
      </c>
      <c r="D4">
        <v>23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6B19E-BE00-1B42-9F12-105EB61CEDCC}">
  <dimension ref="B2:H7"/>
  <sheetViews>
    <sheetView workbookViewId="0">
      <selection activeCell="G15" sqref="G15"/>
    </sheetView>
  </sheetViews>
  <sheetFormatPr baseColWidth="10" defaultRowHeight="16" x14ac:dyDescent="0.2"/>
  <cols>
    <col min="3" max="3" width="13.6640625" bestFit="1" customWidth="1"/>
  </cols>
  <sheetData>
    <row r="2" spans="2:8" ht="17" thickBot="1" x14ac:dyDescent="0.25"/>
    <row r="3" spans="2:8" ht="18" thickBot="1" x14ac:dyDescent="0.25">
      <c r="B3" s="64"/>
      <c r="C3" s="65" t="s">
        <v>324</v>
      </c>
      <c r="D3" s="66" t="s">
        <v>300</v>
      </c>
      <c r="E3" s="66" t="s">
        <v>327</v>
      </c>
      <c r="F3" s="67" t="s">
        <v>328</v>
      </c>
      <c r="G3" s="68" t="s">
        <v>329</v>
      </c>
      <c r="H3" s="69" t="s">
        <v>330</v>
      </c>
    </row>
    <row r="4" spans="2:8" ht="51" x14ac:dyDescent="0.2">
      <c r="B4" s="131" t="s">
        <v>301</v>
      </c>
      <c r="C4" s="113" t="s">
        <v>405</v>
      </c>
      <c r="D4" s="72" t="s">
        <v>407</v>
      </c>
      <c r="E4" s="114">
        <v>100</v>
      </c>
      <c r="F4" s="115">
        <v>100</v>
      </c>
      <c r="G4" s="116">
        <v>100</v>
      </c>
      <c r="H4" s="117">
        <v>100</v>
      </c>
    </row>
    <row r="5" spans="2:8" ht="51" x14ac:dyDescent="0.2">
      <c r="B5" s="132"/>
      <c r="C5" s="71" t="s">
        <v>406</v>
      </c>
      <c r="D5" s="72" t="s">
        <v>408</v>
      </c>
      <c r="E5" s="104">
        <v>100</v>
      </c>
      <c r="F5" s="105">
        <v>100</v>
      </c>
      <c r="G5" s="106">
        <v>100</v>
      </c>
      <c r="H5" s="107">
        <v>100</v>
      </c>
    </row>
    <row r="6" spans="2:8" x14ac:dyDescent="0.2">
      <c r="B6" s="76" t="s">
        <v>277</v>
      </c>
      <c r="C6" s="77" t="s">
        <v>410</v>
      </c>
      <c r="D6" s="78" t="s">
        <v>304</v>
      </c>
      <c r="E6" s="16">
        <v>100</v>
      </c>
      <c r="F6" s="92">
        <v>100</v>
      </c>
      <c r="G6" s="93" t="s">
        <v>404</v>
      </c>
      <c r="H6" s="94">
        <v>100</v>
      </c>
    </row>
    <row r="7" spans="2:8" ht="17" thickBot="1" x14ac:dyDescent="0.25">
      <c r="B7" s="83" t="s">
        <v>305</v>
      </c>
      <c r="C7" s="84" t="s">
        <v>406</v>
      </c>
      <c r="D7" s="85" t="s">
        <v>409</v>
      </c>
      <c r="E7" s="85">
        <v>100</v>
      </c>
      <c r="F7" s="86">
        <v>100</v>
      </c>
      <c r="G7" s="71">
        <v>100</v>
      </c>
      <c r="H7" s="75">
        <v>100</v>
      </c>
    </row>
  </sheetData>
  <mergeCells count="1">
    <mergeCell ref="B4:B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3E755-F734-BD4B-A6B4-444810D2445C}">
  <dimension ref="C2:G9"/>
  <sheetViews>
    <sheetView workbookViewId="0">
      <selection activeCell="C4" sqref="C4:E7"/>
    </sheetView>
  </sheetViews>
  <sheetFormatPr baseColWidth="10" defaultRowHeight="16" x14ac:dyDescent="0.2"/>
  <cols>
    <col min="3" max="3" width="23.5" bestFit="1" customWidth="1"/>
  </cols>
  <sheetData>
    <row r="2" spans="3:7" x14ac:dyDescent="0.2">
      <c r="C2" s="103"/>
      <c r="D2" s="103"/>
      <c r="E2" s="103"/>
    </row>
    <row r="3" spans="3:7" x14ac:dyDescent="0.2">
      <c r="C3" s="103"/>
      <c r="D3" s="110" t="s">
        <v>47</v>
      </c>
      <c r="E3" s="110" t="s">
        <v>209</v>
      </c>
    </row>
    <row r="4" spans="3:7" x14ac:dyDescent="0.2">
      <c r="C4" s="111" t="s">
        <v>413</v>
      </c>
      <c r="D4" s="97">
        <v>530</v>
      </c>
      <c r="E4" s="112">
        <v>0.79300000000000004</v>
      </c>
      <c r="G4" s="121"/>
    </row>
    <row r="5" spans="3:7" x14ac:dyDescent="0.2">
      <c r="C5" s="111" t="s">
        <v>414</v>
      </c>
      <c r="D5" s="97">
        <v>87</v>
      </c>
      <c r="E5" s="112">
        <v>0.13</v>
      </c>
      <c r="G5" s="121"/>
    </row>
    <row r="6" spans="3:7" x14ac:dyDescent="0.2">
      <c r="C6" s="111" t="s">
        <v>416</v>
      </c>
      <c r="D6" s="97">
        <v>51</v>
      </c>
      <c r="E6" s="112">
        <v>7.5999999999999998E-2</v>
      </c>
      <c r="G6" s="121"/>
    </row>
    <row r="7" spans="3:7" x14ac:dyDescent="0.2">
      <c r="C7" s="111" t="s">
        <v>233</v>
      </c>
      <c r="D7" s="97">
        <f>SUM(D4:D6)</f>
        <v>668</v>
      </c>
      <c r="E7" s="112">
        <v>1</v>
      </c>
    </row>
    <row r="8" spans="3:7" x14ac:dyDescent="0.2">
      <c r="C8" s="103"/>
      <c r="D8" s="103"/>
      <c r="E8" s="103"/>
    </row>
    <row r="9" spans="3:7" x14ac:dyDescent="0.2">
      <c r="C9" s="103"/>
      <c r="D9" s="103"/>
      <c r="E9" s="103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5F2B9-003E-5A4E-87A8-53335CFC6873}">
  <dimension ref="D3:I20"/>
  <sheetViews>
    <sheetView topLeftCell="B1" workbookViewId="0">
      <selection activeCell="G20" sqref="D15:G20"/>
    </sheetView>
  </sheetViews>
  <sheetFormatPr baseColWidth="10" defaultRowHeight="16" x14ac:dyDescent="0.2"/>
  <cols>
    <col min="4" max="4" width="21.83203125" bestFit="1" customWidth="1"/>
    <col min="5" max="8" width="18.83203125" customWidth="1"/>
  </cols>
  <sheetData>
    <row r="3" spans="4:9" x14ac:dyDescent="0.2">
      <c r="D3" s="96"/>
      <c r="E3" s="96" t="s">
        <v>233</v>
      </c>
      <c r="F3" s="96" t="s">
        <v>285</v>
      </c>
      <c r="G3" s="96"/>
      <c r="H3" s="96" t="s">
        <v>286</v>
      </c>
    </row>
    <row r="4" spans="4:9" x14ac:dyDescent="0.2">
      <c r="D4" s="34" t="s">
        <v>413</v>
      </c>
      <c r="E4" s="55">
        <v>530</v>
      </c>
      <c r="F4" s="99">
        <v>398</v>
      </c>
      <c r="G4" s="102">
        <f>F4/E4</f>
        <v>0.75094339622641515</v>
      </c>
      <c r="H4" s="99">
        <f>E4-F4</f>
        <v>132</v>
      </c>
      <c r="I4" s="102">
        <f>H4/E4</f>
        <v>0.24905660377358491</v>
      </c>
    </row>
    <row r="5" spans="4:9" ht="34" x14ac:dyDescent="0.2">
      <c r="D5" s="122" t="s">
        <v>417</v>
      </c>
      <c r="E5" s="55">
        <v>87</v>
      </c>
      <c r="F5" s="99">
        <v>66</v>
      </c>
      <c r="G5" s="102">
        <f t="shared" ref="G5:G6" si="0">F5/E5</f>
        <v>0.75862068965517238</v>
      </c>
      <c r="H5" s="99">
        <f t="shared" ref="H5:H6" si="1">E5-F5</f>
        <v>21</v>
      </c>
      <c r="I5" s="102">
        <f t="shared" ref="I5:I6" si="2">H5/E5</f>
        <v>0.2413793103448276</v>
      </c>
    </row>
    <row r="6" spans="4:9" x14ac:dyDescent="0.2">
      <c r="D6" s="34" t="s">
        <v>281</v>
      </c>
      <c r="E6" s="55">
        <v>51</v>
      </c>
      <c r="F6" s="99">
        <v>39</v>
      </c>
      <c r="G6" s="102">
        <f t="shared" si="0"/>
        <v>0.76470588235294112</v>
      </c>
      <c r="H6" s="99">
        <f t="shared" si="1"/>
        <v>12</v>
      </c>
      <c r="I6" s="102">
        <f t="shared" si="2"/>
        <v>0.23529411764705882</v>
      </c>
    </row>
    <row r="7" spans="4:9" ht="34" x14ac:dyDescent="0.2">
      <c r="D7" s="98" t="s">
        <v>336</v>
      </c>
      <c r="E7" s="100">
        <f>E4/E6</f>
        <v>10.392156862745098</v>
      </c>
      <c r="F7" s="100">
        <f t="shared" ref="F7:H7" si="3">F4/F6</f>
        <v>10.205128205128204</v>
      </c>
      <c r="G7" s="100"/>
      <c r="H7" s="100">
        <f t="shared" si="3"/>
        <v>11</v>
      </c>
    </row>
    <row r="8" spans="4:9" ht="34" x14ac:dyDescent="0.2">
      <c r="D8" s="98" t="s">
        <v>335</v>
      </c>
      <c r="E8" s="101">
        <f>E5/E6</f>
        <v>1.7058823529411764</v>
      </c>
      <c r="F8" s="101">
        <f t="shared" ref="F8:H8" si="4">F5/F6</f>
        <v>1.6923076923076923</v>
      </c>
      <c r="G8" s="101"/>
      <c r="H8" s="101">
        <f t="shared" si="4"/>
        <v>1.75</v>
      </c>
    </row>
    <row r="9" spans="4:9" x14ac:dyDescent="0.2">
      <c r="E9" s="118"/>
      <c r="F9" s="118"/>
      <c r="G9" s="118"/>
      <c r="H9" s="118"/>
    </row>
    <row r="10" spans="4:9" x14ac:dyDescent="0.2">
      <c r="E10" s="118"/>
      <c r="F10" s="118"/>
      <c r="G10" s="118"/>
      <c r="H10" s="118"/>
    </row>
    <row r="11" spans="4:9" x14ac:dyDescent="0.2">
      <c r="E11" s="118"/>
      <c r="F11" s="118"/>
      <c r="G11" s="118"/>
      <c r="H11" s="118"/>
    </row>
    <row r="12" spans="4:9" x14ac:dyDescent="0.2">
      <c r="E12" s="118"/>
      <c r="F12" s="118"/>
      <c r="G12" s="118"/>
      <c r="H12" s="118"/>
    </row>
    <row r="13" spans="4:9" x14ac:dyDescent="0.2">
      <c r="E13" s="118"/>
      <c r="F13" s="118"/>
      <c r="G13" s="118"/>
      <c r="H13" s="118"/>
    </row>
    <row r="14" spans="4:9" x14ac:dyDescent="0.2">
      <c r="E14" s="118"/>
      <c r="F14" s="118"/>
      <c r="G14" s="118"/>
      <c r="H14" s="118"/>
    </row>
    <row r="15" spans="4:9" x14ac:dyDescent="0.2">
      <c r="D15" s="96"/>
      <c r="E15" s="96" t="s">
        <v>233</v>
      </c>
      <c r="F15" s="96" t="s">
        <v>285</v>
      </c>
      <c r="G15" s="96" t="s">
        <v>286</v>
      </c>
    </row>
    <row r="16" spans="4:9" x14ac:dyDescent="0.2">
      <c r="D16" s="34" t="s">
        <v>413</v>
      </c>
      <c r="E16" s="118" t="s">
        <v>418</v>
      </c>
      <c r="F16" s="97" t="s">
        <v>420</v>
      </c>
      <c r="G16" s="97" t="s">
        <v>422</v>
      </c>
    </row>
    <row r="17" spans="4:7" ht="34" x14ac:dyDescent="0.2">
      <c r="D17" s="122" t="s">
        <v>417</v>
      </c>
      <c r="E17" s="118" t="s">
        <v>419</v>
      </c>
      <c r="F17" s="97" t="s">
        <v>421</v>
      </c>
      <c r="G17" s="97" t="s">
        <v>423</v>
      </c>
    </row>
    <row r="18" spans="4:7" x14ac:dyDescent="0.2">
      <c r="D18" s="34" t="s">
        <v>281</v>
      </c>
      <c r="E18" s="118" t="s">
        <v>370</v>
      </c>
      <c r="F18" s="97" t="s">
        <v>372</v>
      </c>
      <c r="G18" s="97" t="s">
        <v>374</v>
      </c>
    </row>
    <row r="19" spans="4:7" ht="34" x14ac:dyDescent="0.2">
      <c r="D19" s="98" t="s">
        <v>424</v>
      </c>
      <c r="E19" s="97">
        <v>10.4</v>
      </c>
      <c r="F19" s="97">
        <v>10.199999999999999</v>
      </c>
      <c r="G19" s="100">
        <v>11</v>
      </c>
    </row>
    <row r="20" spans="4:7" ht="34" x14ac:dyDescent="0.2">
      <c r="D20" s="98" t="s">
        <v>425</v>
      </c>
      <c r="E20" s="118">
        <v>1.7</v>
      </c>
      <c r="F20" s="118">
        <v>1.7</v>
      </c>
      <c r="G20" s="101">
        <v>1.8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12AB4-5FBD-6E4E-8D09-BE8846D343A3}">
  <dimension ref="A3:L29"/>
  <sheetViews>
    <sheetView tabSelected="1" workbookViewId="0">
      <selection activeCell="B18" sqref="B18"/>
    </sheetView>
  </sheetViews>
  <sheetFormatPr baseColWidth="10" defaultRowHeight="16" x14ac:dyDescent="0.2"/>
  <cols>
    <col min="3" max="3" width="32.5" customWidth="1"/>
    <col min="4" max="12" width="5.83203125" customWidth="1"/>
  </cols>
  <sheetData>
    <row r="3" spans="2:12" x14ac:dyDescent="0.2">
      <c r="B3" s="56" t="s">
        <v>279</v>
      </c>
      <c r="C3" s="56" t="s">
        <v>276</v>
      </c>
      <c r="D3" s="56" t="s">
        <v>277</v>
      </c>
      <c r="E3" s="56" t="s">
        <v>278</v>
      </c>
    </row>
    <row r="4" spans="2:12" x14ac:dyDescent="0.2">
      <c r="B4" s="55">
        <v>1</v>
      </c>
      <c r="C4" t="s">
        <v>426</v>
      </c>
      <c r="D4" t="s">
        <v>382</v>
      </c>
      <c r="E4" t="s">
        <v>427</v>
      </c>
    </row>
    <row r="5" spans="2:12" x14ac:dyDescent="0.2">
      <c r="B5" s="55">
        <v>2</v>
      </c>
      <c r="C5" t="s">
        <v>394</v>
      </c>
      <c r="D5" t="s">
        <v>426</v>
      </c>
      <c r="E5" t="s">
        <v>428</v>
      </c>
    </row>
    <row r="6" spans="2:12" x14ac:dyDescent="0.2">
      <c r="B6" s="55">
        <v>3</v>
      </c>
      <c r="C6" t="s">
        <v>429</v>
      </c>
      <c r="D6" t="s">
        <v>429</v>
      </c>
      <c r="E6" t="s">
        <v>430</v>
      </c>
    </row>
    <row r="7" spans="2:12" x14ac:dyDescent="0.2">
      <c r="B7" s="55">
        <v>4</v>
      </c>
      <c r="C7" t="s">
        <v>431</v>
      </c>
      <c r="D7" t="s">
        <v>432</v>
      </c>
      <c r="E7" t="s">
        <v>433</v>
      </c>
    </row>
    <row r="8" spans="2:12" x14ac:dyDescent="0.2">
      <c r="B8" s="55">
        <v>5</v>
      </c>
      <c r="C8" t="s">
        <v>402</v>
      </c>
      <c r="D8" t="s">
        <v>434</v>
      </c>
      <c r="E8" t="s">
        <v>435</v>
      </c>
    </row>
    <row r="9" spans="2:12" x14ac:dyDescent="0.2">
      <c r="B9" s="55">
        <v>6</v>
      </c>
      <c r="C9" t="s">
        <v>436</v>
      </c>
      <c r="D9" t="s">
        <v>379</v>
      </c>
      <c r="E9" t="s">
        <v>348</v>
      </c>
    </row>
    <row r="10" spans="2:12" x14ac:dyDescent="0.2">
      <c r="B10" s="55">
        <v>7</v>
      </c>
      <c r="C10" t="s">
        <v>437</v>
      </c>
      <c r="D10" t="s">
        <v>438</v>
      </c>
      <c r="E10" t="s">
        <v>395</v>
      </c>
    </row>
    <row r="11" spans="2:12" x14ac:dyDescent="0.2">
      <c r="B11" s="55">
        <v>8</v>
      </c>
      <c r="C11" t="s">
        <v>388</v>
      </c>
      <c r="D11" t="s">
        <v>394</v>
      </c>
      <c r="E11" t="s">
        <v>350</v>
      </c>
    </row>
    <row r="12" spans="2:12" x14ac:dyDescent="0.2">
      <c r="B12" s="55">
        <v>9</v>
      </c>
      <c r="C12" t="s">
        <v>439</v>
      </c>
      <c r="D12" t="s">
        <v>440</v>
      </c>
      <c r="E12" t="s">
        <v>353</v>
      </c>
    </row>
    <row r="13" spans="2:12" x14ac:dyDescent="0.2">
      <c r="B13" s="57">
        <v>10</v>
      </c>
      <c r="C13" t="s">
        <v>441</v>
      </c>
      <c r="D13" t="s">
        <v>401</v>
      </c>
      <c r="E13" t="s">
        <v>442</v>
      </c>
    </row>
    <row r="16" spans="2:12" x14ac:dyDescent="0.2">
      <c r="C16" t="s">
        <v>469</v>
      </c>
      <c r="D16" t="s">
        <v>470</v>
      </c>
      <c r="E16" t="s">
        <v>466</v>
      </c>
      <c r="F16" t="s">
        <v>471</v>
      </c>
      <c r="G16" t="s">
        <v>472</v>
      </c>
      <c r="H16" t="s">
        <v>463</v>
      </c>
      <c r="I16" t="s">
        <v>473</v>
      </c>
      <c r="J16" t="s">
        <v>474</v>
      </c>
      <c r="K16" t="s">
        <v>475</v>
      </c>
      <c r="L16" t="s">
        <v>476</v>
      </c>
    </row>
    <row r="17" spans="1:8" x14ac:dyDescent="0.2">
      <c r="A17" t="s">
        <v>365</v>
      </c>
      <c r="B17" t="s">
        <v>382</v>
      </c>
    </row>
    <row r="18" spans="1:8" x14ac:dyDescent="0.2">
      <c r="B18" t="s">
        <v>426</v>
      </c>
      <c r="H18" t="s">
        <v>482</v>
      </c>
    </row>
    <row r="19" spans="1:8" x14ac:dyDescent="0.2">
      <c r="B19" t="s">
        <v>429</v>
      </c>
      <c r="E19" t="s">
        <v>483</v>
      </c>
    </row>
    <row r="21" spans="1:8" x14ac:dyDescent="0.2">
      <c r="A21" t="s">
        <v>480</v>
      </c>
      <c r="B21" t="s">
        <v>426</v>
      </c>
      <c r="C21" t="s">
        <v>481</v>
      </c>
    </row>
    <row r="22" spans="1:8" x14ac:dyDescent="0.2">
      <c r="B22" t="s">
        <v>394</v>
      </c>
    </row>
    <row r="23" spans="1:8" x14ac:dyDescent="0.2">
      <c r="B23" t="s">
        <v>429</v>
      </c>
      <c r="C23" t="s">
        <v>481</v>
      </c>
    </row>
    <row r="24" spans="1:8" x14ac:dyDescent="0.2">
      <c r="B24" t="s">
        <v>431</v>
      </c>
    </row>
    <row r="25" spans="1:8" x14ac:dyDescent="0.2">
      <c r="B25" t="s">
        <v>402</v>
      </c>
      <c r="C25" t="s">
        <v>484</v>
      </c>
    </row>
    <row r="26" spans="1:8" x14ac:dyDescent="0.2">
      <c r="B26" t="s">
        <v>436</v>
      </c>
    </row>
    <row r="27" spans="1:8" x14ac:dyDescent="0.2">
      <c r="B27" t="s">
        <v>437</v>
      </c>
      <c r="G27" t="s">
        <v>485</v>
      </c>
    </row>
    <row r="28" spans="1:8" x14ac:dyDescent="0.2">
      <c r="B28" t="s">
        <v>388</v>
      </c>
    </row>
    <row r="29" spans="1:8" x14ac:dyDescent="0.2">
      <c r="B29" t="s">
        <v>439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1FD23-BDD5-C343-A786-3C7DDA226451}">
  <dimension ref="B2:D5"/>
  <sheetViews>
    <sheetView workbookViewId="0">
      <selection activeCell="C3" sqref="C3"/>
    </sheetView>
  </sheetViews>
  <sheetFormatPr baseColWidth="10" defaultRowHeight="16" x14ac:dyDescent="0.2"/>
  <sheetData>
    <row r="2" spans="2:4" x14ac:dyDescent="0.2">
      <c r="C2" t="s">
        <v>362</v>
      </c>
      <c r="D2" t="s">
        <v>363</v>
      </c>
    </row>
    <row r="3" spans="2:4" x14ac:dyDescent="0.2">
      <c r="B3" t="s">
        <v>364</v>
      </c>
      <c r="C3">
        <v>0.5</v>
      </c>
      <c r="D3">
        <v>0.1</v>
      </c>
    </row>
    <row r="4" spans="2:4" x14ac:dyDescent="0.2">
      <c r="B4" t="s">
        <v>365</v>
      </c>
      <c r="C4">
        <v>5</v>
      </c>
      <c r="D4">
        <v>7.0000000000000007E-2</v>
      </c>
    </row>
    <row r="5" spans="2:4" x14ac:dyDescent="0.2">
      <c r="B5" t="s">
        <v>366</v>
      </c>
      <c r="C5">
        <v>2</v>
      </c>
      <c r="D5">
        <v>0.08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BFE4A-EE13-EF42-9710-5698F459F418}">
  <dimension ref="B3:D4"/>
  <sheetViews>
    <sheetView workbookViewId="0">
      <selection activeCell="B5" sqref="B5"/>
    </sheetView>
  </sheetViews>
  <sheetFormatPr baseColWidth="10" defaultRowHeight="16" x14ac:dyDescent="0.2"/>
  <sheetData>
    <row r="3" spans="2:4" x14ac:dyDescent="0.2">
      <c r="B3" t="s">
        <v>364</v>
      </c>
      <c r="C3" t="s">
        <v>365</v>
      </c>
      <c r="D3" t="s">
        <v>366</v>
      </c>
    </row>
    <row r="4" spans="2:4" x14ac:dyDescent="0.2">
      <c r="B4">
        <v>19</v>
      </c>
      <c r="C4">
        <v>7</v>
      </c>
      <c r="D4">
        <v>23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B663-5C1A-3E4B-B727-749FBACB3D7B}">
  <dimension ref="B2:H6"/>
  <sheetViews>
    <sheetView workbookViewId="0">
      <selection activeCell="B3" sqref="B3:H6"/>
    </sheetView>
  </sheetViews>
  <sheetFormatPr baseColWidth="10" defaultRowHeight="16" x14ac:dyDescent="0.2"/>
  <cols>
    <col min="3" max="3" width="13.6640625" bestFit="1" customWidth="1"/>
  </cols>
  <sheetData>
    <row r="2" spans="2:8" ht="17" thickBot="1" x14ac:dyDescent="0.25"/>
    <row r="3" spans="2:8" ht="18" thickBot="1" x14ac:dyDescent="0.25">
      <c r="B3" s="64"/>
      <c r="C3" s="65" t="s">
        <v>324</v>
      </c>
      <c r="D3" s="66" t="s">
        <v>300</v>
      </c>
      <c r="E3" s="66" t="s">
        <v>327</v>
      </c>
      <c r="F3" s="67" t="s">
        <v>328</v>
      </c>
      <c r="G3" s="68" t="s">
        <v>329</v>
      </c>
      <c r="H3" s="69" t="s">
        <v>330</v>
      </c>
    </row>
    <row r="4" spans="2:8" ht="51" x14ac:dyDescent="0.2">
      <c r="B4" s="123" t="s">
        <v>301</v>
      </c>
      <c r="C4" s="113" t="s">
        <v>406</v>
      </c>
      <c r="D4" s="72" t="s">
        <v>445</v>
      </c>
      <c r="E4" s="114">
        <v>81.61</v>
      </c>
      <c r="F4" s="115">
        <v>90.25</v>
      </c>
      <c r="G4" s="116">
        <v>80.290000000000006</v>
      </c>
      <c r="H4" s="117">
        <v>87.27</v>
      </c>
    </row>
    <row r="5" spans="2:8" x14ac:dyDescent="0.2">
      <c r="B5" s="76" t="s">
        <v>277</v>
      </c>
      <c r="C5" s="77" t="s">
        <v>444</v>
      </c>
      <c r="D5" s="78" t="s">
        <v>304</v>
      </c>
      <c r="E5" s="104">
        <v>83.38</v>
      </c>
      <c r="F5" s="105">
        <v>90.66</v>
      </c>
      <c r="G5" s="93" t="s">
        <v>443</v>
      </c>
      <c r="H5" s="94">
        <v>84.24</v>
      </c>
    </row>
    <row r="6" spans="2:8" ht="17" thickBot="1" x14ac:dyDescent="0.25">
      <c r="B6" s="83" t="s">
        <v>305</v>
      </c>
      <c r="C6" s="84" t="s">
        <v>406</v>
      </c>
      <c r="D6" s="85" t="s">
        <v>313</v>
      </c>
      <c r="E6" s="85">
        <v>82.46</v>
      </c>
      <c r="F6" s="86">
        <v>90.86</v>
      </c>
      <c r="G6" s="71">
        <v>78.06</v>
      </c>
      <c r="H6" s="75">
        <v>84.85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4B800-09B4-4DE1-893C-A444DE2AF843}">
  <dimension ref="A4:K29"/>
  <sheetViews>
    <sheetView topLeftCell="B1" zoomScale="130" zoomScaleNormal="130" workbookViewId="0">
      <selection activeCell="G5" sqref="G5:I5"/>
    </sheetView>
  </sheetViews>
  <sheetFormatPr baseColWidth="10" defaultRowHeight="16" x14ac:dyDescent="0.2"/>
  <cols>
    <col min="3" max="3" width="13.83203125" bestFit="1" customWidth="1"/>
    <col min="4" max="4" width="13.83203125" customWidth="1"/>
  </cols>
  <sheetData>
    <row r="4" spans="1:11" x14ac:dyDescent="0.2">
      <c r="A4" t="s">
        <v>22</v>
      </c>
    </row>
    <row r="5" spans="1:11" x14ac:dyDescent="0.2">
      <c r="A5" t="s">
        <v>23</v>
      </c>
      <c r="B5" t="s">
        <v>46</v>
      </c>
      <c r="C5" t="s">
        <v>59</v>
      </c>
      <c r="D5" t="s">
        <v>58</v>
      </c>
      <c r="E5" t="s">
        <v>47</v>
      </c>
      <c r="F5" t="s">
        <v>48</v>
      </c>
      <c r="G5" t="s">
        <v>133</v>
      </c>
      <c r="H5" t="s">
        <v>134</v>
      </c>
      <c r="I5" t="s">
        <v>135</v>
      </c>
      <c r="K5" s="9" t="str">
        <f xml:space="preserve"> B5 &amp; " &amp; " &amp; C5 &amp; " &amp; " &amp; D5 &amp; " &amp; " &amp; E5 &amp; " &amp; " &amp; F5 &amp; " &amp; " &amp; G5 &amp; " &amp; " &amp; H5 &amp; " &amp; " &amp; I5 &amp; "\\" &amp; IF(A5="x","\hline","")</f>
        <v>Sexo &amp; Población &amp; Fuente &amp; N &amp; TB &amp; TE-W &amp; TE-oE &amp; TE-nE\\\hline</v>
      </c>
    </row>
    <row r="6" spans="1:11" x14ac:dyDescent="0.2">
      <c r="B6" t="s">
        <v>68</v>
      </c>
      <c r="C6" s="21" t="s">
        <v>63</v>
      </c>
      <c r="D6" s="21" t="s">
        <v>61</v>
      </c>
      <c r="E6" s="17" t="s">
        <v>88</v>
      </c>
      <c r="F6" s="17">
        <v>26.6</v>
      </c>
      <c r="G6" s="17">
        <v>23.6</v>
      </c>
      <c r="H6" s="18"/>
      <c r="I6" s="18"/>
      <c r="K6" s="9" t="str">
        <f t="shared" ref="K6:K14" si="0" xml:space="preserve"> B6 &amp; " &amp; " &amp; C6 &amp; " &amp; " &amp; D6 &amp; " &amp; " &amp; E6 &amp; " &amp; " &amp; F6 &amp; " &amp; " &amp; G6 &amp; " &amp; " &amp; H6 &amp; " &amp; " &amp; I6 &amp; "\\" &amp; IF(A6="x","\hline","")</f>
        <v>\multirow{3}{*}{Hombres} &amp; Mundo &amp; GCO \cite{GCO} &amp; 1.026.215 &amp; 26,6 &amp; 23,6 &amp;  &amp; \\</v>
      </c>
    </row>
    <row r="7" spans="1:11" x14ac:dyDescent="0.2">
      <c r="B7" s="12"/>
      <c r="C7" s="21" t="s">
        <v>67</v>
      </c>
      <c r="D7" s="22" t="s">
        <v>62</v>
      </c>
      <c r="E7" s="19" t="s">
        <v>89</v>
      </c>
      <c r="F7" s="20">
        <v>76.599999999999994</v>
      </c>
      <c r="G7" s="20">
        <v>38.1</v>
      </c>
      <c r="H7" s="20">
        <v>56.8</v>
      </c>
      <c r="I7" s="20">
        <v>88.9</v>
      </c>
      <c r="K7" s="9" t="str">
        <f t="shared" si="0"/>
        <v xml:space="preserve"> &amp; Europa &amp; ECIS \cite{ECIS} &amp; 275.519 &amp; 76,6 &amp; 38,1 &amp; 56,8 &amp; 88,9\\</v>
      </c>
    </row>
    <row r="8" spans="1:11" ht="17" x14ac:dyDescent="0.2">
      <c r="A8" t="s">
        <v>23</v>
      </c>
      <c r="B8" s="12"/>
      <c r="C8" s="21" t="s">
        <v>60</v>
      </c>
      <c r="D8" s="22" t="s">
        <v>62</v>
      </c>
      <c r="E8" s="20" t="s">
        <v>90</v>
      </c>
      <c r="F8" s="20">
        <v>101.10000000000001</v>
      </c>
      <c r="G8" s="20">
        <v>45.800000000000004</v>
      </c>
      <c r="H8" s="20">
        <v>68.5</v>
      </c>
      <c r="I8" s="20">
        <v>107.2</v>
      </c>
      <c r="K8" s="9" t="str">
        <f t="shared" si="0"/>
        <v xml:space="preserve"> &amp; España &amp; ECIS \cite{ECIS} &amp; 23.013 &amp; 101,1 &amp; 45,8 &amp; 68,5 &amp; 107,2\\\hline</v>
      </c>
    </row>
    <row r="9" spans="1:11" x14ac:dyDescent="0.2">
      <c r="B9" t="s">
        <v>69</v>
      </c>
      <c r="C9" s="21" t="s">
        <v>63</v>
      </c>
      <c r="D9" s="21" t="s">
        <v>61</v>
      </c>
      <c r="E9" s="18" t="s">
        <v>91</v>
      </c>
      <c r="F9" s="18">
        <v>21.8</v>
      </c>
      <c r="G9" s="18">
        <v>16.3</v>
      </c>
      <c r="H9" s="18"/>
      <c r="I9" s="18"/>
      <c r="K9" s="9" t="str">
        <f t="shared" si="0"/>
        <v>\multirow{3}{*}{Mujeres} &amp; Mundo &amp; GCO \cite{GCO} &amp; 823.303 &amp; 21,8 &amp; 16,3 &amp;  &amp; \\</v>
      </c>
    </row>
    <row r="10" spans="1:11" ht="17" x14ac:dyDescent="0.2">
      <c r="C10" s="21" t="s">
        <v>67</v>
      </c>
      <c r="D10" s="22" t="s">
        <v>62</v>
      </c>
      <c r="E10" s="20" t="s">
        <v>92</v>
      </c>
      <c r="F10" s="20">
        <v>61.4</v>
      </c>
      <c r="G10" s="20">
        <v>25.2</v>
      </c>
      <c r="H10" s="20" t="s">
        <v>86</v>
      </c>
      <c r="I10" s="20">
        <v>56.3</v>
      </c>
      <c r="K10" s="9" t="str">
        <f t="shared" si="0"/>
        <v xml:space="preserve"> &amp; Europa &amp; ECIS \cite{ECIS} &amp; 236.101 &amp; 61,4 &amp; 25,2 &amp; 37,0 &amp; 56,3\\</v>
      </c>
    </row>
    <row r="11" spans="1:11" ht="17" x14ac:dyDescent="0.2">
      <c r="A11" t="s">
        <v>23</v>
      </c>
      <c r="C11" s="21" t="s">
        <v>60</v>
      </c>
      <c r="D11" s="22" t="s">
        <v>62</v>
      </c>
      <c r="E11" s="20" t="s">
        <v>93</v>
      </c>
      <c r="F11" s="20">
        <v>61.9</v>
      </c>
      <c r="G11" s="20">
        <v>23.6</v>
      </c>
      <c r="H11" s="20">
        <v>34.9</v>
      </c>
      <c r="I11" s="20">
        <v>53.5</v>
      </c>
      <c r="K11" s="9" t="str">
        <f t="shared" si="0"/>
        <v xml:space="preserve"> &amp; España &amp; ECIS \cite{ECIS} &amp; 14.642 &amp; 61,9 &amp; 23,6 &amp; 34,9 &amp; 53,5\\\hline</v>
      </c>
    </row>
    <row r="12" spans="1:11" x14ac:dyDescent="0.2">
      <c r="B12" t="s">
        <v>70</v>
      </c>
      <c r="C12" s="21" t="s">
        <v>63</v>
      </c>
      <c r="D12" s="21" t="s">
        <v>61</v>
      </c>
      <c r="E12" s="18" t="s">
        <v>94</v>
      </c>
      <c r="F12" s="18">
        <v>24.2</v>
      </c>
      <c r="G12" s="18">
        <v>19.7</v>
      </c>
      <c r="H12" s="18"/>
      <c r="I12" s="18"/>
      <c r="K12" s="9" t="str">
        <f t="shared" si="0"/>
        <v>\multirow{3}{*}{\begin{tabular}[c]{@{}c@{}}Ambos\\sexos\end{tabular}} &amp; Mundo &amp; GCO \cite{GCO} &amp; 1.849.518 &amp; 24,2 &amp; 19,7 &amp;  &amp; \\</v>
      </c>
    </row>
    <row r="13" spans="1:11" ht="17" x14ac:dyDescent="0.2">
      <c r="C13" s="21" t="s">
        <v>67</v>
      </c>
      <c r="D13" s="22" t="s">
        <v>62</v>
      </c>
      <c r="E13" s="20" t="s">
        <v>95</v>
      </c>
      <c r="F13" s="20">
        <v>68.8</v>
      </c>
      <c r="G13" s="20">
        <v>30.8</v>
      </c>
      <c r="H13" s="20">
        <v>45.6</v>
      </c>
      <c r="I13" s="20" t="s">
        <v>87</v>
      </c>
      <c r="K13" s="9" t="str">
        <f t="shared" si="0"/>
        <v xml:space="preserve"> &amp; Europa &amp; ECIS \cite{ECIS} &amp; 511.620 &amp; 68,8 &amp; 30,8 &amp; 45,6 &amp; 70,0\\</v>
      </c>
    </row>
    <row r="14" spans="1:11" ht="17" x14ac:dyDescent="0.2">
      <c r="A14" t="s">
        <v>23</v>
      </c>
      <c r="C14" s="21" t="s">
        <v>60</v>
      </c>
      <c r="D14" s="22" t="s">
        <v>62</v>
      </c>
      <c r="E14" s="20" t="s">
        <v>96</v>
      </c>
      <c r="F14" s="20">
        <v>81.099999999999994</v>
      </c>
      <c r="G14" s="20">
        <v>33.9</v>
      </c>
      <c r="H14" s="20">
        <v>50.400000000000006</v>
      </c>
      <c r="I14" s="20">
        <v>77.5</v>
      </c>
      <c r="K14" s="9" t="str">
        <f t="shared" si="0"/>
        <v xml:space="preserve"> &amp; España &amp; ECIS \cite{ECIS} &amp; 37.655 &amp; 81,1 &amp; 33,9 &amp; 50,4 &amp; 77,5\\\hline</v>
      </c>
    </row>
    <row r="20" spans="2:6" x14ac:dyDescent="0.2">
      <c r="B20" t="s">
        <v>49</v>
      </c>
      <c r="C20" t="s">
        <v>50</v>
      </c>
    </row>
    <row r="21" spans="2:6" x14ac:dyDescent="0.2">
      <c r="B21" s="13">
        <v>1026215</v>
      </c>
      <c r="C21" s="11"/>
      <c r="D21" s="11"/>
      <c r="E21" s="11"/>
      <c r="F21" t="str">
        <f t="shared" ref="F21:F29" si="1">IF(C21&lt;&gt;"",C21&amp;"."&amp;D21&amp;"."&amp;E21,D21&amp;"."&amp;E21)</f>
        <v>.</v>
      </c>
    </row>
    <row r="22" spans="2:6" x14ac:dyDescent="0.2">
      <c r="B22" s="14">
        <v>275519</v>
      </c>
      <c r="C22" s="11"/>
      <c r="D22" s="11"/>
      <c r="E22" s="11"/>
      <c r="F22" t="str">
        <f t="shared" si="1"/>
        <v>.</v>
      </c>
    </row>
    <row r="23" spans="2:6" x14ac:dyDescent="0.2">
      <c r="B23" s="15">
        <v>23013</v>
      </c>
      <c r="C23" s="11"/>
      <c r="D23" s="11"/>
      <c r="E23" s="11"/>
      <c r="F23" t="str">
        <f t="shared" si="1"/>
        <v>.</v>
      </c>
    </row>
    <row r="24" spans="2:6" x14ac:dyDescent="0.2">
      <c r="B24" s="16">
        <v>823303</v>
      </c>
      <c r="C24" s="11"/>
      <c r="D24" s="11"/>
      <c r="E24" s="11"/>
      <c r="F24" t="str">
        <f t="shared" si="1"/>
        <v>.</v>
      </c>
    </row>
    <row r="25" spans="2:6" x14ac:dyDescent="0.2">
      <c r="B25" s="15">
        <v>236101</v>
      </c>
      <c r="C25" s="11"/>
      <c r="D25" s="11"/>
      <c r="E25" s="11"/>
      <c r="F25" t="str">
        <f t="shared" si="1"/>
        <v>.</v>
      </c>
    </row>
    <row r="26" spans="2:6" x14ac:dyDescent="0.2">
      <c r="B26" s="15">
        <v>14642</v>
      </c>
      <c r="C26" s="11"/>
      <c r="D26" s="11"/>
      <c r="E26" s="11"/>
      <c r="F26" t="str">
        <f t="shared" si="1"/>
        <v>.</v>
      </c>
    </row>
    <row r="27" spans="2:6" x14ac:dyDescent="0.2">
      <c r="B27" s="16">
        <v>1849518</v>
      </c>
      <c r="C27" s="11"/>
      <c r="D27" s="11"/>
      <c r="E27" s="11"/>
      <c r="F27" t="str">
        <f t="shared" si="1"/>
        <v>.</v>
      </c>
    </row>
    <row r="28" spans="2:6" x14ac:dyDescent="0.2">
      <c r="B28" s="15">
        <v>511620</v>
      </c>
      <c r="C28" s="11"/>
      <c r="D28" s="11"/>
      <c r="E28" s="11"/>
      <c r="F28" t="str">
        <f t="shared" si="1"/>
        <v>.</v>
      </c>
    </row>
    <row r="29" spans="2:6" x14ac:dyDescent="0.2">
      <c r="B29" s="15">
        <v>37655</v>
      </c>
      <c r="C29" s="11"/>
      <c r="D29" s="11"/>
      <c r="E29" s="11"/>
      <c r="F29" t="str">
        <f t="shared" si="1"/>
        <v>.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014AB-6188-4205-8F80-2ED8FA1E525D}">
  <dimension ref="A4:K29"/>
  <sheetViews>
    <sheetView workbookViewId="0">
      <selection activeCell="B54" sqref="B54"/>
    </sheetView>
  </sheetViews>
  <sheetFormatPr baseColWidth="10" defaultRowHeight="16" x14ac:dyDescent="0.2"/>
  <cols>
    <col min="3" max="3" width="13.83203125" bestFit="1" customWidth="1"/>
    <col min="4" max="4" width="13.83203125" customWidth="1"/>
  </cols>
  <sheetData>
    <row r="4" spans="1:11" x14ac:dyDescent="0.2">
      <c r="A4" t="s">
        <v>22</v>
      </c>
    </row>
    <row r="5" spans="1:11" x14ac:dyDescent="0.2">
      <c r="A5" t="s">
        <v>23</v>
      </c>
      <c r="B5" t="s">
        <v>46</v>
      </c>
      <c r="C5" t="s">
        <v>59</v>
      </c>
      <c r="D5" t="s">
        <v>58</v>
      </c>
      <c r="E5" t="s">
        <v>47</v>
      </c>
      <c r="F5" t="s">
        <v>48</v>
      </c>
      <c r="G5" t="s">
        <v>133</v>
      </c>
      <c r="H5" t="s">
        <v>134</v>
      </c>
      <c r="I5" t="s">
        <v>135</v>
      </c>
      <c r="K5" s="9" t="str">
        <f xml:space="preserve"> B5 &amp; " &amp; " &amp; C5 &amp; " &amp; " &amp; D5 &amp; " &amp; " &amp; E5 &amp; " &amp; " &amp; F5 &amp; " &amp; " &amp; G5 &amp; " &amp; " &amp; H5 &amp; " &amp; " &amp; I5 &amp; "\\" &amp; IF(A5="x","\hline","")</f>
        <v>Sexo &amp; Población &amp; Fuente &amp; N &amp; TB &amp; TE-W &amp; TE-oE &amp; TE-nE\\\hline</v>
      </c>
    </row>
    <row r="6" spans="1:11" x14ac:dyDescent="0.2">
      <c r="B6" t="s">
        <v>68</v>
      </c>
      <c r="C6" s="21" t="s">
        <v>63</v>
      </c>
      <c r="D6" s="21" t="s">
        <v>61</v>
      </c>
      <c r="E6" s="18" t="s">
        <v>103</v>
      </c>
      <c r="F6" s="18">
        <v>138.9</v>
      </c>
      <c r="G6" s="18">
        <v>121.9</v>
      </c>
      <c r="H6" s="18"/>
      <c r="I6" s="18"/>
      <c r="K6" s="9" t="str">
        <f xml:space="preserve"> B6 &amp; " &amp; " &amp; C6 &amp; " &amp; " &amp; D6 &amp; " &amp; " &amp; E6 &amp; " &amp; " &amp; F6 &amp; " &amp; " &amp; G6 &amp; " &amp; " &amp; H6 &amp; " &amp; " &amp; I6 &amp; "\\" &amp; IF(A6="x","\hline","")</f>
        <v>\multirow{3}{*}{Hombres} &amp; Mundo &amp; GCO \cite{GCO} &amp; 5.347.295 &amp; 138,9 &amp; 121,9 &amp;  &amp; \\</v>
      </c>
    </row>
    <row r="7" spans="1:11" x14ac:dyDescent="0.2">
      <c r="B7" s="12"/>
      <c r="C7" s="21" t="s">
        <v>67</v>
      </c>
      <c r="D7" s="22" t="s">
        <v>62</v>
      </c>
      <c r="E7" s="18" t="s">
        <v>104</v>
      </c>
      <c r="F7" s="18">
        <v>299.8</v>
      </c>
      <c r="G7" s="18">
        <v>143.19999999999999</v>
      </c>
      <c r="H7" s="18">
        <v>217.4</v>
      </c>
      <c r="I7" s="18">
        <v>355.4</v>
      </c>
      <c r="K7" s="9" t="str">
        <f t="shared" ref="K7:K14" si="0" xml:space="preserve"> B7 &amp; " &amp; " &amp; C7 &amp; " &amp; " &amp; D7 &amp; " &amp; " &amp; E7 &amp; " &amp; " &amp; F7 &amp; " &amp; " &amp; G7 &amp; " &amp; " &amp; H7 &amp; " &amp; " &amp; I7 &amp; "\\" &amp; IF(A7="x","\hline","")</f>
        <v xml:space="preserve"> &amp; Europa &amp; ECIS \cite{ECIS} &amp; 1.077.986 &amp; 299,8 &amp; 143,2 &amp; 217,4 &amp; 355,4\\</v>
      </c>
    </row>
    <row r="8" spans="1:11" x14ac:dyDescent="0.2">
      <c r="A8" t="s">
        <v>23</v>
      </c>
      <c r="B8" s="12"/>
      <c r="C8" s="21" t="s">
        <v>60</v>
      </c>
      <c r="D8" s="22" t="s">
        <v>97</v>
      </c>
      <c r="E8" s="18" t="s">
        <v>105</v>
      </c>
      <c r="F8" s="30">
        <v>286.39999999999998</v>
      </c>
      <c r="G8" s="18" t="s">
        <v>99</v>
      </c>
      <c r="H8" s="18">
        <v>186.8</v>
      </c>
      <c r="I8" s="18">
        <v>314.10000000000002</v>
      </c>
      <c r="K8" s="9" t="str">
        <f t="shared" si="0"/>
        <v xml:space="preserve"> &amp; España &amp; MSCBS \cite{MSCBS} &amp; 65.610 &amp; 286,4 &amp; 121,3 &amp; 186,8 &amp; 314,1\\\hline</v>
      </c>
    </row>
    <row r="9" spans="1:11" x14ac:dyDescent="0.2">
      <c r="B9" t="s">
        <v>69</v>
      </c>
      <c r="C9" s="21" t="s">
        <v>63</v>
      </c>
      <c r="D9" s="21" t="s">
        <v>61</v>
      </c>
      <c r="E9" s="18" t="s">
        <v>106</v>
      </c>
      <c r="F9" s="18">
        <v>109.5</v>
      </c>
      <c r="G9" s="18">
        <v>82.7</v>
      </c>
      <c r="H9" s="18"/>
      <c r="I9" s="18"/>
      <c r="K9" s="9" t="str">
        <f t="shared" si="0"/>
        <v>\multirow{3}{*}{Mujeres} &amp; Mundo &amp; GCO \cite{GCO} &amp; 4.142.577 &amp; 109,5 &amp; 82,7 &amp;  &amp; \\</v>
      </c>
    </row>
    <row r="10" spans="1:11" x14ac:dyDescent="0.2">
      <c r="C10" s="21" t="s">
        <v>67</v>
      </c>
      <c r="D10" s="22" t="s">
        <v>62</v>
      </c>
      <c r="E10" s="18" t="s">
        <v>107</v>
      </c>
      <c r="F10" s="18">
        <v>221.6</v>
      </c>
      <c r="G10" s="18">
        <v>86.4</v>
      </c>
      <c r="H10" s="18">
        <v>128.1</v>
      </c>
      <c r="I10" s="18" t="s">
        <v>98</v>
      </c>
      <c r="K10" s="9" t="str">
        <f t="shared" si="0"/>
        <v xml:space="preserve"> &amp; Europa &amp; ECIS \cite{ECIS} &amp; 851.723 &amp; 221,6 &amp; 86,4 &amp; 128,1 &amp; 201,0\\</v>
      </c>
    </row>
    <row r="11" spans="1:11" x14ac:dyDescent="0.2">
      <c r="A11" t="s">
        <v>23</v>
      </c>
      <c r="C11" s="21" t="s">
        <v>60</v>
      </c>
      <c r="D11" s="22" t="s">
        <v>97</v>
      </c>
      <c r="E11" s="18" t="s">
        <v>108</v>
      </c>
      <c r="F11" s="18" t="s">
        <v>100</v>
      </c>
      <c r="G11" s="18">
        <v>63.2</v>
      </c>
      <c r="H11" s="18">
        <v>94.6</v>
      </c>
      <c r="I11" s="18">
        <v>151.1</v>
      </c>
      <c r="K11" s="9" t="str">
        <f t="shared" si="0"/>
        <v xml:space="preserve"> &amp; España &amp; MSCBS \cite{MSCBS} &amp; 42.248 &amp; 177,4 &amp; 63,2 &amp; 94,6 &amp; 151,1\\\hline</v>
      </c>
    </row>
    <row r="12" spans="1:11" x14ac:dyDescent="0.2">
      <c r="B12" t="s">
        <v>70</v>
      </c>
      <c r="C12" s="21" t="s">
        <v>63</v>
      </c>
      <c r="D12" s="21" t="s">
        <v>61</v>
      </c>
      <c r="E12" s="18" t="s">
        <v>109</v>
      </c>
      <c r="F12" s="18">
        <v>124.3</v>
      </c>
      <c r="G12" s="18">
        <v>100.5</v>
      </c>
      <c r="H12" s="18"/>
      <c r="I12" s="18"/>
      <c r="K12" s="9" t="str">
        <f t="shared" si="0"/>
        <v>\multirow{3}{*}{\begin{tabular}[c]{@{}c@{}}Ambos\\sexos\end{tabular}} &amp; Mundo &amp; GCO \cite{GCO} &amp; 9.489.872 &amp; 124,3 &amp; 100,5 &amp;  &amp; \\</v>
      </c>
    </row>
    <row r="13" spans="1:11" x14ac:dyDescent="0.2">
      <c r="C13" s="21" t="s">
        <v>67</v>
      </c>
      <c r="D13" s="22" t="s">
        <v>62</v>
      </c>
      <c r="E13" s="19" t="s">
        <v>110</v>
      </c>
      <c r="F13" s="18">
        <v>259.39999999999998</v>
      </c>
      <c r="G13" s="18">
        <v>110.8</v>
      </c>
      <c r="H13" s="18">
        <v>165.8</v>
      </c>
      <c r="I13" s="18">
        <v>263.89999999999998</v>
      </c>
      <c r="K13" s="9" t="str">
        <f t="shared" si="0"/>
        <v xml:space="preserve"> &amp; Europa &amp; ECIS \cite{ECIS} &amp; 1.929.709 &amp; 259,4 &amp; 110,8 &amp; 165,8 &amp; 263,9\\</v>
      </c>
    </row>
    <row r="14" spans="1:11" x14ac:dyDescent="0.2">
      <c r="A14" t="s">
        <v>23</v>
      </c>
      <c r="C14" s="21" t="s">
        <v>60</v>
      </c>
      <c r="D14" s="22" t="s">
        <v>97</v>
      </c>
      <c r="E14" s="18" t="s">
        <v>102</v>
      </c>
      <c r="F14" s="18" t="s">
        <v>101</v>
      </c>
      <c r="G14" s="18">
        <v>89.4</v>
      </c>
      <c r="H14" s="18">
        <v>135.4</v>
      </c>
      <c r="I14" s="18">
        <v>221.2</v>
      </c>
      <c r="K14" s="9" t="str">
        <f t="shared" si="0"/>
        <v xml:space="preserve"> &amp; España &amp; MSCBS \cite{MSCBS} &amp; 107.858 &amp; 230,8 &amp; 89,4 &amp; 135,4 &amp; 221,2\\\hline</v>
      </c>
    </row>
    <row r="20" spans="2:6" x14ac:dyDescent="0.2">
      <c r="B20" t="s">
        <v>49</v>
      </c>
      <c r="C20" t="s">
        <v>50</v>
      </c>
    </row>
    <row r="21" spans="2:6" x14ac:dyDescent="0.2">
      <c r="B21" s="18">
        <v>5347295</v>
      </c>
      <c r="C21" s="11">
        <f>QUOTIENT(B21,1000000)</f>
        <v>5</v>
      </c>
      <c r="D21" s="11" t="str">
        <f t="shared" ref="D21:D29" si="1">MID(B21,LEN(B21)-5,3)</f>
        <v>347</v>
      </c>
      <c r="E21" s="11" t="str">
        <f t="shared" ref="E21:E29" si="2">MID(B21,LEN(B21)-2,3)</f>
        <v>295</v>
      </c>
      <c r="F21" t="str">
        <f t="shared" ref="F21:F29" si="3">IF(C21&lt;&gt;"",C21&amp;"."&amp;D21&amp;"."&amp;E21,D21&amp;"."&amp;E21)</f>
        <v>5.347.295</v>
      </c>
    </row>
    <row r="22" spans="2:6" x14ac:dyDescent="0.2">
      <c r="B22" s="18">
        <v>1077986</v>
      </c>
      <c r="C22" s="11">
        <f t="shared" ref="C22:C28" si="4">QUOTIENT(B22,1000000)</f>
        <v>1</v>
      </c>
      <c r="D22" s="11" t="str">
        <f t="shared" si="1"/>
        <v>077</v>
      </c>
      <c r="E22" s="11" t="str">
        <f t="shared" si="2"/>
        <v>986</v>
      </c>
      <c r="F22" t="str">
        <f t="shared" si="3"/>
        <v>1.077.986</v>
      </c>
    </row>
    <row r="23" spans="2:6" x14ac:dyDescent="0.2">
      <c r="B23" s="18">
        <v>65610</v>
      </c>
      <c r="C23" s="11"/>
      <c r="D23" s="11" t="e">
        <f t="shared" si="1"/>
        <v>#VALUE!</v>
      </c>
      <c r="E23" s="11" t="str">
        <f t="shared" si="2"/>
        <v>610</v>
      </c>
      <c r="F23" t="e">
        <f t="shared" si="3"/>
        <v>#VALUE!</v>
      </c>
    </row>
    <row r="24" spans="2:6" x14ac:dyDescent="0.2">
      <c r="B24" s="18">
        <v>4142577</v>
      </c>
      <c r="C24" s="11">
        <f t="shared" si="4"/>
        <v>4</v>
      </c>
      <c r="D24" s="11" t="str">
        <f t="shared" si="1"/>
        <v>142</v>
      </c>
      <c r="E24" s="11" t="str">
        <f t="shared" si="2"/>
        <v>577</v>
      </c>
      <c r="F24" t="str">
        <f t="shared" si="3"/>
        <v>4.142.577</v>
      </c>
    </row>
    <row r="25" spans="2:6" x14ac:dyDescent="0.2">
      <c r="B25" s="18">
        <v>851723</v>
      </c>
      <c r="C25" s="11">
        <f t="shared" si="4"/>
        <v>0</v>
      </c>
      <c r="D25" s="11" t="str">
        <f t="shared" si="1"/>
        <v>851</v>
      </c>
      <c r="E25" s="11" t="str">
        <f t="shared" si="2"/>
        <v>723</v>
      </c>
      <c r="F25" t="str">
        <f t="shared" si="3"/>
        <v>0.851.723</v>
      </c>
    </row>
    <row r="26" spans="2:6" x14ac:dyDescent="0.2">
      <c r="B26" s="18">
        <v>42248</v>
      </c>
      <c r="C26" s="11"/>
      <c r="D26" s="11" t="e">
        <f t="shared" si="1"/>
        <v>#VALUE!</v>
      </c>
      <c r="E26" s="11" t="str">
        <f t="shared" si="2"/>
        <v>248</v>
      </c>
      <c r="F26" t="e">
        <f t="shared" si="3"/>
        <v>#VALUE!</v>
      </c>
    </row>
    <row r="27" spans="2:6" x14ac:dyDescent="0.2">
      <c r="B27" s="18">
        <v>9489872</v>
      </c>
      <c r="C27" s="11">
        <f t="shared" si="4"/>
        <v>9</v>
      </c>
      <c r="D27" s="11" t="str">
        <f t="shared" si="1"/>
        <v>489</v>
      </c>
      <c r="E27" s="11" t="str">
        <f t="shared" si="2"/>
        <v>872</v>
      </c>
      <c r="F27" t="str">
        <f t="shared" si="3"/>
        <v>9.489.872</v>
      </c>
    </row>
    <row r="28" spans="2:6" x14ac:dyDescent="0.2">
      <c r="B28" s="19">
        <v>1929709</v>
      </c>
      <c r="C28" s="11">
        <f t="shared" si="4"/>
        <v>1</v>
      </c>
      <c r="D28" s="11" t="str">
        <f t="shared" si="1"/>
        <v>929</v>
      </c>
      <c r="E28" s="11" t="str">
        <f t="shared" si="2"/>
        <v>709</v>
      </c>
      <c r="F28" t="str">
        <f t="shared" si="3"/>
        <v>1.929.709</v>
      </c>
    </row>
    <row r="29" spans="2:6" x14ac:dyDescent="0.2">
      <c r="B29" s="18" t="s">
        <v>102</v>
      </c>
      <c r="C29" s="11"/>
      <c r="D29" s="11" t="str">
        <f t="shared" si="1"/>
        <v>07.</v>
      </c>
      <c r="E29" s="11" t="str">
        <f t="shared" si="2"/>
        <v>858</v>
      </c>
      <c r="F29" t="str">
        <f t="shared" si="3"/>
        <v>07..858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2FAC8-EA21-4085-A429-88432C26A771}">
  <dimension ref="A4:K29"/>
  <sheetViews>
    <sheetView workbookViewId="0">
      <selection activeCell="G5" sqref="G5:I5"/>
    </sheetView>
  </sheetViews>
  <sheetFormatPr baseColWidth="10" defaultRowHeight="16" x14ac:dyDescent="0.2"/>
  <cols>
    <col min="3" max="3" width="13.83203125" bestFit="1" customWidth="1"/>
    <col min="4" max="4" width="22.5" bestFit="1" customWidth="1"/>
  </cols>
  <sheetData>
    <row r="4" spans="1:11" x14ac:dyDescent="0.2">
      <c r="A4" t="s">
        <v>22</v>
      </c>
    </row>
    <row r="5" spans="1:11" x14ac:dyDescent="0.2">
      <c r="A5" t="s">
        <v>23</v>
      </c>
      <c r="B5" t="s">
        <v>46</v>
      </c>
      <c r="C5" t="s">
        <v>59</v>
      </c>
      <c r="D5" t="s">
        <v>58</v>
      </c>
      <c r="E5" t="s">
        <v>47</v>
      </c>
      <c r="F5" t="s">
        <v>48</v>
      </c>
      <c r="G5" t="s">
        <v>133</v>
      </c>
      <c r="H5" t="s">
        <v>134</v>
      </c>
      <c r="I5" t="s">
        <v>135</v>
      </c>
      <c r="K5" s="9" t="str">
        <f xml:space="preserve"> B5 &amp; " &amp; " &amp; C5 &amp; " &amp; " &amp; D5 &amp; " &amp; " &amp; E5 &amp; " &amp; " &amp; F5 &amp; " &amp; " &amp; G5 &amp; " &amp; " &amp; H5 &amp; " &amp; " &amp; I5 &amp; "\\" &amp; IF(A5="x","\hline","")</f>
        <v>Sexo &amp; Población &amp; Fuente &amp; N &amp; TB &amp; TE-W &amp; TE-oE &amp; TE-nE\\\hline</v>
      </c>
    </row>
    <row r="6" spans="1:11" x14ac:dyDescent="0.2">
      <c r="B6" t="s">
        <v>68</v>
      </c>
      <c r="C6" s="21" t="s">
        <v>63</v>
      </c>
      <c r="D6" s="21" t="s">
        <v>61</v>
      </c>
      <c r="E6" s="18" t="s">
        <v>116</v>
      </c>
      <c r="F6" s="18">
        <v>14.2</v>
      </c>
      <c r="G6" s="18">
        <v>12.7</v>
      </c>
      <c r="H6" s="18"/>
      <c r="I6" s="18"/>
      <c r="K6" s="9" t="str">
        <f t="shared" ref="K6:K14" si="0" xml:space="preserve"> B6 &amp; " &amp; " &amp; C6 &amp; " &amp; " &amp; D6 &amp; " &amp; " &amp; E6 &amp; " &amp; " &amp; F6 &amp; " &amp; " &amp; G6 &amp; " &amp; " &amp; H6 &amp; " &amp; " &amp; I6 &amp; "\\" &amp; IF(A6="x","\hline","")</f>
        <v>\multirow{3}{*}{Hombres} &amp; Mundo &amp; GCO \cite{GCO} &amp; 548.375 &amp; 14,2 &amp; 12,7 &amp;  &amp; \\</v>
      </c>
    </row>
    <row r="7" spans="1:11" x14ac:dyDescent="0.2">
      <c r="B7" s="12"/>
      <c r="C7" s="21" t="s">
        <v>67</v>
      </c>
      <c r="D7" s="22" t="s">
        <v>62</v>
      </c>
      <c r="E7" s="29" t="s">
        <v>117</v>
      </c>
      <c r="F7" s="29" t="s">
        <v>112</v>
      </c>
      <c r="G7" s="29">
        <v>6.8</v>
      </c>
      <c r="H7" s="29">
        <v>10.3</v>
      </c>
      <c r="I7" s="29">
        <v>16.399999999999999</v>
      </c>
      <c r="K7" s="9" t="str">
        <f t="shared" si="0"/>
        <v xml:space="preserve"> &amp; Europa &amp; ECIS \cite{ECIS} &amp; 50.365 &amp; 14,0 &amp; 6,8 &amp; 10,3 &amp; 16,4\\</v>
      </c>
    </row>
    <row r="8" spans="1:11" x14ac:dyDescent="0.2">
      <c r="A8" t="s">
        <v>23</v>
      </c>
      <c r="B8" s="12"/>
      <c r="C8" s="21" t="s">
        <v>60</v>
      </c>
      <c r="D8" s="22" t="s">
        <v>97</v>
      </c>
      <c r="E8" s="18" t="s">
        <v>118</v>
      </c>
      <c r="F8" s="18">
        <v>15.6</v>
      </c>
      <c r="G8" s="18" t="s">
        <v>81</v>
      </c>
      <c r="H8" s="18">
        <v>10.7</v>
      </c>
      <c r="I8" s="18" t="s">
        <v>113</v>
      </c>
      <c r="K8" s="9" t="str">
        <f t="shared" si="0"/>
        <v xml:space="preserve"> &amp; España &amp; MSCBS \cite{MSCBS} &amp; 3.577 &amp; 15,6 &amp; 7,0 &amp; 10,7 &amp; 17,0\\\hline</v>
      </c>
    </row>
    <row r="9" spans="1:11" x14ac:dyDescent="0.2">
      <c r="B9" t="s">
        <v>69</v>
      </c>
      <c r="C9" s="21" t="s">
        <v>63</v>
      </c>
      <c r="D9" s="21" t="s">
        <v>61</v>
      </c>
      <c r="E9" s="18" t="s">
        <v>119</v>
      </c>
      <c r="F9" s="18">
        <v>6.2</v>
      </c>
      <c r="G9" s="18">
        <v>4.5999999999999996</v>
      </c>
      <c r="H9" s="18"/>
      <c r="I9" s="18"/>
      <c r="K9" s="9" t="str">
        <f t="shared" si="0"/>
        <v>\multirow{3}{*}{Mujeres} &amp; Mundo &amp; GCO \cite{GCO} &amp; 233.256 &amp; 6,2 &amp; 4,6 &amp;  &amp; \\</v>
      </c>
    </row>
    <row r="10" spans="1:11" x14ac:dyDescent="0.2">
      <c r="C10" s="21" t="s">
        <v>67</v>
      </c>
      <c r="D10" s="22" t="s">
        <v>62</v>
      </c>
      <c r="E10" s="29" t="s">
        <v>120</v>
      </c>
      <c r="F10" s="29" t="s">
        <v>81</v>
      </c>
      <c r="G10" s="29">
        <v>2.4</v>
      </c>
      <c r="H10" s="29">
        <v>3.8</v>
      </c>
      <c r="I10" s="29">
        <v>6.3</v>
      </c>
      <c r="K10" s="9" t="str">
        <f t="shared" si="0"/>
        <v xml:space="preserve"> &amp; Europa &amp; ECIS \cite{ECIS} &amp; 27.010 &amp; 7,0 &amp; 2,4 &amp; 3,8 &amp; 6,3\\</v>
      </c>
    </row>
    <row r="11" spans="1:11" x14ac:dyDescent="0.2">
      <c r="A11" t="s">
        <v>23</v>
      </c>
      <c r="C11" s="21" t="s">
        <v>60</v>
      </c>
      <c r="D11" s="22" t="s">
        <v>97</v>
      </c>
      <c r="E11" s="18" t="s">
        <v>121</v>
      </c>
      <c r="F11" s="18">
        <v>6.6</v>
      </c>
      <c r="G11" s="18" t="s">
        <v>111</v>
      </c>
      <c r="H11" s="18">
        <v>3.2</v>
      </c>
      <c r="I11" s="18">
        <v>5.6</v>
      </c>
      <c r="K11" s="9" t="str">
        <f t="shared" si="0"/>
        <v xml:space="preserve"> &amp; España &amp; MSCBS \cite{MSCBS} &amp; 1.564 &amp; 6,6 &amp; 2,0 &amp; 3,2 &amp; 5,6\\\hline</v>
      </c>
    </row>
    <row r="12" spans="1:11" x14ac:dyDescent="0.2">
      <c r="B12" t="s">
        <v>70</v>
      </c>
      <c r="C12" s="21" t="s">
        <v>63</v>
      </c>
      <c r="D12" s="21" t="s">
        <v>61</v>
      </c>
      <c r="E12" s="18" t="s">
        <v>122</v>
      </c>
      <c r="F12" s="18">
        <v>10.199999999999999</v>
      </c>
      <c r="G12" s="18">
        <v>8.5</v>
      </c>
      <c r="H12" s="18"/>
      <c r="I12" s="18"/>
      <c r="K12" s="9" t="str">
        <f t="shared" si="0"/>
        <v>\multirow{3}{*}{\begin{tabular}[c]{@{}c@{}}Ambos\\sexos\end{tabular}} &amp; Mundo &amp; GCO \cite{GCO} &amp; 781.631 &amp; 10,2 &amp; 8,5 &amp;  &amp; \\</v>
      </c>
    </row>
    <row r="13" spans="1:11" x14ac:dyDescent="0.2">
      <c r="C13" s="21" t="s">
        <v>67</v>
      </c>
      <c r="D13" s="22" t="s">
        <v>62</v>
      </c>
      <c r="E13" s="29" t="s">
        <v>115</v>
      </c>
      <c r="F13" s="29">
        <v>10.4</v>
      </c>
      <c r="G13" s="29">
        <v>4.4000000000000004</v>
      </c>
      <c r="H13" s="29">
        <v>6.6</v>
      </c>
      <c r="I13" s="29">
        <v>10.6</v>
      </c>
      <c r="K13" s="9" t="str">
        <f t="shared" si="0"/>
        <v xml:space="preserve"> &amp; Europa &amp; ECIS \cite{ECIS} &amp; 77.375 &amp; 10,4 &amp; 4,4 &amp; 6,6 &amp; 10,6\\</v>
      </c>
    </row>
    <row r="14" spans="1:11" x14ac:dyDescent="0.2">
      <c r="A14" t="s">
        <v>23</v>
      </c>
      <c r="C14" s="21" t="s">
        <v>60</v>
      </c>
      <c r="D14" s="22" t="s">
        <v>97</v>
      </c>
      <c r="E14" s="18" t="s">
        <v>114</v>
      </c>
      <c r="F14" s="18" t="s">
        <v>82</v>
      </c>
      <c r="G14" s="18">
        <v>4.4000000000000004</v>
      </c>
      <c r="H14" s="18">
        <v>6.7</v>
      </c>
      <c r="I14" s="18">
        <v>10.7</v>
      </c>
      <c r="K14" s="9" t="str">
        <f t="shared" si="0"/>
        <v xml:space="preserve"> &amp; España &amp; MSCBS \cite{MSCBS} &amp; 5.141 &amp; 11,0 &amp; 4,4 &amp; 6,7 &amp; 10,7\\\hline</v>
      </c>
    </row>
    <row r="20" spans="2:6" x14ac:dyDescent="0.2">
      <c r="B20" t="s">
        <v>49</v>
      </c>
      <c r="C20" t="s">
        <v>50</v>
      </c>
    </row>
    <row r="21" spans="2:6" x14ac:dyDescent="0.2">
      <c r="B21" s="18"/>
      <c r="C21" s="11">
        <f>QUOTIENT(B21,1000000)</f>
        <v>0</v>
      </c>
      <c r="D21" s="11" t="e">
        <f t="shared" ref="D21:D29" si="1">MID(B21,LEN(B21)-5,3)</f>
        <v>#VALUE!</v>
      </c>
      <c r="E21" s="11" t="e">
        <f t="shared" ref="E21:E29" si="2">MID(B21,LEN(B21)-2,3)</f>
        <v>#VALUE!</v>
      </c>
      <c r="F21" t="e">
        <f t="shared" ref="F21:F29" si="3">IF(C21&lt;&gt;"",C21&amp;"."&amp;D21&amp;"."&amp;E21,D21&amp;"."&amp;E21)</f>
        <v>#VALUE!</v>
      </c>
    </row>
    <row r="22" spans="2:6" x14ac:dyDescent="0.2">
      <c r="B22" s="18"/>
      <c r="C22" s="11">
        <f t="shared" ref="C22:C28" si="4">QUOTIENT(B22,1000000)</f>
        <v>0</v>
      </c>
      <c r="D22" s="11" t="e">
        <f t="shared" si="1"/>
        <v>#VALUE!</v>
      </c>
      <c r="E22" s="11" t="e">
        <f t="shared" si="2"/>
        <v>#VALUE!</v>
      </c>
      <c r="F22" t="e">
        <f t="shared" si="3"/>
        <v>#VALUE!</v>
      </c>
    </row>
    <row r="23" spans="2:6" x14ac:dyDescent="0.2">
      <c r="B23" s="18"/>
      <c r="C23" s="11"/>
      <c r="D23" s="11" t="e">
        <f t="shared" si="1"/>
        <v>#VALUE!</v>
      </c>
      <c r="E23" s="11" t="e">
        <f t="shared" si="2"/>
        <v>#VALUE!</v>
      </c>
      <c r="F23" t="e">
        <f t="shared" si="3"/>
        <v>#VALUE!</v>
      </c>
    </row>
    <row r="24" spans="2:6" x14ac:dyDescent="0.2">
      <c r="B24" s="18"/>
      <c r="C24" s="11">
        <f t="shared" si="4"/>
        <v>0</v>
      </c>
      <c r="D24" s="11" t="e">
        <f t="shared" si="1"/>
        <v>#VALUE!</v>
      </c>
      <c r="E24" s="11" t="e">
        <f t="shared" si="2"/>
        <v>#VALUE!</v>
      </c>
      <c r="F24" t="e">
        <f t="shared" si="3"/>
        <v>#VALUE!</v>
      </c>
    </row>
    <row r="25" spans="2:6" x14ac:dyDescent="0.2">
      <c r="B25" s="18"/>
      <c r="C25" s="11">
        <f t="shared" si="4"/>
        <v>0</v>
      </c>
      <c r="D25" s="11" t="e">
        <f t="shared" si="1"/>
        <v>#VALUE!</v>
      </c>
      <c r="E25" s="11" t="e">
        <f t="shared" si="2"/>
        <v>#VALUE!</v>
      </c>
      <c r="F25" t="e">
        <f t="shared" si="3"/>
        <v>#VALUE!</v>
      </c>
    </row>
    <row r="26" spans="2:6" x14ac:dyDescent="0.2">
      <c r="B26" s="18"/>
      <c r="C26" s="11"/>
      <c r="D26" s="11" t="e">
        <f t="shared" si="1"/>
        <v>#VALUE!</v>
      </c>
      <c r="E26" s="11" t="e">
        <f t="shared" si="2"/>
        <v>#VALUE!</v>
      </c>
      <c r="F26" t="e">
        <f t="shared" si="3"/>
        <v>#VALUE!</v>
      </c>
    </row>
    <row r="27" spans="2:6" x14ac:dyDescent="0.2">
      <c r="B27" s="18"/>
      <c r="C27" s="11">
        <f t="shared" si="4"/>
        <v>0</v>
      </c>
      <c r="D27" s="11" t="e">
        <f t="shared" si="1"/>
        <v>#VALUE!</v>
      </c>
      <c r="E27" s="11" t="e">
        <f t="shared" si="2"/>
        <v>#VALUE!</v>
      </c>
      <c r="F27" t="e">
        <f t="shared" si="3"/>
        <v>#VALUE!</v>
      </c>
    </row>
    <row r="28" spans="2:6" x14ac:dyDescent="0.2">
      <c r="B28" s="19"/>
      <c r="C28" s="11">
        <f t="shared" si="4"/>
        <v>0</v>
      </c>
      <c r="D28" s="11" t="e">
        <f t="shared" si="1"/>
        <v>#VALUE!</v>
      </c>
      <c r="E28" s="11" t="e">
        <f t="shared" si="2"/>
        <v>#VALUE!</v>
      </c>
      <c r="F28" t="e">
        <f t="shared" si="3"/>
        <v>#VALUE!</v>
      </c>
    </row>
    <row r="29" spans="2:6" x14ac:dyDescent="0.2">
      <c r="B29" s="18"/>
      <c r="C29" s="11"/>
      <c r="D29" s="11" t="e">
        <f t="shared" si="1"/>
        <v>#VALUE!</v>
      </c>
      <c r="E29" s="11" t="e">
        <f t="shared" si="2"/>
        <v>#VALUE!</v>
      </c>
      <c r="F29" t="e">
        <f t="shared" si="3"/>
        <v>#VALUE!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E4818-1CCF-446E-BC99-0CA1EECC75AD}">
  <dimension ref="A4:K29"/>
  <sheetViews>
    <sheetView zoomScaleNormal="100" workbookViewId="0">
      <selection sqref="A1:XFD1048576"/>
    </sheetView>
  </sheetViews>
  <sheetFormatPr baseColWidth="10" defaultRowHeight="16" x14ac:dyDescent="0.2"/>
  <cols>
    <col min="3" max="3" width="13.83203125" bestFit="1" customWidth="1"/>
    <col min="4" max="4" width="18" bestFit="1" customWidth="1"/>
  </cols>
  <sheetData>
    <row r="4" spans="1:11" x14ac:dyDescent="0.2">
      <c r="A4" t="s">
        <v>22</v>
      </c>
    </row>
    <row r="5" spans="1:11" x14ac:dyDescent="0.2">
      <c r="A5" t="s">
        <v>23</v>
      </c>
      <c r="B5" t="s">
        <v>46</v>
      </c>
      <c r="C5" t="s">
        <v>59</v>
      </c>
      <c r="D5" t="s">
        <v>58</v>
      </c>
      <c r="E5" t="s">
        <v>47</v>
      </c>
      <c r="F5" t="s">
        <v>48</v>
      </c>
      <c r="G5" t="s">
        <v>133</v>
      </c>
      <c r="H5" t="s">
        <v>134</v>
      </c>
      <c r="I5" t="s">
        <v>135</v>
      </c>
      <c r="K5" s="9" t="str">
        <f xml:space="preserve"> B5 &amp; " &amp; " &amp; C5 &amp; " &amp; " &amp; D5 &amp; " &amp; " &amp; E5 &amp; " &amp; " &amp; F5 &amp; " &amp; " &amp; G5 &amp; " &amp; " &amp; H5 &amp; " &amp; " &amp; I5 &amp; "\\" &amp; IF(A5="x","\hline","")</f>
        <v>Sexo &amp; Población &amp; Fuente &amp; N &amp; TB &amp; TE-W &amp; TE-oE &amp; TE-nE\\\hline</v>
      </c>
    </row>
    <row r="6" spans="1:11" x14ac:dyDescent="0.2">
      <c r="B6" t="s">
        <v>68</v>
      </c>
      <c r="C6" s="21" t="s">
        <v>63</v>
      </c>
      <c r="D6" s="21" t="s">
        <v>61</v>
      </c>
      <c r="E6" s="18" t="s">
        <v>124</v>
      </c>
      <c r="F6" s="18">
        <v>12.6</v>
      </c>
      <c r="G6" s="18">
        <v>10.8</v>
      </c>
      <c r="H6" s="18"/>
      <c r="I6" s="18"/>
      <c r="K6" s="9" t="str">
        <f t="shared" ref="K6:K14" si="0" xml:space="preserve"> B6 &amp; " &amp; " &amp; C6 &amp; " &amp; " &amp; D6 &amp; " &amp; " &amp; E6 &amp; " &amp; " &amp; F6 &amp; " &amp; " &amp; G6 &amp; " &amp; " &amp; H6 &amp; " &amp; " &amp; I6 &amp; "\\" &amp; IF(A6="x","\hline","")</f>
        <v>\multirow{3}{*}{Hombres} &amp; Mundo &amp; GCO \cite{GCO} &amp; 484.224 &amp; 12,6 &amp; 10,8 &amp;  &amp; \\</v>
      </c>
    </row>
    <row r="7" spans="1:11" x14ac:dyDescent="0.2">
      <c r="B7" s="12"/>
      <c r="C7" s="21" t="s">
        <v>67</v>
      </c>
      <c r="D7" s="22" t="s">
        <v>62</v>
      </c>
      <c r="E7" s="18" t="s">
        <v>125</v>
      </c>
      <c r="F7" s="18">
        <v>36.5</v>
      </c>
      <c r="G7" s="18">
        <v>16.399999999999999</v>
      </c>
      <c r="H7" s="18">
        <v>25.7</v>
      </c>
      <c r="I7" s="18">
        <v>44.3</v>
      </c>
      <c r="K7" s="9" t="str">
        <f t="shared" si="0"/>
        <v xml:space="preserve"> &amp; Europa &amp; ECIS \cite{ECIS} &amp; 131.155 &amp; 36,5 &amp; 16,4 &amp; 25,7 &amp; 44,3\\</v>
      </c>
    </row>
    <row r="8" spans="1:11" x14ac:dyDescent="0.2">
      <c r="A8" t="s">
        <v>23</v>
      </c>
      <c r="B8" s="12"/>
      <c r="C8" s="21" t="s">
        <v>60</v>
      </c>
      <c r="D8" s="22" t="s">
        <v>97</v>
      </c>
      <c r="E8" s="18" t="s">
        <v>126</v>
      </c>
      <c r="F8" s="18">
        <v>40.299999999999997</v>
      </c>
      <c r="G8" s="18">
        <v>15.8</v>
      </c>
      <c r="H8" s="18">
        <v>25.1</v>
      </c>
      <c r="I8" s="18">
        <v>44.4</v>
      </c>
      <c r="K8" s="9" t="str">
        <f t="shared" si="0"/>
        <v xml:space="preserve"> &amp; España &amp; MSCBS \cite{MSCBS} &amp; 9.222 &amp; 40,3 &amp; 15,8 &amp; 25,1 &amp; 44,4\\\hline</v>
      </c>
    </row>
    <row r="9" spans="1:11" x14ac:dyDescent="0.2">
      <c r="B9" t="s">
        <v>69</v>
      </c>
      <c r="C9" s="21" t="s">
        <v>63</v>
      </c>
      <c r="D9" s="21" t="s">
        <v>61</v>
      </c>
      <c r="E9" s="18" t="s">
        <v>127</v>
      </c>
      <c r="F9" s="18">
        <v>10.5</v>
      </c>
      <c r="G9" s="18">
        <v>7.2</v>
      </c>
      <c r="H9" s="18"/>
      <c r="I9" s="18"/>
      <c r="K9" s="9" t="str">
        <f t="shared" si="0"/>
        <v>\multirow{3}{*}{Mujeres} &amp; Mundo &amp; GCO \cite{GCO} &amp; 396.568 &amp; 10,5 &amp; 7,2 &amp;  &amp; \\</v>
      </c>
    </row>
    <row r="10" spans="1:11" x14ac:dyDescent="0.2">
      <c r="C10" s="21" t="s">
        <v>67</v>
      </c>
      <c r="D10" s="22" t="s">
        <v>62</v>
      </c>
      <c r="E10" s="18" t="s">
        <v>128</v>
      </c>
      <c r="F10" s="18">
        <v>29.900000000000002</v>
      </c>
      <c r="G10" s="18" t="s">
        <v>123</v>
      </c>
      <c r="H10" s="18">
        <v>15.600000000000001</v>
      </c>
      <c r="I10" s="18">
        <v>26.6</v>
      </c>
      <c r="K10" s="9" t="str">
        <f t="shared" si="0"/>
        <v xml:space="preserve"> &amp; Europa &amp; ECIS \cite{ECIS} &amp; 115.059 &amp; 29,9 &amp; 10,0 &amp; 15,6 &amp; 26,6\\</v>
      </c>
    </row>
    <row r="11" spans="1:11" x14ac:dyDescent="0.2">
      <c r="A11" t="s">
        <v>23</v>
      </c>
      <c r="C11" s="21" t="s">
        <v>60</v>
      </c>
      <c r="D11" s="22" t="s">
        <v>97</v>
      </c>
      <c r="E11" s="18" t="s">
        <v>129</v>
      </c>
      <c r="F11" s="18">
        <v>25.5</v>
      </c>
      <c r="G11" s="18">
        <v>7.5</v>
      </c>
      <c r="H11" s="18">
        <v>11.9</v>
      </c>
      <c r="I11" s="18">
        <v>20.7</v>
      </c>
      <c r="K11" s="9" t="str">
        <f t="shared" si="0"/>
        <v xml:space="preserve"> &amp; España &amp; MSCBS \cite{MSCBS} &amp; 6.066 &amp; 25,5 &amp; 7,5 &amp; 11,9 &amp; 20,7\\\hline</v>
      </c>
    </row>
    <row r="12" spans="1:11" x14ac:dyDescent="0.2">
      <c r="B12" t="s">
        <v>70</v>
      </c>
      <c r="C12" s="21" t="s">
        <v>63</v>
      </c>
      <c r="D12" s="21" t="s">
        <v>61</v>
      </c>
      <c r="E12" s="18" t="s">
        <v>130</v>
      </c>
      <c r="F12" s="18">
        <v>11.5</v>
      </c>
      <c r="G12" s="18">
        <v>8.9</v>
      </c>
      <c r="H12" s="18"/>
      <c r="I12" s="18"/>
      <c r="K12" s="9" t="str">
        <f t="shared" si="0"/>
        <v>\multirow{3}{*}{\begin{tabular}[c]{@{}c@{}}Ambos\\sexos\end{tabular}} &amp; Mundo &amp; GCO \cite{GCO} &amp; 880.792 &amp; 11,5 &amp; 8,9 &amp;  &amp; \\</v>
      </c>
    </row>
    <row r="13" spans="1:11" x14ac:dyDescent="0.2">
      <c r="C13" s="21" t="s">
        <v>67</v>
      </c>
      <c r="D13" s="22" t="s">
        <v>62</v>
      </c>
      <c r="E13" s="18" t="s">
        <v>131</v>
      </c>
      <c r="F13" s="18">
        <v>33.1</v>
      </c>
      <c r="G13" s="18">
        <v>12.799999999999999</v>
      </c>
      <c r="H13" s="18">
        <v>19.900000000000002</v>
      </c>
      <c r="I13" s="18">
        <v>33.799999999999997</v>
      </c>
      <c r="K13" s="9" t="str">
        <f t="shared" si="0"/>
        <v xml:space="preserve"> &amp; Europa &amp; ECIS \cite{ECIS} &amp; 246.214 &amp; 33,1 &amp; 12,8 &amp; 19,9 &amp; 33,8\\</v>
      </c>
    </row>
    <row r="14" spans="1:11" x14ac:dyDescent="0.2">
      <c r="A14" t="s">
        <v>23</v>
      </c>
      <c r="C14" s="21" t="s">
        <v>60</v>
      </c>
      <c r="D14" s="22" t="s">
        <v>97</v>
      </c>
      <c r="E14" s="18" t="s">
        <v>132</v>
      </c>
      <c r="F14" s="18">
        <v>32.700000000000003</v>
      </c>
      <c r="G14" s="18">
        <v>11.2</v>
      </c>
      <c r="H14" s="18">
        <v>17.7</v>
      </c>
      <c r="I14" s="18">
        <v>30.9</v>
      </c>
      <c r="K14" s="9" t="str">
        <f t="shared" si="0"/>
        <v xml:space="preserve"> &amp; España &amp; MSCBS \cite{MSCBS} &amp; 15.288 &amp; 32,7 &amp; 11,2 &amp; 17,7 &amp; 30,9\\\hline</v>
      </c>
    </row>
    <row r="20" spans="2:6" x14ac:dyDescent="0.2">
      <c r="B20" t="s">
        <v>49</v>
      </c>
      <c r="C20" t="s">
        <v>50</v>
      </c>
    </row>
    <row r="21" spans="2:6" x14ac:dyDescent="0.2">
      <c r="B21" s="18"/>
      <c r="C21" s="11">
        <f>QUOTIENT(B21,1000000)</f>
        <v>0</v>
      </c>
      <c r="D21" s="11" t="e">
        <f t="shared" ref="D21:D29" si="1">MID(B21,LEN(B21)-5,3)</f>
        <v>#VALUE!</v>
      </c>
      <c r="E21" s="11" t="e">
        <f t="shared" ref="E21:E29" si="2">MID(B21,LEN(B21)-2,3)</f>
        <v>#VALUE!</v>
      </c>
      <c r="F21" t="e">
        <f t="shared" ref="F21:F29" si="3">IF(C21&lt;&gt;"",C21&amp;"."&amp;D21&amp;"."&amp;E21,D21&amp;"."&amp;E21)</f>
        <v>#VALUE!</v>
      </c>
    </row>
    <row r="22" spans="2:6" x14ac:dyDescent="0.2">
      <c r="B22" s="18"/>
      <c r="C22" s="11">
        <f t="shared" ref="C22:C28" si="4">QUOTIENT(B22,1000000)</f>
        <v>0</v>
      </c>
      <c r="D22" s="11" t="e">
        <f t="shared" si="1"/>
        <v>#VALUE!</v>
      </c>
      <c r="E22" s="11" t="e">
        <f t="shared" si="2"/>
        <v>#VALUE!</v>
      </c>
      <c r="F22" t="e">
        <f t="shared" si="3"/>
        <v>#VALUE!</v>
      </c>
    </row>
    <row r="23" spans="2:6" x14ac:dyDescent="0.2">
      <c r="B23" s="18"/>
      <c r="C23" s="11"/>
      <c r="D23" s="11" t="e">
        <f t="shared" si="1"/>
        <v>#VALUE!</v>
      </c>
      <c r="E23" s="11" t="e">
        <f t="shared" si="2"/>
        <v>#VALUE!</v>
      </c>
      <c r="F23" t="e">
        <f t="shared" si="3"/>
        <v>#VALUE!</v>
      </c>
    </row>
    <row r="24" spans="2:6" x14ac:dyDescent="0.2">
      <c r="B24" s="18"/>
      <c r="C24" s="11">
        <f t="shared" si="4"/>
        <v>0</v>
      </c>
      <c r="D24" s="11" t="e">
        <f t="shared" si="1"/>
        <v>#VALUE!</v>
      </c>
      <c r="E24" s="11" t="e">
        <f t="shared" si="2"/>
        <v>#VALUE!</v>
      </c>
      <c r="F24" t="e">
        <f t="shared" si="3"/>
        <v>#VALUE!</v>
      </c>
    </row>
    <row r="25" spans="2:6" x14ac:dyDescent="0.2">
      <c r="B25" s="18"/>
      <c r="C25" s="11">
        <f t="shared" si="4"/>
        <v>0</v>
      </c>
      <c r="D25" s="11" t="e">
        <f t="shared" si="1"/>
        <v>#VALUE!</v>
      </c>
      <c r="E25" s="11" t="e">
        <f t="shared" si="2"/>
        <v>#VALUE!</v>
      </c>
      <c r="F25" t="e">
        <f t="shared" si="3"/>
        <v>#VALUE!</v>
      </c>
    </row>
    <row r="26" spans="2:6" x14ac:dyDescent="0.2">
      <c r="B26" s="18"/>
      <c r="C26" s="11"/>
      <c r="D26" s="11" t="e">
        <f t="shared" si="1"/>
        <v>#VALUE!</v>
      </c>
      <c r="E26" s="11" t="e">
        <f t="shared" si="2"/>
        <v>#VALUE!</v>
      </c>
      <c r="F26" t="e">
        <f t="shared" si="3"/>
        <v>#VALUE!</v>
      </c>
    </row>
    <row r="27" spans="2:6" x14ac:dyDescent="0.2">
      <c r="B27" s="18"/>
      <c r="C27" s="11">
        <f t="shared" si="4"/>
        <v>0</v>
      </c>
      <c r="D27" s="11" t="e">
        <f t="shared" si="1"/>
        <v>#VALUE!</v>
      </c>
      <c r="E27" s="11" t="e">
        <f t="shared" si="2"/>
        <v>#VALUE!</v>
      </c>
      <c r="F27" t="e">
        <f t="shared" si="3"/>
        <v>#VALUE!</v>
      </c>
    </row>
    <row r="28" spans="2:6" x14ac:dyDescent="0.2">
      <c r="B28" s="19"/>
      <c r="C28" s="11">
        <f t="shared" si="4"/>
        <v>0</v>
      </c>
      <c r="D28" s="11" t="e">
        <f t="shared" si="1"/>
        <v>#VALUE!</v>
      </c>
      <c r="E28" s="11" t="e">
        <f t="shared" si="2"/>
        <v>#VALUE!</v>
      </c>
      <c r="F28" t="e">
        <f t="shared" si="3"/>
        <v>#VALUE!</v>
      </c>
    </row>
    <row r="29" spans="2:6" x14ac:dyDescent="0.2">
      <c r="B29" s="18"/>
      <c r="C29" s="11"/>
      <c r="D29" s="11" t="e">
        <f t="shared" si="1"/>
        <v>#VALUE!</v>
      </c>
      <c r="E29" s="11" t="e">
        <f t="shared" si="2"/>
        <v>#VALUE!</v>
      </c>
      <c r="F29" t="e">
        <f t="shared" si="3"/>
        <v>#VALUE!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244C3-CB16-495F-980A-6CB4471F2FAB}">
  <dimension ref="A3:K32"/>
  <sheetViews>
    <sheetView zoomScale="130" zoomScaleNormal="130" workbookViewId="0">
      <selection activeCell="C9" sqref="C9"/>
    </sheetView>
  </sheetViews>
  <sheetFormatPr baseColWidth="10" defaultRowHeight="16" x14ac:dyDescent="0.2"/>
  <cols>
    <col min="3" max="3" width="20" bestFit="1" customWidth="1"/>
    <col min="4" max="4" width="17.1640625" customWidth="1"/>
    <col min="5" max="5" width="13.83203125" bestFit="1" customWidth="1"/>
  </cols>
  <sheetData>
    <row r="3" spans="1:11" x14ac:dyDescent="0.2">
      <c r="A3" t="s">
        <v>143</v>
      </c>
      <c r="B3" t="s">
        <v>22</v>
      </c>
    </row>
    <row r="4" spans="1:11" x14ac:dyDescent="0.2">
      <c r="B4" t="s">
        <v>23</v>
      </c>
      <c r="F4" t="s">
        <v>139</v>
      </c>
      <c r="H4" t="s">
        <v>140</v>
      </c>
      <c r="K4" s="9"/>
    </row>
    <row r="5" spans="1:11" x14ac:dyDescent="0.2">
      <c r="B5" t="s">
        <v>23</v>
      </c>
      <c r="C5" t="s">
        <v>142</v>
      </c>
      <c r="D5" t="s">
        <v>46</v>
      </c>
      <c r="E5" t="s">
        <v>59</v>
      </c>
      <c r="F5" t="s">
        <v>47</v>
      </c>
      <c r="G5" t="s">
        <v>138</v>
      </c>
      <c r="H5" t="s">
        <v>47</v>
      </c>
      <c r="I5" t="s">
        <v>138</v>
      </c>
      <c r="K5" s="9" t="str">
        <f xml:space="preserve"> C5 &amp; " &amp; " &amp; D5 &amp; " &amp; " &amp; E5  &amp; " &amp; " &amp; F5 &amp; " &amp; " &amp; G5 &amp; " &amp; " &amp; H5 &amp; " &amp; " &amp; I5 &amp; "\\" &amp; IF(B5="x","\hline","")</f>
        <v>Localización &amp; Sexo &amp; Población &amp; N &amp; Tasa &amp; N &amp; Tasa\\\hline</v>
      </c>
    </row>
    <row r="6" spans="1:11" ht="17" x14ac:dyDescent="0.2">
      <c r="C6" t="s">
        <v>137</v>
      </c>
      <c r="D6" t="s">
        <v>68</v>
      </c>
      <c r="E6" s="21" t="s">
        <v>63</v>
      </c>
      <c r="F6" s="31" t="s">
        <v>149</v>
      </c>
      <c r="G6" s="31">
        <v>145.6</v>
      </c>
      <c r="H6" s="31" t="s">
        <v>201</v>
      </c>
      <c r="I6" s="31">
        <v>464.7</v>
      </c>
      <c r="K6" s="9" t="str">
        <f xml:space="preserve"> C6 &amp; " &amp; " &amp; D6 &amp; " &amp; " &amp; E6  &amp; " &amp; " &amp; F6 &amp; " &amp; " &amp; G6 &amp; " &amp; " &amp; H6 &amp; " &amp; " &amp; I6 &amp; "\\" &amp; IF(B6="x"," \hline","") &amp; IF(A6="x"," \cline{2-7}","")</f>
        <v>\multirow{9}{*}{Total del cáncer EPNM} &amp; \multirow{3}{*}{Hombres} &amp; Mundo &amp; 5.607.801 &amp; 145,6 &amp; 17.895.356 &amp; 464,7\\</v>
      </c>
    </row>
    <row r="7" spans="1:11" ht="17" x14ac:dyDescent="0.2">
      <c r="D7" s="12"/>
      <c r="E7" s="21" t="s">
        <v>67</v>
      </c>
      <c r="F7" s="31" t="s">
        <v>150</v>
      </c>
      <c r="G7" s="31">
        <v>418.4</v>
      </c>
      <c r="H7" s="31" t="s">
        <v>200</v>
      </c>
      <c r="I7" s="31">
        <v>1414.7</v>
      </c>
      <c r="K7" s="9" t="str">
        <f t="shared" ref="K7:K32" si="0" xml:space="preserve"> C7 &amp; " &amp; " &amp; D7 &amp; " &amp; " &amp; E7  &amp; " &amp; " &amp; F7 &amp; " &amp; " &amp; G7 &amp; " &amp; " &amp; H7 &amp; " &amp; " &amp; I7 &amp; "\\" &amp; IF(B7="x"," \hline","") &amp; IF(A7="x"," \cline{2-7}","")</f>
        <v xml:space="preserve"> &amp;  &amp; Europa &amp; 1.504.232 &amp; 418,4 &amp; 5.086.515 &amp; 1414,7\\</v>
      </c>
    </row>
    <row r="8" spans="1:11" ht="17" x14ac:dyDescent="0.2">
      <c r="A8" t="s">
        <v>23</v>
      </c>
      <c r="D8" s="12"/>
      <c r="E8" s="21" t="s">
        <v>60</v>
      </c>
      <c r="F8" s="31" t="s">
        <v>151</v>
      </c>
      <c r="G8" s="31" t="s">
        <v>144</v>
      </c>
      <c r="H8" s="31" t="s">
        <v>199</v>
      </c>
      <c r="I8" s="31">
        <v>1566.3</v>
      </c>
      <c r="K8" s="9" t="str">
        <f t="shared" si="0"/>
        <v xml:space="preserve"> &amp;  &amp; España &amp; 105.599 &amp; 464,0 &amp; 356.427 &amp; 1566,3\\ \cline{2-7}</v>
      </c>
    </row>
    <row r="9" spans="1:11" ht="17" x14ac:dyDescent="0.2">
      <c r="D9" t="s">
        <v>69</v>
      </c>
      <c r="E9" s="21" t="s">
        <v>63</v>
      </c>
      <c r="F9" s="31" t="s">
        <v>152</v>
      </c>
      <c r="G9" s="31">
        <v>150.4</v>
      </c>
      <c r="H9" s="31" t="s">
        <v>198</v>
      </c>
      <c r="I9" s="31">
        <v>548.29999999999995</v>
      </c>
      <c r="K9" s="9" t="str">
        <f t="shared" si="0"/>
        <v xml:space="preserve"> &amp; \multirow{3}{*}{Mujeres} &amp; Mundo &amp; 5.688.175 &amp; 150,4 &amp; 20.738.064 &amp; 548,3\\</v>
      </c>
    </row>
    <row r="10" spans="1:11" ht="17" x14ac:dyDescent="0.2">
      <c r="E10" s="21" t="s">
        <v>67</v>
      </c>
      <c r="F10" s="31" t="s">
        <v>153</v>
      </c>
      <c r="G10" s="31">
        <v>373.4</v>
      </c>
      <c r="H10" s="31" t="s">
        <v>197</v>
      </c>
      <c r="I10" s="31">
        <v>1409.8</v>
      </c>
      <c r="K10" s="9" t="str">
        <f t="shared" si="0"/>
        <v xml:space="preserve"> &amp;  &amp; Europa &amp; 1.434.849 &amp; 373,4 &amp; 5.417.680 &amp; 1409,8\\</v>
      </c>
    </row>
    <row r="11" spans="1:11" ht="17" x14ac:dyDescent="0.2">
      <c r="A11" t="s">
        <v>23</v>
      </c>
      <c r="E11" s="21" t="s">
        <v>60</v>
      </c>
      <c r="F11" s="31" t="s">
        <v>154</v>
      </c>
      <c r="G11" s="31" t="s">
        <v>145</v>
      </c>
      <c r="H11" s="31" t="s">
        <v>196</v>
      </c>
      <c r="I11" s="31">
        <v>1363.5</v>
      </c>
      <c r="K11" s="9" t="str">
        <f t="shared" si="0"/>
        <v xml:space="preserve"> &amp;  &amp; España &amp; 84.409 &amp; 357,0 &amp; 322.341 &amp; 1363,5\\ \cline{2-7}</v>
      </c>
    </row>
    <row r="12" spans="1:11" ht="17" x14ac:dyDescent="0.2">
      <c r="D12" t="s">
        <v>70</v>
      </c>
      <c r="E12" s="21" t="s">
        <v>63</v>
      </c>
      <c r="F12" s="31" t="s">
        <v>158</v>
      </c>
      <c r="G12" s="31" t="s">
        <v>146</v>
      </c>
      <c r="H12" s="31" t="s">
        <v>195</v>
      </c>
      <c r="I12" s="31">
        <v>506.1</v>
      </c>
      <c r="K12" s="9" t="str">
        <f t="shared" si="0"/>
        <v xml:space="preserve"> &amp; \multirow{3}{*}{\begin{tabular}[c]{@{}c@{}}Ambos\\sexos\end{tabular}} &amp; Mundo &amp; 11.295.976 &amp; 148,0 &amp; 38.633.420 &amp; 506,1\\</v>
      </c>
    </row>
    <row r="13" spans="1:11" ht="17" x14ac:dyDescent="0.2">
      <c r="E13" s="21" t="s">
        <v>67</v>
      </c>
      <c r="F13" s="31" t="s">
        <v>157</v>
      </c>
      <c r="G13" s="31">
        <v>395.1</v>
      </c>
      <c r="H13" s="31" t="s">
        <v>194</v>
      </c>
      <c r="I13" s="31">
        <v>1412.2</v>
      </c>
      <c r="K13" s="9" t="str">
        <f t="shared" si="0"/>
        <v xml:space="preserve"> &amp;  &amp; Europa &amp; 2.939.081 &amp; 395,1 &amp; 10.504.195 &amp; 1412,2\\</v>
      </c>
    </row>
    <row r="14" spans="1:11" ht="17" x14ac:dyDescent="0.2">
      <c r="B14" t="s">
        <v>23</v>
      </c>
      <c r="E14" s="21" t="s">
        <v>60</v>
      </c>
      <c r="F14" s="31" t="s">
        <v>155</v>
      </c>
      <c r="G14" s="31">
        <v>409.5</v>
      </c>
      <c r="H14" s="31" t="s">
        <v>193</v>
      </c>
      <c r="I14" s="31">
        <v>1462.9</v>
      </c>
      <c r="K14" s="9" t="str">
        <f t="shared" si="0"/>
        <v xml:space="preserve"> &amp;  &amp; España &amp; 190.008 &amp; 409,5 &amp; 678.768 &amp; 1462,9\\ \hline</v>
      </c>
    </row>
    <row r="15" spans="1:11" ht="17" x14ac:dyDescent="0.2">
      <c r="C15" t="s">
        <v>136</v>
      </c>
      <c r="D15" t="s">
        <v>68</v>
      </c>
      <c r="E15" s="21" t="s">
        <v>63</v>
      </c>
      <c r="F15" s="32" t="s">
        <v>156</v>
      </c>
      <c r="G15" s="32">
        <v>6.1</v>
      </c>
      <c r="H15" s="32" t="s">
        <v>192</v>
      </c>
      <c r="I15" s="32">
        <v>12.2</v>
      </c>
      <c r="K15" s="9" t="str">
        <f t="shared" si="0"/>
        <v>\multirow{9}{*}{Hígado} &amp; \multirow{3}{*}{Hombres} &amp; Mundo &amp; 236.669 &amp; 6,1 &amp; 471.525 &amp; 12,2\\</v>
      </c>
    </row>
    <row r="16" spans="1:11" ht="17" x14ac:dyDescent="0.2">
      <c r="D16" s="12"/>
      <c r="E16" s="21" t="s">
        <v>67</v>
      </c>
      <c r="F16" s="33" t="s">
        <v>159</v>
      </c>
      <c r="G16" s="33">
        <v>5.9</v>
      </c>
      <c r="H16" s="32" t="s">
        <v>191</v>
      </c>
      <c r="I16" s="32">
        <v>11.1</v>
      </c>
      <c r="K16" s="9" t="str">
        <f t="shared" si="0"/>
        <v xml:space="preserve"> &amp;  &amp; Europa &amp; 21.240 &amp; 5,9 &amp; 39.867 &amp; 11,1\\</v>
      </c>
    </row>
    <row r="17" spans="1:11" x14ac:dyDescent="0.2">
      <c r="A17" t="s">
        <v>23</v>
      </c>
      <c r="D17" s="12"/>
      <c r="E17" s="21" t="s">
        <v>60</v>
      </c>
      <c r="F17" s="33" t="s">
        <v>160</v>
      </c>
      <c r="G17" s="33">
        <v>8.5</v>
      </c>
      <c r="H17" s="33" t="s">
        <v>190</v>
      </c>
      <c r="I17" s="33">
        <v>15.9</v>
      </c>
      <c r="K17" s="9" t="str">
        <f t="shared" si="0"/>
        <v xml:space="preserve"> &amp;  &amp; España &amp; 1.924 &amp; 8,5 &amp; 3.618 &amp; 15,9\\ \cline{2-7}</v>
      </c>
    </row>
    <row r="18" spans="1:11" ht="17" x14ac:dyDescent="0.2">
      <c r="D18" t="s">
        <v>69</v>
      </c>
      <c r="E18" s="21" t="s">
        <v>63</v>
      </c>
      <c r="F18" s="32" t="s">
        <v>161</v>
      </c>
      <c r="G18" s="32">
        <v>2.6</v>
      </c>
      <c r="H18" s="32" t="s">
        <v>189</v>
      </c>
      <c r="I18" s="32">
        <v>5.4</v>
      </c>
      <c r="K18" s="9" t="str">
        <f t="shared" si="0"/>
        <v xml:space="preserve"> &amp; \multirow{3}{*}{Mujeres} &amp; Mundo &amp; 97.621 &amp; 2,6 &amp; 203.685 &amp; 5,4\\</v>
      </c>
    </row>
    <row r="19" spans="1:11" ht="17" x14ac:dyDescent="0.2">
      <c r="E19" s="21" t="s">
        <v>67</v>
      </c>
      <c r="F19" s="33" t="s">
        <v>162</v>
      </c>
      <c r="G19" s="33">
        <v>2.5</v>
      </c>
      <c r="H19" s="32" t="s">
        <v>188</v>
      </c>
      <c r="I19" s="32">
        <v>4.8</v>
      </c>
      <c r="K19" s="9" t="str">
        <f t="shared" si="0"/>
        <v xml:space="preserve"> &amp;  &amp; Europa &amp; 9.719 &amp; 2,5 &amp; 18.610 &amp; 4,8\\</v>
      </c>
    </row>
    <row r="20" spans="1:11" x14ac:dyDescent="0.2">
      <c r="A20" t="s">
        <v>23</v>
      </c>
      <c r="E20" s="21" t="s">
        <v>60</v>
      </c>
      <c r="F20" s="33">
        <v>580</v>
      </c>
      <c r="G20" s="33">
        <v>2.5</v>
      </c>
      <c r="H20" s="33" t="s">
        <v>187</v>
      </c>
      <c r="I20" s="33">
        <v>4.7</v>
      </c>
      <c r="K20" s="9" t="str">
        <f t="shared" si="0"/>
        <v xml:space="preserve"> &amp;  &amp; España &amp; 580 &amp; 2,5 &amp; 1.102 &amp; 4,7\\ \cline{2-7}</v>
      </c>
    </row>
    <row r="21" spans="1:11" ht="17" x14ac:dyDescent="0.2">
      <c r="D21" t="s">
        <v>70</v>
      </c>
      <c r="E21" s="21" t="s">
        <v>63</v>
      </c>
      <c r="F21" s="32" t="s">
        <v>163</v>
      </c>
      <c r="G21" s="32">
        <v>4.4000000000000004</v>
      </c>
      <c r="H21" s="32" t="s">
        <v>186</v>
      </c>
      <c r="I21" s="32">
        <v>8.8000000000000007</v>
      </c>
      <c r="K21" s="9" t="str">
        <f t="shared" si="0"/>
        <v xml:space="preserve"> &amp; \multirow{3}{*}{\begin{tabular}[c]{@{}c@{}}Ambos\\sexos\end{tabular}} &amp; Mundo &amp; 334.290 &amp; 4,4 &amp; 675.210 &amp; 8,8\\</v>
      </c>
    </row>
    <row r="22" spans="1:11" ht="17" x14ac:dyDescent="0.2">
      <c r="E22" s="21" t="s">
        <v>67</v>
      </c>
      <c r="F22" s="33" t="s">
        <v>164</v>
      </c>
      <c r="G22" s="33">
        <v>4.2</v>
      </c>
      <c r="H22" s="32" t="s">
        <v>185</v>
      </c>
      <c r="I22" s="32">
        <v>7.9</v>
      </c>
      <c r="K22" s="9" t="str">
        <f t="shared" si="0"/>
        <v xml:space="preserve"> &amp;  &amp; Europa &amp; 30.959 &amp; 4,2 &amp; 58.477 &amp; 7,9\\</v>
      </c>
    </row>
    <row r="23" spans="1:11" x14ac:dyDescent="0.2">
      <c r="B23" t="s">
        <v>23</v>
      </c>
      <c r="E23" s="21" t="s">
        <v>60</v>
      </c>
      <c r="F23" s="33" t="s">
        <v>165</v>
      </c>
      <c r="G23" s="33">
        <v>5.4</v>
      </c>
      <c r="H23" s="33" t="s">
        <v>184</v>
      </c>
      <c r="I23" s="33">
        <v>10.199999999999999</v>
      </c>
      <c r="K23" s="9" t="str">
        <f t="shared" si="0"/>
        <v xml:space="preserve"> &amp;  &amp; España &amp; 2.504 &amp; 5,4 &amp; 4.720 &amp; 10,2\\ \hline</v>
      </c>
    </row>
    <row r="24" spans="1:11" ht="17" x14ac:dyDescent="0.2">
      <c r="C24" t="s">
        <v>141</v>
      </c>
      <c r="D24" t="s">
        <v>68</v>
      </c>
      <c r="E24" s="21" t="s">
        <v>63</v>
      </c>
      <c r="F24" s="32" t="s">
        <v>166</v>
      </c>
      <c r="G24" s="32">
        <v>19.5</v>
      </c>
      <c r="H24" s="32" t="s">
        <v>183</v>
      </c>
      <c r="I24" s="32">
        <v>67.400000000000006</v>
      </c>
      <c r="K24" s="9" t="str">
        <f t="shared" si="0"/>
        <v>\multirow{9}{*}{Colon-recto} &amp; \multirow{3}{*}{Hombres} &amp; Mundo &amp; 749.774 &amp; 19,5 &amp; 2.595.326 &amp; 67,4\\</v>
      </c>
    </row>
    <row r="25" spans="1:11" ht="17" x14ac:dyDescent="0.2">
      <c r="D25" s="12"/>
      <c r="E25" s="21" t="s">
        <v>67</v>
      </c>
      <c r="F25" s="33" t="s">
        <v>167</v>
      </c>
      <c r="G25" s="33">
        <v>59.3</v>
      </c>
      <c r="H25" s="32" t="s">
        <v>182</v>
      </c>
      <c r="I25" s="32">
        <v>208.2</v>
      </c>
      <c r="K25" s="9" t="str">
        <f t="shared" si="0"/>
        <v xml:space="preserve"> &amp;  &amp; Europa &amp; 213.233 &amp; 59,3 &amp; 748.455 &amp; 208,2\\</v>
      </c>
    </row>
    <row r="26" spans="1:11" x14ac:dyDescent="0.2">
      <c r="A26" t="s">
        <v>23</v>
      </c>
      <c r="D26" s="12"/>
      <c r="E26" s="21" t="s">
        <v>60</v>
      </c>
      <c r="F26" s="33" t="s">
        <v>168</v>
      </c>
      <c r="G26" s="33">
        <v>79.400000000000006</v>
      </c>
      <c r="H26" s="33" t="s">
        <v>181</v>
      </c>
      <c r="I26" s="33">
        <v>279.5</v>
      </c>
      <c r="K26" s="9" t="str">
        <f t="shared" si="0"/>
        <v xml:space="preserve"> &amp;  &amp; España &amp; 18.059 &amp; 79,4 &amp; 63.593 &amp; 279,5\\ \cline{2-7}</v>
      </c>
    </row>
    <row r="27" spans="1:11" ht="17" x14ac:dyDescent="0.2">
      <c r="D27" t="s">
        <v>69</v>
      </c>
      <c r="E27" s="21" t="s">
        <v>63</v>
      </c>
      <c r="F27" s="32" t="s">
        <v>169</v>
      </c>
      <c r="G27" s="32" t="s">
        <v>147</v>
      </c>
      <c r="H27" s="32" t="s">
        <v>180</v>
      </c>
      <c r="I27" s="32" t="s">
        <v>148</v>
      </c>
      <c r="K27" s="9" t="str">
        <f t="shared" si="0"/>
        <v xml:space="preserve"> &amp; \multirow{3}{*}{Mujeres} &amp; Mundo &amp; 606.377 &amp; 16,0 &amp; 2.194.309 &amp; 58,0\\</v>
      </c>
    </row>
    <row r="28" spans="1:11" ht="17" x14ac:dyDescent="0.2">
      <c r="E28" s="21" t="s">
        <v>67</v>
      </c>
      <c r="F28" s="33" t="s">
        <v>170</v>
      </c>
      <c r="G28" s="33">
        <v>46.6</v>
      </c>
      <c r="H28" s="32" t="s">
        <v>179</v>
      </c>
      <c r="I28" s="32">
        <v>170.6</v>
      </c>
      <c r="K28" s="9" t="str">
        <f t="shared" si="0"/>
        <v xml:space="preserve"> &amp;  &amp; Europa &amp; 178.969 &amp; 46,6 &amp; 655.422 &amp; 170,6\\</v>
      </c>
    </row>
    <row r="29" spans="1:11" x14ac:dyDescent="0.2">
      <c r="A29" t="s">
        <v>23</v>
      </c>
      <c r="E29" s="21" t="s">
        <v>60</v>
      </c>
      <c r="F29" s="33" t="s">
        <v>171</v>
      </c>
      <c r="G29" s="33">
        <v>48.5</v>
      </c>
      <c r="H29" s="33" t="s">
        <v>178</v>
      </c>
      <c r="I29" s="33">
        <v>178.2</v>
      </c>
      <c r="K29" s="9" t="str">
        <f t="shared" si="0"/>
        <v xml:space="preserve"> &amp;  &amp; España &amp; 11.463 &amp; 48,5 &amp; 42.121 &amp; 178,2\\ \cline{2-7}</v>
      </c>
    </row>
    <row r="30" spans="1:11" ht="17" x14ac:dyDescent="0.2">
      <c r="D30" t="s">
        <v>70</v>
      </c>
      <c r="E30" s="21" t="s">
        <v>63</v>
      </c>
      <c r="F30" s="32" t="s">
        <v>172</v>
      </c>
      <c r="G30" s="32">
        <v>17.8</v>
      </c>
      <c r="H30" s="32" t="s">
        <v>177</v>
      </c>
      <c r="I30" s="32">
        <v>62.8</v>
      </c>
      <c r="K30" s="9" t="str">
        <f t="shared" si="0"/>
        <v xml:space="preserve"> &amp; \multirow{3}{*}{\begin{tabular}[c]{@{}c@{}}Ambos\\sexos\end{tabular}} &amp; Mundo &amp; 1.356.151 &amp; 17,8 &amp; 4.789.635 &amp; 62,8\\</v>
      </c>
    </row>
    <row r="31" spans="1:11" ht="17" x14ac:dyDescent="0.2">
      <c r="E31" s="21" t="s">
        <v>67</v>
      </c>
      <c r="F31" s="33" t="s">
        <v>173</v>
      </c>
      <c r="G31" s="33">
        <v>52.7</v>
      </c>
      <c r="H31" s="32" t="s">
        <v>176</v>
      </c>
      <c r="I31" s="32">
        <v>188.7</v>
      </c>
      <c r="K31" s="9" t="str">
        <f t="shared" si="0"/>
        <v xml:space="preserve"> &amp;  &amp; Europa &amp; 392.202 &amp; 52,7 &amp; 1.403.877 &amp; 188,7\\</v>
      </c>
    </row>
    <row r="32" spans="1:11" x14ac:dyDescent="0.2">
      <c r="B32" t="s">
        <v>23</v>
      </c>
      <c r="E32" s="21" t="s">
        <v>60</v>
      </c>
      <c r="F32" s="33" t="s">
        <v>174</v>
      </c>
      <c r="G32" s="33">
        <v>63.6</v>
      </c>
      <c r="H32" s="33" t="s">
        <v>175</v>
      </c>
      <c r="I32" s="33">
        <v>227.8</v>
      </c>
      <c r="K32" s="9" t="str">
        <f t="shared" si="0"/>
        <v xml:space="preserve"> &amp;  &amp; España &amp; 29.522 &amp; 63,6 &amp; 105.714 &amp; 227,8\\ \hline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E78B5-187C-984C-BA57-F788A62E356E}">
  <dimension ref="B2:E5"/>
  <sheetViews>
    <sheetView workbookViewId="0">
      <selection activeCell="B2" sqref="B2:E5"/>
    </sheetView>
  </sheetViews>
  <sheetFormatPr baseColWidth="10" defaultRowHeight="16" x14ac:dyDescent="0.2"/>
  <sheetData>
    <row r="2" spans="2:5" x14ac:dyDescent="0.2">
      <c r="B2" s="55"/>
      <c r="C2" s="55"/>
      <c r="D2" s="124" t="s">
        <v>294</v>
      </c>
      <c r="E2" s="124"/>
    </row>
    <row r="3" spans="2:5" x14ac:dyDescent="0.2">
      <c r="B3" s="55"/>
      <c r="C3" s="55"/>
      <c r="D3" s="53" t="s">
        <v>292</v>
      </c>
      <c r="E3" s="53" t="s">
        <v>293</v>
      </c>
    </row>
    <row r="4" spans="2:5" x14ac:dyDescent="0.2">
      <c r="B4" s="124" t="s">
        <v>291</v>
      </c>
      <c r="C4" s="53" t="s">
        <v>292</v>
      </c>
      <c r="D4" s="55" t="s">
        <v>295</v>
      </c>
      <c r="E4" s="55" t="s">
        <v>298</v>
      </c>
    </row>
    <row r="5" spans="2:5" x14ac:dyDescent="0.2">
      <c r="B5" s="124"/>
      <c r="C5" s="53" t="s">
        <v>293</v>
      </c>
      <c r="D5" s="55" t="s">
        <v>296</v>
      </c>
      <c r="E5" s="55" t="s">
        <v>297</v>
      </c>
    </row>
  </sheetData>
  <mergeCells count="2">
    <mergeCell ref="B4:B5"/>
    <mergeCell ref="D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38</vt:i4>
      </vt:variant>
    </vt:vector>
  </HeadingPairs>
  <TitlesOfParts>
    <vt:vector size="38" baseType="lpstr">
      <vt:lpstr>1 - Poblaciones estándar</vt:lpstr>
      <vt:lpstr>2 - Incidencia total EPNM</vt:lpstr>
      <vt:lpstr>3 - Incidencia hígado</vt:lpstr>
      <vt:lpstr>4 - Incidencia CR</vt:lpstr>
      <vt:lpstr>5 - Mortalidad total EPNM</vt:lpstr>
      <vt:lpstr>6 - Mortalidad hígado</vt:lpstr>
      <vt:lpstr>7 - Mortalidad CR</vt:lpstr>
      <vt:lpstr>8 - Prevalencia</vt:lpstr>
      <vt:lpstr>SN -  Matriz de confusión</vt:lpstr>
      <vt:lpstr>9 - Hígado datos clínicos</vt:lpstr>
      <vt:lpstr>10 - Hígado estado vital</vt:lpstr>
      <vt:lpstr>11 - CR datos clínicos</vt:lpstr>
      <vt:lpstr>12 - CR estado vital</vt:lpstr>
      <vt:lpstr>13 - parámetros SVM tuning</vt:lpstr>
      <vt:lpstr>14 - Tipo de muestra HB </vt:lpstr>
      <vt:lpstr>15 - train-test HB</vt:lpstr>
      <vt:lpstr>16 - Genes HB</vt:lpstr>
      <vt:lpstr>17 - tuningSVM HB</vt:lpstr>
      <vt:lpstr>18 - tuningkNN HB</vt:lpstr>
      <vt:lpstr>19 - Mejores modelos HB</vt:lpstr>
      <vt:lpstr>20 - tipo de muestra HM</vt:lpstr>
      <vt:lpstr>21 - train-test HM</vt:lpstr>
      <vt:lpstr>22 - genes HM</vt:lpstr>
      <vt:lpstr>23 - tuningSVM HM</vt:lpstr>
      <vt:lpstr>24 - tuning kNN HM</vt:lpstr>
      <vt:lpstr>25 - mejores modelos HM</vt:lpstr>
      <vt:lpstr>26 - tipo de muestra CRB</vt:lpstr>
      <vt:lpstr>27 - traintest CRB</vt:lpstr>
      <vt:lpstr>28 - genes CRB</vt:lpstr>
      <vt:lpstr>29 - tuningSVM CRB</vt:lpstr>
      <vt:lpstr>30 - tuningkNN CRB</vt:lpstr>
      <vt:lpstr>31 - mejores modelos CRB</vt:lpstr>
      <vt:lpstr>32 - tipo de muestra CRM</vt:lpstr>
      <vt:lpstr>33 - traintest CRM</vt:lpstr>
      <vt:lpstr>34 - genes CRM</vt:lpstr>
      <vt:lpstr>35 - tuningSVM CRM</vt:lpstr>
      <vt:lpstr>36 - tuningkNN CRM</vt:lpstr>
      <vt:lpstr>37 - mejores modelos CRM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Daniel Redondo Sánchez</cp:lastModifiedBy>
  <cp:lastPrinted>2019-07-07T11:42:41Z</cp:lastPrinted>
  <dcterms:created xsi:type="dcterms:W3CDTF">2019-04-21T11:55:31Z</dcterms:created>
  <dcterms:modified xsi:type="dcterms:W3CDTF">2020-07-30T16:18:59Z</dcterms:modified>
</cp:coreProperties>
</file>