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rodri\Downloads\"/>
    </mc:Choice>
  </mc:AlternateContent>
  <xr:revisionPtr revIDLastSave="0" documentId="13_ncr:1_{C33CE221-C2E0-4C22-B0FF-9E7EC6124F4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horro 2022" sheetId="1" r:id="rId1"/>
    <sheet name="Hoja 9" sheetId="6" state="hidden" r:id="rId2"/>
    <sheet name="Actualizacion Ahorro 10-2021" sheetId="9" state="hidden" r:id="rId3"/>
    <sheet name="Actualizacion Ahorro 12-2021" sheetId="10" state="hidden" r:id="rId4"/>
    <sheet name="Actualizacion Ahorro 11-2021" sheetId="11" state="hidden" r:id="rId5"/>
    <sheet name="GASTOS ESENCIALES" sheetId="12" state="hidden" r:id="rId6"/>
    <sheet name="AUSTRALIA" sheetId="13" state="hidden" r:id="rId7"/>
    <sheet name="Copia de AUSTRALIA" sheetId="14" state="hidden" r:id="rId8"/>
    <sheet name="Actualizacion Ahorro 05-2021" sheetId="15" state="hidden" r:id="rId9"/>
    <sheet name="Actualización Ahorro 04-2021" sheetId="16" state="hidden" r:id="rId10"/>
    <sheet name="Histórico Ahorro 2020" sheetId="17" state="hidden" r:id="rId11"/>
    <sheet name="Copia gastos trasteo" sheetId="18" state="hidden" r:id="rId12"/>
    <sheet name="Hoja 1" sheetId="19" state="hidden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3" roundtripDataChecksum="lkgFGf6m+Lb/6qsV3HjP4sYdraUlfNOLzLUXP7dQhJo="/>
    </ext>
  </extLst>
</workbook>
</file>

<file path=xl/calcChain.xml><?xml version="1.0" encoding="utf-8"?>
<calcChain xmlns="http://schemas.openxmlformats.org/spreadsheetml/2006/main">
  <c r="G20" i="1" l="1"/>
  <c r="D2" i="1"/>
  <c r="C3" i="1"/>
  <c r="C3" i="19"/>
  <c r="C1" i="19"/>
  <c r="D1" i="19" s="1"/>
  <c r="E1" i="19" s="1"/>
  <c r="E32" i="18"/>
  <c r="D32" i="18"/>
  <c r="F31" i="18"/>
  <c r="E31" i="18"/>
  <c r="D31" i="18"/>
  <c r="R59" i="17"/>
  <c r="R58" i="17"/>
  <c r="R57" i="17"/>
  <c r="R56" i="17"/>
  <c r="R55" i="17"/>
  <c r="R54" i="17"/>
  <c r="R53" i="17"/>
  <c r="R52" i="17"/>
  <c r="R51" i="17"/>
  <c r="R50" i="17"/>
  <c r="R49" i="17"/>
  <c r="R48" i="17"/>
  <c r="R47" i="17"/>
  <c r="N47" i="17"/>
  <c r="L43" i="17"/>
  <c r="K43" i="17"/>
  <c r="J43" i="17"/>
  <c r="S39" i="17"/>
  <c r="H35" i="17"/>
  <c r="P34" i="17"/>
  <c r="R33" i="17"/>
  <c r="N33" i="17"/>
  <c r="R32" i="17"/>
  <c r="N32" i="17"/>
  <c r="Q31" i="17"/>
  <c r="R31" i="17" s="1"/>
  <c r="N31" i="17"/>
  <c r="K31" i="17"/>
  <c r="Q30" i="17"/>
  <c r="N30" i="17"/>
  <c r="L30" i="17"/>
  <c r="R29" i="17"/>
  <c r="N29" i="17"/>
  <c r="L29" i="17"/>
  <c r="L28" i="17"/>
  <c r="L27" i="17"/>
  <c r="L26" i="17"/>
  <c r="L25" i="17"/>
  <c r="K24" i="17"/>
  <c r="E24" i="17"/>
  <c r="L23" i="17"/>
  <c r="L22" i="17"/>
  <c r="L21" i="17"/>
  <c r="L20" i="17"/>
  <c r="P18" i="17"/>
  <c r="P19" i="17" s="1"/>
  <c r="P21" i="17" s="1"/>
  <c r="F18" i="17"/>
  <c r="F15" i="17"/>
  <c r="F16" i="17" s="1"/>
  <c r="H17" i="17" s="1"/>
  <c r="S14" i="17"/>
  <c r="H13" i="17"/>
  <c r="H14" i="17" s="1"/>
  <c r="E13" i="17"/>
  <c r="C13" i="17"/>
  <c r="C14" i="17" s="1"/>
  <c r="G12" i="17"/>
  <c r="F12" i="17"/>
  <c r="J11" i="17"/>
  <c r="G11" i="17"/>
  <c r="F11" i="17"/>
  <c r="J10" i="17"/>
  <c r="G10" i="17"/>
  <c r="F10" i="17"/>
  <c r="J9" i="17"/>
  <c r="P8" i="17"/>
  <c r="P9" i="17" s="1"/>
  <c r="P11" i="17" s="1"/>
  <c r="L8" i="17"/>
  <c r="L9" i="17" s="1"/>
  <c r="L10" i="17" s="1"/>
  <c r="J8" i="17"/>
  <c r="G8" i="17"/>
  <c r="F8" i="17"/>
  <c r="J7" i="17"/>
  <c r="G6" i="17"/>
  <c r="F6" i="17"/>
  <c r="T5" i="17"/>
  <c r="T4" i="17"/>
  <c r="G4" i="17"/>
  <c r="F4" i="17"/>
  <c r="F13" i="17" s="1"/>
  <c r="J15" i="17" s="1"/>
  <c r="K3" i="17"/>
  <c r="L1" i="17"/>
  <c r="P54" i="16"/>
  <c r="O54" i="16"/>
  <c r="N54" i="16"/>
  <c r="E44" i="16"/>
  <c r="E45" i="16" s="1"/>
  <c r="E47" i="16" s="1"/>
  <c r="J43" i="16"/>
  <c r="K41" i="16"/>
  <c r="T37" i="16"/>
  <c r="V36" i="16"/>
  <c r="R36" i="16"/>
  <c r="V35" i="16"/>
  <c r="R35" i="16"/>
  <c r="U34" i="16"/>
  <c r="V34" i="16" s="1"/>
  <c r="R34" i="16"/>
  <c r="Q34" i="16"/>
  <c r="U33" i="16"/>
  <c r="R33" i="16"/>
  <c r="V32" i="16"/>
  <c r="R32" i="16"/>
  <c r="I31" i="16"/>
  <c r="I32" i="16" s="1"/>
  <c r="G28" i="16"/>
  <c r="Q27" i="16"/>
  <c r="E26" i="16"/>
  <c r="M25" i="16"/>
  <c r="M29" i="16" s="1"/>
  <c r="M30" i="16" s="1"/>
  <c r="E25" i="16"/>
  <c r="E24" i="16"/>
  <c r="J23" i="16"/>
  <c r="E23" i="16"/>
  <c r="E22" i="16"/>
  <c r="E32" i="16" s="1"/>
  <c r="N21" i="16"/>
  <c r="J12" i="16"/>
  <c r="J13" i="16" s="1"/>
  <c r="J15" i="16" s="1"/>
  <c r="I12" i="16"/>
  <c r="I13" i="16" s="1"/>
  <c r="I15" i="16" s="1"/>
  <c r="H12" i="16"/>
  <c r="F12" i="16"/>
  <c r="G11" i="16"/>
  <c r="E11" i="16"/>
  <c r="L10" i="16"/>
  <c r="M10" i="16" s="1"/>
  <c r="K10" i="16"/>
  <c r="E10" i="16"/>
  <c r="L9" i="16"/>
  <c r="M9" i="16" s="1"/>
  <c r="K9" i="16"/>
  <c r="E9" i="16"/>
  <c r="L8" i="16"/>
  <c r="M8" i="16" s="1"/>
  <c r="K8" i="16"/>
  <c r="E8" i="16"/>
  <c r="K7" i="16"/>
  <c r="E7" i="16"/>
  <c r="L6" i="16"/>
  <c r="M6" i="16" s="1"/>
  <c r="K6" i="16"/>
  <c r="E6" i="16"/>
  <c r="K5" i="16"/>
  <c r="E5" i="16"/>
  <c r="L4" i="16"/>
  <c r="M4" i="16" s="1"/>
  <c r="K4" i="16"/>
  <c r="E4" i="16"/>
  <c r="C40" i="15"/>
  <c r="I28" i="15"/>
  <c r="I27" i="15"/>
  <c r="J30" i="15" s="1"/>
  <c r="J26" i="15"/>
  <c r="E21" i="15"/>
  <c r="F21" i="15" s="1"/>
  <c r="F22" i="15" s="1"/>
  <c r="B21" i="15"/>
  <c r="B20" i="15"/>
  <c r="B19" i="15"/>
  <c r="J11" i="15"/>
  <c r="I11" i="15"/>
  <c r="K11" i="15" s="1"/>
  <c r="D10" i="15"/>
  <c r="D19" i="15" s="1"/>
  <c r="F8" i="15"/>
  <c r="C21" i="15" s="1"/>
  <c r="E5" i="15"/>
  <c r="K4" i="15"/>
  <c r="F4" i="15"/>
  <c r="C19" i="15" s="1"/>
  <c r="G18" i="14"/>
  <c r="G19" i="14" s="1"/>
  <c r="C13" i="14"/>
  <c r="F9" i="14"/>
  <c r="E9" i="14"/>
  <c r="I8" i="14"/>
  <c r="H8" i="14"/>
  <c r="J8" i="14" s="1"/>
  <c r="F8" i="14"/>
  <c r="E8" i="14"/>
  <c r="F7" i="14"/>
  <c r="E7" i="14"/>
  <c r="F6" i="14"/>
  <c r="E6" i="14"/>
  <c r="F5" i="14"/>
  <c r="E5" i="14"/>
  <c r="C3" i="14"/>
  <c r="F2" i="14"/>
  <c r="E2" i="14"/>
  <c r="G18" i="13"/>
  <c r="G19" i="13" s="1"/>
  <c r="C13" i="13"/>
  <c r="F9" i="13"/>
  <c r="E9" i="13"/>
  <c r="I8" i="13"/>
  <c r="H8" i="13"/>
  <c r="J8" i="13" s="1"/>
  <c r="F8" i="13"/>
  <c r="E8" i="13"/>
  <c r="F7" i="13"/>
  <c r="E7" i="13"/>
  <c r="F6" i="13"/>
  <c r="E6" i="13"/>
  <c r="F5" i="13"/>
  <c r="E5" i="13"/>
  <c r="C3" i="13"/>
  <c r="F2" i="13"/>
  <c r="E2" i="13"/>
  <c r="O15" i="12"/>
  <c r="K12" i="12"/>
  <c r="L11" i="12"/>
  <c r="L8" i="12"/>
  <c r="L7" i="12"/>
  <c r="L6" i="12"/>
  <c r="L5" i="12"/>
  <c r="L4" i="12"/>
  <c r="L3" i="12"/>
  <c r="L2" i="12"/>
  <c r="K2" i="12"/>
  <c r="I2" i="12"/>
  <c r="H2" i="12"/>
  <c r="F2" i="12"/>
  <c r="E2" i="12"/>
  <c r="C2" i="12"/>
  <c r="B2" i="12"/>
  <c r="C18" i="11"/>
  <c r="H17" i="11"/>
  <c r="F17" i="11"/>
  <c r="E17" i="11"/>
  <c r="H16" i="11"/>
  <c r="F16" i="11"/>
  <c r="E16" i="11"/>
  <c r="F15" i="11"/>
  <c r="E15" i="11"/>
  <c r="F14" i="11"/>
  <c r="E14" i="11"/>
  <c r="F13" i="11"/>
  <c r="E13" i="11"/>
  <c r="F11" i="11"/>
  <c r="E11" i="11"/>
  <c r="F10" i="11"/>
  <c r="E10" i="11"/>
  <c r="D3" i="11"/>
  <c r="K64" i="10"/>
  <c r="K65" i="10" s="1"/>
  <c r="K66" i="10" s="1"/>
  <c r="K67" i="10" s="1"/>
  <c r="I64" i="10"/>
  <c r="I65" i="10" s="1"/>
  <c r="H64" i="10"/>
  <c r="H65" i="10" s="1"/>
  <c r="G64" i="10"/>
  <c r="G65" i="10" s="1"/>
  <c r="G66" i="10" s="1"/>
  <c r="G67" i="10" s="1"/>
  <c r="H61" i="10"/>
  <c r="K56" i="10"/>
  <c r="K57" i="10" s="1"/>
  <c r="K58" i="10" s="1"/>
  <c r="K59" i="10" s="1"/>
  <c r="I56" i="10"/>
  <c r="I57" i="10" s="1"/>
  <c r="H56" i="10"/>
  <c r="H57" i="10" s="1"/>
  <c r="G56" i="10"/>
  <c r="G57" i="10" s="1"/>
  <c r="G58" i="10" s="1"/>
  <c r="G59" i="10" s="1"/>
  <c r="H53" i="10"/>
  <c r="M41" i="10"/>
  <c r="M42" i="10" s="1"/>
  <c r="L41" i="10"/>
  <c r="L42" i="10" s="1"/>
  <c r="K41" i="10"/>
  <c r="K42" i="10" s="1"/>
  <c r="J41" i="10"/>
  <c r="J42" i="10" s="1"/>
  <c r="I41" i="10"/>
  <c r="I42" i="10" s="1"/>
  <c r="H41" i="10"/>
  <c r="H42" i="10" s="1"/>
  <c r="G41" i="10"/>
  <c r="G42" i="10" s="1"/>
  <c r="G43" i="10" s="1"/>
  <c r="I33" i="10"/>
  <c r="G31" i="10"/>
  <c r="G32" i="10" s="1"/>
  <c r="G33" i="10" s="1"/>
  <c r="I23" i="10"/>
  <c r="I24" i="10" s="1"/>
  <c r="H23" i="10"/>
  <c r="H24" i="10" s="1"/>
  <c r="G23" i="10"/>
  <c r="G24" i="10" s="1"/>
  <c r="G25" i="10" s="1"/>
  <c r="C22" i="10"/>
  <c r="C24" i="10" s="1"/>
  <c r="C25" i="10" s="1"/>
  <c r="D19" i="10"/>
  <c r="I17" i="10"/>
  <c r="L16" i="10"/>
  <c r="K16" i="10"/>
  <c r="J15" i="10"/>
  <c r="J14" i="10"/>
  <c r="C14" i="10"/>
  <c r="C15" i="10" s="1"/>
  <c r="J13" i="10"/>
  <c r="J12" i="10"/>
  <c r="J11" i="10"/>
  <c r="J10" i="10"/>
  <c r="J9" i="10"/>
  <c r="I8" i="10"/>
  <c r="D2" i="10"/>
  <c r="B21" i="9"/>
  <c r="B20" i="9"/>
  <c r="C19" i="9"/>
  <c r="B19" i="9"/>
  <c r="B18" i="9"/>
  <c r="B17" i="9"/>
  <c r="G14" i="9"/>
  <c r="F14" i="9"/>
  <c r="G15" i="9" s="1"/>
  <c r="D11" i="9"/>
  <c r="C9" i="9"/>
  <c r="D8" i="9"/>
  <c r="D9" i="9" s="1"/>
  <c r="F6" i="9"/>
  <c r="E5" i="9"/>
  <c r="E4" i="9"/>
  <c r="M3" i="9"/>
  <c r="C10" i="6"/>
  <c r="C9" i="6"/>
  <c r="D8" i="6"/>
  <c r="F7" i="6"/>
  <c r="E7" i="6"/>
  <c r="D6" i="6"/>
  <c r="D5" i="6"/>
  <c r="D4" i="6"/>
  <c r="C3" i="6"/>
  <c r="C13" i="1"/>
  <c r="C14" i="1" s="1"/>
  <c r="H10" i="1"/>
  <c r="G8" i="1"/>
  <c r="H8" i="1" l="1"/>
  <c r="J10" i="1"/>
  <c r="I10" i="1"/>
  <c r="F4" i="6"/>
  <c r="E4" i="6"/>
  <c r="F5" i="6"/>
  <c r="E5" i="6"/>
  <c r="F6" i="6"/>
  <c r="E6" i="6"/>
  <c r="F8" i="6"/>
  <c r="E8" i="6"/>
  <c r="D9" i="6"/>
  <c r="C17" i="9"/>
  <c r="E8" i="9"/>
  <c r="F4" i="9"/>
  <c r="C18" i="9"/>
  <c r="F5" i="9"/>
  <c r="C12" i="14"/>
  <c r="D4" i="14" s="1"/>
  <c r="C12" i="13"/>
  <c r="D4" i="13" s="1"/>
  <c r="L9" i="10"/>
  <c r="K9" i="10"/>
  <c r="L10" i="10"/>
  <c r="K10" i="10"/>
  <c r="L11" i="10"/>
  <c r="K11" i="10"/>
  <c r="L12" i="10"/>
  <c r="K12" i="10"/>
  <c r="L13" i="10"/>
  <c r="K13" i="10"/>
  <c r="L14" i="10"/>
  <c r="K14" i="10"/>
  <c r="L15" i="10"/>
  <c r="K15" i="10"/>
  <c r="J17" i="10"/>
  <c r="D25" i="10"/>
  <c r="G34" i="10"/>
  <c r="G35" i="10" s="1"/>
  <c r="G44" i="10"/>
  <c r="G45" i="10" s="1"/>
  <c r="H38" i="10" s="1"/>
  <c r="H58" i="10"/>
  <c r="H59" i="10" s="1"/>
  <c r="I53" i="10"/>
  <c r="H66" i="10"/>
  <c r="H67" i="10" s="1"/>
  <c r="I61" i="10"/>
  <c r="C20" i="11"/>
  <c r="D12" i="11"/>
  <c r="L15" i="12"/>
  <c r="C10" i="13"/>
  <c r="F3" i="13"/>
  <c r="E3" i="13"/>
  <c r="K8" i="13"/>
  <c r="C10" i="14"/>
  <c r="F3" i="14"/>
  <c r="E3" i="14"/>
  <c r="K8" i="14"/>
  <c r="E9" i="15"/>
  <c r="F5" i="15"/>
  <c r="C20" i="15" s="1"/>
  <c r="M11" i="15"/>
  <c r="L11" i="15"/>
  <c r="G22" i="15"/>
  <c r="J29" i="15"/>
  <c r="K26" i="15"/>
  <c r="G14" i="16"/>
  <c r="E14" i="16" s="1"/>
  <c r="M12" i="16"/>
  <c r="L12" i="16"/>
  <c r="G12" i="16"/>
  <c r="K11" i="16"/>
  <c r="U37" i="16"/>
  <c r="V33" i="16"/>
  <c r="J46" i="16"/>
  <c r="Q54" i="16"/>
  <c r="T6" i="17"/>
  <c r="H8" i="17"/>
  <c r="H6" i="17"/>
  <c r="H7" i="17" s="1"/>
  <c r="G13" i="17"/>
  <c r="F21" i="17"/>
  <c r="F22" i="17" s="1"/>
  <c r="F19" i="17"/>
  <c r="M24" i="17"/>
  <c r="L24" i="17"/>
  <c r="Q34" i="17"/>
  <c r="R30" i="17"/>
  <c r="M31" i="17"/>
  <c r="L31" i="17"/>
  <c r="M43" i="17"/>
  <c r="R60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R34" i="17" l="1"/>
  <c r="N34" i="17"/>
  <c r="V37" i="16"/>
  <c r="R37" i="16"/>
  <c r="K12" i="16"/>
  <c r="E12" i="16"/>
  <c r="D18" i="11"/>
  <c r="F18" i="11" s="1"/>
  <c r="F12" i="11"/>
  <c r="E12" i="11"/>
  <c r="E18" i="11" s="1"/>
  <c r="C22" i="11" s="1"/>
  <c r="D22" i="11" s="1"/>
  <c r="I66" i="10"/>
  <c r="I67" i="10" s="1"/>
  <c r="J67" i="10" s="1"/>
  <c r="L67" i="10" s="1"/>
  <c r="J61" i="10"/>
  <c r="I58" i="10"/>
  <c r="I59" i="10" s="1"/>
  <c r="J59" i="10" s="1"/>
  <c r="L59" i="10" s="1"/>
  <c r="J53" i="10"/>
  <c r="H43" i="10"/>
  <c r="L17" i="10"/>
  <c r="J18" i="10"/>
  <c r="K17" i="10"/>
  <c r="D10" i="13"/>
  <c r="F10" i="13" s="1"/>
  <c r="F4" i="13"/>
  <c r="E4" i="13"/>
  <c r="E10" i="13" s="1"/>
  <c r="C14" i="13" s="1"/>
  <c r="D10" i="14"/>
  <c r="F10" i="14" s="1"/>
  <c r="F4" i="14"/>
  <c r="E4" i="14"/>
  <c r="E10" i="14" s="1"/>
  <c r="C14" i="14" s="1"/>
  <c r="C21" i="9"/>
  <c r="F8" i="9"/>
  <c r="E9" i="9"/>
  <c r="F9" i="6"/>
  <c r="D10" i="6"/>
  <c r="E9" i="6"/>
  <c r="H9" i="1"/>
  <c r="H11" i="1" s="1"/>
  <c r="G7" i="1"/>
  <c r="J8" i="1"/>
  <c r="I8" i="1"/>
  <c r="J9" i="1" l="1"/>
  <c r="I9" i="1"/>
  <c r="G10" i="6"/>
  <c r="F10" i="6"/>
  <c r="E10" i="6"/>
  <c r="E3" i="6" s="1"/>
  <c r="D3" i="6"/>
  <c r="F3" i="6" s="1"/>
  <c r="G9" i="9"/>
  <c r="F9" i="9"/>
  <c r="L18" i="10"/>
  <c r="K18" i="10"/>
  <c r="K8" i="10" s="1"/>
  <c r="J8" i="10"/>
  <c r="H44" i="10"/>
  <c r="H45" i="10" s="1"/>
  <c r="I38" i="10" s="1"/>
  <c r="M60" i="10"/>
  <c r="M59" i="10"/>
  <c r="M61" i="10" s="1"/>
  <c r="M68" i="10"/>
  <c r="M67" i="10"/>
  <c r="M69" i="10" s="1"/>
  <c r="I43" i="10" l="1"/>
  <c r="H25" i="10"/>
  <c r="L8" i="10"/>
  <c r="I25" i="10"/>
  <c r="I44" i="10" l="1"/>
  <c r="I45" i="10" s="1"/>
  <c r="J38" i="10" s="1"/>
  <c r="J43" i="10" l="1"/>
  <c r="J44" i="10" l="1"/>
  <c r="J45" i="10" s="1"/>
  <c r="K38" i="10" s="1"/>
  <c r="K43" i="10" l="1"/>
  <c r="K44" i="10" l="1"/>
  <c r="K45" i="10" s="1"/>
  <c r="L38" i="10" s="1"/>
  <c r="L43" i="10" l="1"/>
  <c r="L44" i="10" l="1"/>
  <c r="L45" i="10" s="1"/>
  <c r="M38" i="10" s="1"/>
  <c r="M43" i="10" l="1"/>
  <c r="N38" i="10"/>
  <c r="M44" i="10" l="1"/>
  <c r="M45" i="10" s="1"/>
  <c r="J11" i="1"/>
  <c r="H7" i="1"/>
  <c r="I11" i="1"/>
  <c r="I7" i="1"/>
  <c r="J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2" authorId="0" shapeId="0" xr:uid="{00000000-0006-0000-0C00-000001000000}">
      <text>
        <r>
          <rPr>
            <sz val="11"/>
            <color theme="1"/>
            <rFont val="Calibri"/>
            <scheme val="minor"/>
          </rPr>
          <t>======
ID#AAAARYtLi5U
Daniel Rodriguez Chaves    (2021-11-02 14:14:17)
Lo demás que se tiene pero no está acá corresponde al negocio y a los gastos del trasteo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8d4R9FAsCCLtGIp6E0BijlJXHkw=="/>
    </ext>
  </extLst>
</comments>
</file>

<file path=xl/sharedStrings.xml><?xml version="1.0" encoding="utf-8"?>
<sst xmlns="http://schemas.openxmlformats.org/spreadsheetml/2006/main" count="691" uniqueCount="340">
  <si>
    <t>People Pass</t>
  </si>
  <si>
    <t>Davivienda</t>
  </si>
  <si>
    <t>Cesantias</t>
  </si>
  <si>
    <t>PAC Falabella</t>
  </si>
  <si>
    <t>AHORROS CUENTAS</t>
  </si>
  <si>
    <t>Meta</t>
  </si>
  <si>
    <t>Real</t>
  </si>
  <si>
    <t>Faltante</t>
  </si>
  <si>
    <t>Porcentaje</t>
  </si>
  <si>
    <t>Total</t>
  </si>
  <si>
    <t>servicios</t>
  </si>
  <si>
    <t>comida</t>
  </si>
  <si>
    <t>aseo + skincare</t>
  </si>
  <si>
    <t>mensual madre</t>
  </si>
  <si>
    <t>Ahorro personal</t>
  </si>
  <si>
    <t>arriendo</t>
  </si>
  <si>
    <t>ARRIENDO</t>
  </si>
  <si>
    <t>mensual</t>
  </si>
  <si>
    <t>TOTAL</t>
  </si>
  <si>
    <t>% RTE FTE</t>
  </si>
  <si>
    <t>Tasa</t>
  </si>
  <si>
    <t>Falabella</t>
  </si>
  <si>
    <t>Valor</t>
  </si>
  <si>
    <t>Efectiva Anual</t>
  </si>
  <si>
    <t>Transformada</t>
  </si>
  <si>
    <t>Efectiva Mensual</t>
  </si>
  <si>
    <t>Ganacias mensuales</t>
  </si>
  <si>
    <t>RTE FTE</t>
  </si>
  <si>
    <t>Ganancia final</t>
  </si>
  <si>
    <t>(Es la tasa para conseguir casi 1'000 en rendimientos)</t>
  </si>
  <si>
    <t>Av Villas</t>
  </si>
  <si>
    <t>total</t>
  </si>
  <si>
    <t>davivienda</t>
  </si>
  <si>
    <t>Gastos</t>
  </si>
  <si>
    <t>aseo</t>
  </si>
  <si>
    <t>Curso Australia</t>
  </si>
  <si>
    <t>Ahorro Australia</t>
  </si>
  <si>
    <t>Pasaje a Australia</t>
  </si>
  <si>
    <t>Ahorro para el viaje</t>
  </si>
  <si>
    <t>Ahorro Madre</t>
  </si>
  <si>
    <t>6 meses de soporte</t>
  </si>
  <si>
    <t>RESUMEN ACTUAL</t>
  </si>
  <si>
    <t>Concepto</t>
  </si>
  <si>
    <t>Detalle</t>
  </si>
  <si>
    <t>Esperado 2021</t>
  </si>
  <si>
    <t>%</t>
  </si>
  <si>
    <t>Fuente</t>
  </si>
  <si>
    <t>Negocio</t>
  </si>
  <si>
    <t>* detalle hoja gastos trasteo</t>
  </si>
  <si>
    <t>Casa (estufa, lavadora, cama)</t>
  </si>
  <si>
    <t>Falabella + Banco W + FNA</t>
  </si>
  <si>
    <t>Odontologo</t>
  </si>
  <si>
    <t xml:space="preserve">Falabella </t>
  </si>
  <si>
    <t>* ya se retiró, quedan 700k para el tratamiento</t>
  </si>
  <si>
    <t>Australia</t>
  </si>
  <si>
    <t>FNA</t>
  </si>
  <si>
    <t>Banco W</t>
  </si>
  <si>
    <t>agua</t>
  </si>
  <si>
    <t>luz</t>
  </si>
  <si>
    <t>gas</t>
  </si>
  <si>
    <t>internet</t>
  </si>
  <si>
    <t>Pasaje a Mexico</t>
  </si>
  <si>
    <t>Pasaje Mexico a Italia</t>
  </si>
  <si>
    <t>Pasaje Italia a Irlanda</t>
  </si>
  <si>
    <t>Pasaje Irlanda a Melbourne</t>
  </si>
  <si>
    <t>año madre</t>
  </si>
  <si>
    <t>Ahorro para los viajes</t>
  </si>
  <si>
    <t>skin us</t>
  </si>
  <si>
    <t>skin mom</t>
  </si>
  <si>
    <t>almuerzos</t>
  </si>
  <si>
    <t>madre</t>
  </si>
  <si>
    <t>año</t>
  </si>
  <si>
    <t>1M POR SEPARADO</t>
  </si>
  <si>
    <t>MES</t>
  </si>
  <si>
    <t>- Descuentos -</t>
  </si>
  <si>
    <t>(4% rendimientos)</t>
  </si>
  <si>
    <t>(4x1000)</t>
  </si>
  <si>
    <t>Ahorro madre</t>
  </si>
  <si>
    <t>Total pasajes</t>
  </si>
  <si>
    <t>Ahorro restante</t>
  </si>
  <si>
    <t>Dinero para cada sitio</t>
  </si>
  <si>
    <t>Ya se tiene</t>
  </si>
  <si>
    <t>Falta 2021</t>
  </si>
  <si>
    <t>Meta 2022</t>
  </si>
  <si>
    <t>(meses de ahorro)</t>
  </si>
  <si>
    <t>gastos actuales</t>
  </si>
  <si>
    <t>a un mes</t>
  </si>
  <si>
    <t>a un año</t>
  </si>
  <si>
    <t>esenciales</t>
  </si>
  <si>
    <t>esenciales por categoría</t>
  </si>
  <si>
    <t>no esenciales</t>
  </si>
  <si>
    <t>crema cuerpo</t>
  </si>
  <si>
    <t>hidratante</t>
  </si>
  <si>
    <t>niacinamida</t>
  </si>
  <si>
    <t>acido hialuronico</t>
  </si>
  <si>
    <t>limpiador facial</t>
  </si>
  <si>
    <t>datos</t>
  </si>
  <si>
    <t>mercado</t>
  </si>
  <si>
    <t>espuma</t>
  </si>
  <si>
    <t>octubre</t>
  </si>
  <si>
    <t>shampoo</t>
  </si>
  <si>
    <t>noviembre</t>
  </si>
  <si>
    <t>bloqueador</t>
  </si>
  <si>
    <t>diciembre</t>
  </si>
  <si>
    <t>desodorante</t>
  </si>
  <si>
    <t>prima</t>
  </si>
  <si>
    <t>maquina</t>
  </si>
  <si>
    <t>gastos trasteo</t>
  </si>
  <si>
    <t>jabon cuerpo</t>
  </si>
  <si>
    <t>gastos negocio</t>
  </si>
  <si>
    <t>jabon manos</t>
  </si>
  <si>
    <t>ahorro - esencial + ganancias 2021</t>
  </si>
  <si>
    <t>talco</t>
  </si>
  <si>
    <t>cepillo</t>
  </si>
  <si>
    <t>crema dental</t>
  </si>
  <si>
    <t>enjuague bucal</t>
  </si>
  <si>
    <t>redoxon</t>
  </si>
  <si>
    <t>Esperado</t>
  </si>
  <si>
    <t>Ahorro Personal</t>
  </si>
  <si>
    <t>Banco W (CDT)</t>
  </si>
  <si>
    <t>Curso</t>
  </si>
  <si>
    <t>Pasaje</t>
  </si>
  <si>
    <t>Madre</t>
  </si>
  <si>
    <t>1 año</t>
  </si>
  <si>
    <t>Protección</t>
  </si>
  <si>
    <t>(Ahorro mensual)</t>
  </si>
  <si>
    <t>(de junio a octubre)</t>
  </si>
  <si>
    <t>(noviembre)</t>
  </si>
  <si>
    <t>tea</t>
  </si>
  <si>
    <t>tem</t>
  </si>
  <si>
    <t>Otros</t>
  </si>
  <si>
    <t>nequi</t>
  </si>
  <si>
    <t>av villas extras</t>
  </si>
  <si>
    <t>av villas gastos</t>
  </si>
  <si>
    <t>#</t>
  </si>
  <si>
    <t>Faltante de fuente</t>
  </si>
  <si>
    <t>Total Rubro</t>
  </si>
  <si>
    <t>Total %</t>
  </si>
  <si>
    <t>Ya pago</t>
  </si>
  <si>
    <t>1)</t>
  </si>
  <si>
    <t>FAMILIA</t>
  </si>
  <si>
    <t>550K por 18 meses</t>
  </si>
  <si>
    <t>Grado Valentina</t>
  </si>
  <si>
    <t>2)</t>
  </si>
  <si>
    <t>PAGO CURSO</t>
  </si>
  <si>
    <t>Ya abonado</t>
  </si>
  <si>
    <t>3)</t>
  </si>
  <si>
    <t>PASAJE</t>
  </si>
  <si>
    <t>Ida</t>
  </si>
  <si>
    <t>4)</t>
  </si>
  <si>
    <t>DOCUMENTOS</t>
  </si>
  <si>
    <t>Carta motivación, certificado estudios, diploma, acta de grado (colegio + universidad), constancia laboral, ultimos 3 desprendibles de nómina.</t>
  </si>
  <si>
    <t>5)</t>
  </si>
  <si>
    <t>AHORRO AUS</t>
  </si>
  <si>
    <t>en 2020</t>
  </si>
  <si>
    <t>para 2021</t>
  </si>
  <si>
    <t>Faltantes en el cálculo</t>
  </si>
  <si>
    <t>(NO CONTADO AV)</t>
  </si>
  <si>
    <t>(NO CONTADO FNA)</t>
  </si>
  <si>
    <t>REALES</t>
  </si>
  <si>
    <t>CDT</t>
  </si>
  <si>
    <t>FALABELLA</t>
  </si>
  <si>
    <t>* 3180 Arriendos + 194 Australia</t>
  </si>
  <si>
    <t>AV VILLAS</t>
  </si>
  <si>
    <t>FEC</t>
  </si>
  <si>
    <t>PROTECCION</t>
  </si>
  <si>
    <t>GASTOS MENSUALES:</t>
  </si>
  <si>
    <t>Dinero</t>
  </si>
  <si>
    <t>Rubro</t>
  </si>
  <si>
    <t>AV+FNA+PRO+CURSO</t>
  </si>
  <si>
    <t>Comida Abril</t>
  </si>
  <si>
    <t>REPARTIR EN LA CUENTA</t>
  </si>
  <si>
    <t>Recibos Marzo</t>
  </si>
  <si>
    <t>REPARTIR + FEC</t>
  </si>
  <si>
    <t>Comida Marzo</t>
  </si>
  <si>
    <t>Servicios Abril</t>
  </si>
  <si>
    <t>AV+FNA+CURSO</t>
  </si>
  <si>
    <t>Arriendo Abril</t>
  </si>
  <si>
    <t>GASTOS MENSUALES</t>
  </si>
  <si>
    <t>Ropa</t>
  </si>
  <si>
    <t>ARRIENDO ATICO</t>
  </si>
  <si>
    <t>* [cuota sep]: 15k; gas: 122k; luz: 200k; agua: 170k; claro 110k; datos: 65k; luz_pend: 420k</t>
  </si>
  <si>
    <t>DAVIVIENDA</t>
  </si>
  <si>
    <t>Total Gastos Marzo</t>
  </si>
  <si>
    <t>* [recibos mes] cm: 15k; gas: 122k; luz: 200k; agua: 170k; claro 110k; datos: 65k</t>
  </si>
  <si>
    <t>NEQUI</t>
  </si>
  <si>
    <t>* 25k debe Lina (no están contados)</t>
  </si>
  <si>
    <t>(Gastos mes)</t>
  </si>
  <si>
    <t>faltante</t>
  </si>
  <si>
    <t>RUBRO</t>
  </si>
  <si>
    <t>OBJETIVO</t>
  </si>
  <si>
    <t>REAL</t>
  </si>
  <si>
    <t>CUMPLIMIENTO</t>
  </si>
  <si>
    <t>TOTAL CIERRE</t>
  </si>
  <si>
    <t>NETFLIX (22 meses)</t>
  </si>
  <si>
    <t>ROPA</t>
  </si>
  <si>
    <t>OTROS COL 2020</t>
  </si>
  <si>
    <t>* desodorante, shapoo, jabon, papel, crema dental, cepillos, antitranspirante, enjuague bucal, redoxon, talco, menticol</t>
  </si>
  <si>
    <t>OTROS COL 2021</t>
  </si>
  <si>
    <t>Mover a</t>
  </si>
  <si>
    <t>no info actual</t>
  </si>
  <si>
    <t>Sueldo 
Enero 31</t>
  </si>
  <si>
    <t>Agua</t>
  </si>
  <si>
    <t>Pago</t>
  </si>
  <si>
    <t>MES ACTUAL</t>
  </si>
  <si>
    <t>SERVICIOS</t>
  </si>
  <si>
    <t>MES SIGUIENTE</t>
  </si>
  <si>
    <t>ESPERADO</t>
  </si>
  <si>
    <t>Mamá</t>
  </si>
  <si>
    <t>Arriendos</t>
  </si>
  <si>
    <t>LUZ</t>
  </si>
  <si>
    <t>(473 con lo de Lina)</t>
  </si>
  <si>
    <t>Heidy</t>
  </si>
  <si>
    <t>Tranferir</t>
  </si>
  <si>
    <t>GAS</t>
  </si>
  <si>
    <t>Comida (100) + Servicios (100) [Marzo]</t>
  </si>
  <si>
    <t>Gastos Mensuales</t>
  </si>
  <si>
    <t>AGUA</t>
  </si>
  <si>
    <t>CLARO</t>
  </si>
  <si>
    <t>DATOS</t>
  </si>
  <si>
    <t>(TOTAL MOVIDO)</t>
  </si>
  <si>
    <t>COMIDA</t>
  </si>
  <si>
    <t>australia</t>
  </si>
  <si>
    <t>(Apartamento)</t>
  </si>
  <si>
    <t>CUOTA MANEJO</t>
  </si>
  <si>
    <t>Gastos
Mensuales</t>
  </si>
  <si>
    <t>x</t>
  </si>
  <si>
    <t>[Sale de Gastos Mes]
(FNA)</t>
  </si>
  <si>
    <t>Total ahorro</t>
  </si>
  <si>
    <t>BUSES</t>
  </si>
  <si>
    <t>PENDIENTE LUZ</t>
  </si>
  <si>
    <t>* pendiente luz: 173jun + 196 jul + 470 ago = 839 (420 mitad)</t>
  </si>
  <si>
    <t>AHORRO</t>
  </si>
  <si>
    <t>* En el último sueldo del año dejar 400k para FNA y 500k para ayudar extra a al casa (serán 450k cada mes)</t>
  </si>
  <si>
    <t>META</t>
  </si>
  <si>
    <t>FUENTE</t>
  </si>
  <si>
    <t>TOTAL FUENTE</t>
  </si>
  <si>
    <t>AV</t>
  </si>
  <si>
    <t>AHORRO AV VILLAS</t>
  </si>
  <si>
    <t>Sueldo 
Diciembre15</t>
  </si>
  <si>
    <t>(Gastos mensuales)</t>
  </si>
  <si>
    <t>+ Prot</t>
  </si>
  <si>
    <t>* Para imprevistos</t>
  </si>
  <si>
    <t>Varios Navidad</t>
  </si>
  <si>
    <t>(NEQUI)</t>
  </si>
  <si>
    <t>3 AMIGOS</t>
  </si>
  <si>
    <t>+ FEC</t>
  </si>
  <si>
    <t xml:space="preserve">GASTOS MENSUALES </t>
  </si>
  <si>
    <t>NA</t>
  </si>
  <si>
    <t>* 25k debe Lina y 100k jesus (no están contados)</t>
  </si>
  <si>
    <t>Sueldo 
Noviembre 30</t>
  </si>
  <si>
    <t>servicios dic</t>
  </si>
  <si>
    <t>AV TOTAL</t>
  </si>
  <si>
    <t>cojin lechona</t>
  </si>
  <si>
    <t>regalos negro + tatan</t>
  </si>
  <si>
    <t>FNA TOTAL</t>
  </si>
  <si>
    <t>DISTRIBUCION</t>
  </si>
  <si>
    <t>DETALLE</t>
  </si>
  <si>
    <t>VALOR</t>
  </si>
  <si>
    <t>NETFLIX (38 meses)</t>
  </si>
  <si>
    <t>TOTAL CONTADO</t>
  </si>
  <si>
    <t>(NO CONTADO TOTAL)</t>
  </si>
  <si>
    <t>* total ahorro real</t>
  </si>
  <si>
    <t>SERVICIOS MES</t>
  </si>
  <si>
    <t>SERVCIOS MES STE</t>
  </si>
  <si>
    <t>FNA MES STE</t>
  </si>
  <si>
    <t>DEUDA LUZ</t>
  </si>
  <si>
    <t>OTROS</t>
  </si>
  <si>
    <t>25*</t>
  </si>
  <si>
    <t>cant. exacta</t>
  </si>
  <si>
    <t>periodo 2020</t>
  </si>
  <si>
    <t>cantidad</t>
  </si>
  <si>
    <t>valor unidad</t>
  </si>
  <si>
    <t>valor total</t>
  </si>
  <si>
    <t>redoxon x2</t>
  </si>
  <si>
    <t>desodorante x 2</t>
  </si>
  <si>
    <t>jabon x 3</t>
  </si>
  <si>
    <t>papel x 12</t>
  </si>
  <si>
    <t>crema dental x 3</t>
  </si>
  <si>
    <t>cepillos</t>
  </si>
  <si>
    <t>antitranspirante</t>
  </si>
  <si>
    <t>menticol</t>
  </si>
  <si>
    <t>maquinas de afeitar</t>
  </si>
  <si>
    <t>seda dental</t>
  </si>
  <si>
    <t>área</t>
  </si>
  <si>
    <t>objetos</t>
  </si>
  <si>
    <t>valor máximo aproximado</t>
  </si>
  <si>
    <t>Dani</t>
  </si>
  <si>
    <t>Ross</t>
  </si>
  <si>
    <t>cocina</t>
  </si>
  <si>
    <t>estufa</t>
  </si>
  <si>
    <t>sanduchera</t>
  </si>
  <si>
    <t>nevera (minibar)</t>
  </si>
  <si>
    <t>ollas</t>
  </si>
  <si>
    <t>olla express</t>
  </si>
  <si>
    <t>oyeta</t>
  </si>
  <si>
    <t>airfryer</t>
  </si>
  <si>
    <t>microondas</t>
  </si>
  <si>
    <t>licuadora</t>
  </si>
  <si>
    <t>platos+pocillos+vasos+cubiertos</t>
  </si>
  <si>
    <t>escoba+trapero+recogedor+cepillo ropa+totuma</t>
  </si>
  <si>
    <t>lavadora sin secadora</t>
  </si>
  <si>
    <t>ganchos+trapos+jabón</t>
  </si>
  <si>
    <t>alcoba</t>
  </si>
  <si>
    <t>cama</t>
  </si>
  <si>
    <t>tv</t>
  </si>
  <si>
    <t>sabanas</t>
  </si>
  <si>
    <t xml:space="preserve">almohadas </t>
  </si>
  <si>
    <t>armario</t>
  </si>
  <si>
    <t>mesa de noche</t>
  </si>
  <si>
    <t>cortinas</t>
  </si>
  <si>
    <t>cobija</t>
  </si>
  <si>
    <t>baño</t>
  </si>
  <si>
    <t>cortina baño</t>
  </si>
  <si>
    <t>gabinete espejo</t>
  </si>
  <si>
    <t>toallas</t>
  </si>
  <si>
    <t>sala</t>
  </si>
  <si>
    <t>sofa</t>
  </si>
  <si>
    <t>portatiles</t>
  </si>
  <si>
    <t>escritorios</t>
  </si>
  <si>
    <t>silla escritorio</t>
  </si>
  <si>
    <t>TOTAL QUE SE PUEDE ADELANTAR</t>
  </si>
  <si>
    <t>arriendos</t>
  </si>
  <si>
    <t>casa</t>
  </si>
  <si>
    <t>curso</t>
  </si>
  <si>
    <t>pasaje</t>
  </si>
  <si>
    <t>ahorrar 3 millones por mes por 8 meses</t>
  </si>
  <si>
    <t>Mensual casa</t>
  </si>
  <si>
    <t>Anualidad casa</t>
  </si>
  <si>
    <t>Doce meses Colombia</t>
  </si>
  <si>
    <t>CommonBank</t>
  </si>
  <si>
    <t>AUD to COP</t>
  </si>
  <si>
    <t>Deuda mamá</t>
  </si>
  <si>
    <t>Curso de Conduccion</t>
  </si>
  <si>
    <t>Gimnasio</t>
  </si>
  <si>
    <t>Luz</t>
  </si>
  <si>
    <t>Gas</t>
  </si>
  <si>
    <t>Internet</t>
  </si>
  <si>
    <t>Datos</t>
  </si>
  <si>
    <t>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</si>
</sst>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 $]#,##0"/>
    <numFmt numFmtId="165" formatCode="dd/mm/yyyy"/>
    <numFmt numFmtId="168" formatCode="_-&quot;$&quot;\ * #,##0.00_-;\-&quot;$&quot;\ * #,##0.00_-;_-&quot;$&quot;\ * &quot;-&quot;??_-;_-@"/>
    <numFmt numFmtId="169" formatCode="d/m"/>
    <numFmt numFmtId="170" formatCode="mmm\ d"/>
  </numFmts>
  <fonts count="3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sz val="11"/>
      <name val="Calibri"/>
    </font>
    <font>
      <sz val="11"/>
      <color rgb="FFFF0000"/>
      <name val="Calibri"/>
    </font>
    <font>
      <b/>
      <sz val="11"/>
      <color theme="1"/>
      <name val="Calibri"/>
      <scheme val="minor"/>
    </font>
    <font>
      <b/>
      <sz val="11"/>
      <color rgb="FF00B0F0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4DD0E1"/>
      <name val="Calibri"/>
    </font>
    <font>
      <sz val="11"/>
      <color rgb="FF4DD0E1"/>
      <name val="Arial"/>
    </font>
    <font>
      <sz val="11"/>
      <color rgb="FFFF0000"/>
      <name val="Arial"/>
    </font>
    <font>
      <sz val="11"/>
      <color rgb="FF4DD0E1"/>
      <name val="Calibri"/>
      <scheme val="minor"/>
    </font>
    <font>
      <sz val="11"/>
      <color rgb="FFFF0000"/>
      <name val="Calibri"/>
      <scheme val="minor"/>
    </font>
    <font>
      <b/>
      <sz val="11"/>
      <color rgb="FF4A86E8"/>
      <name val="Calibri"/>
      <scheme val="minor"/>
    </font>
    <font>
      <b/>
      <sz val="11"/>
      <color rgb="FFFF0000"/>
      <name val="Calibri"/>
    </font>
    <font>
      <b/>
      <sz val="11"/>
      <color rgb="FF00B0F0"/>
      <name val="Calibri"/>
    </font>
    <font>
      <sz val="11"/>
      <color theme="6"/>
      <name val="Calibri"/>
    </font>
    <font>
      <sz val="11"/>
      <color rgb="FF00B0F0"/>
      <name val="Calibri"/>
    </font>
    <font>
      <sz val="11"/>
      <color rgb="FFAEABAB"/>
      <name val="Calibri"/>
    </font>
    <font>
      <b/>
      <sz val="11"/>
      <color rgb="FF00B050"/>
      <name val="Calibri"/>
    </font>
    <font>
      <sz val="11"/>
      <color rgb="FF00B050"/>
      <name val="Calibri"/>
    </font>
    <font>
      <b/>
      <sz val="11"/>
      <color rgb="FF8F23AD"/>
      <name val="Calibri"/>
    </font>
    <font>
      <sz val="11"/>
      <color rgb="FF8F23AD"/>
      <name val="Calibri"/>
    </font>
    <font>
      <b/>
      <sz val="11"/>
      <color rgb="FFBF9000"/>
      <name val="Calibri"/>
    </font>
    <font>
      <sz val="11"/>
      <color rgb="FF1155CC"/>
      <name val="Calibri"/>
    </font>
    <font>
      <sz val="11"/>
      <color rgb="FF1155CC"/>
      <name val="Arial"/>
    </font>
    <font>
      <sz val="11"/>
      <color rgb="FF990000"/>
      <name val="Calibri"/>
    </font>
    <font>
      <sz val="11"/>
      <color theme="5"/>
      <name val="Calibri"/>
    </font>
    <font>
      <sz val="11"/>
      <color rgb="FF757070"/>
      <name val="Calibri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AEABAB"/>
        <bgColor rgb="FFAEABAB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BF9000"/>
        <bgColor rgb="FFBF9000"/>
      </patternFill>
    </fill>
  </fills>
  <borders count="86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4DD0E1"/>
      </left>
      <right style="thin">
        <color rgb="FF4DD0E1"/>
      </right>
      <top style="thin">
        <color rgb="FF4DD0E1"/>
      </top>
      <bottom style="thin">
        <color rgb="FF4DD0E1"/>
      </bottom>
      <diagonal/>
    </border>
    <border>
      <left style="thin">
        <color rgb="FF00FF00"/>
      </left>
      <right/>
      <top style="thin">
        <color rgb="FF00FF00"/>
      </top>
      <bottom/>
      <diagonal/>
    </border>
    <border>
      <left/>
      <right style="thin">
        <color rgb="FF00FF00"/>
      </right>
      <top style="thin">
        <color rgb="FF00FF00"/>
      </top>
      <bottom/>
      <diagonal/>
    </border>
    <border>
      <left style="thin">
        <color rgb="FF00FF00"/>
      </left>
      <right/>
      <top/>
      <bottom/>
      <diagonal/>
    </border>
    <border>
      <left/>
      <right style="thin">
        <color rgb="FF00FF00"/>
      </right>
      <top/>
      <bottom/>
      <diagonal/>
    </border>
    <border>
      <left style="thin">
        <color rgb="FF00FF00"/>
      </left>
      <right/>
      <top/>
      <bottom style="thin">
        <color rgb="FF00FF00"/>
      </bottom>
      <diagonal/>
    </border>
    <border>
      <left/>
      <right style="thin">
        <color rgb="FF00FF00"/>
      </right>
      <top/>
      <bottom style="thin">
        <color rgb="FF00FF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4DD0E1"/>
      </left>
      <right/>
      <top style="thin">
        <color rgb="FF4DD0E1"/>
      </top>
      <bottom style="thin">
        <color rgb="FF4DD0E1"/>
      </bottom>
      <diagonal/>
    </border>
    <border>
      <left/>
      <right/>
      <top style="thin">
        <color rgb="FF4DD0E1"/>
      </top>
      <bottom style="thin">
        <color rgb="FF4DD0E1"/>
      </bottom>
      <diagonal/>
    </border>
    <border>
      <left/>
      <right style="thin">
        <color rgb="FF4DD0E1"/>
      </right>
      <top style="thin">
        <color rgb="FF4DD0E1"/>
      </top>
      <bottom style="thin">
        <color rgb="FF4DD0E1"/>
      </bottom>
      <diagonal/>
    </border>
    <border>
      <left style="thin">
        <color rgb="FF4DD0E1"/>
      </left>
      <right/>
      <top style="thin">
        <color rgb="FF4DD0E1"/>
      </top>
      <bottom/>
      <diagonal/>
    </border>
    <border>
      <left/>
      <right/>
      <top style="thin">
        <color rgb="FF4DD0E1"/>
      </top>
      <bottom/>
      <diagonal/>
    </border>
    <border>
      <left/>
      <right style="thin">
        <color rgb="FF4DD0E1"/>
      </right>
      <top style="thin">
        <color rgb="FF4DD0E1"/>
      </top>
      <bottom/>
      <diagonal/>
    </border>
    <border>
      <left style="thin">
        <color rgb="FF4DD0E1"/>
      </left>
      <right/>
      <top/>
      <bottom/>
      <diagonal/>
    </border>
    <border>
      <left/>
      <right style="thin">
        <color rgb="FF4DD0E1"/>
      </right>
      <top/>
      <bottom/>
      <diagonal/>
    </border>
    <border>
      <left style="thin">
        <color rgb="FF4DD0E1"/>
      </left>
      <right/>
      <top/>
      <bottom style="thin">
        <color rgb="FF4DD0E1"/>
      </bottom>
      <diagonal/>
    </border>
    <border>
      <left/>
      <right/>
      <top/>
      <bottom style="thin">
        <color rgb="FF4DD0E1"/>
      </bottom>
      <diagonal/>
    </border>
    <border>
      <left/>
      <right style="thin">
        <color rgb="FF4DD0E1"/>
      </right>
      <top/>
      <bottom style="thin">
        <color rgb="FF4DD0E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8F23AD"/>
      </left>
      <right/>
      <top style="thin">
        <color rgb="FF8F23AD"/>
      </top>
      <bottom style="thin">
        <color rgb="FF8F23AD"/>
      </bottom>
      <diagonal/>
    </border>
    <border>
      <left/>
      <right/>
      <top style="thin">
        <color rgb="FF8F23AD"/>
      </top>
      <bottom style="thin">
        <color rgb="FF8F23AD"/>
      </bottom>
      <diagonal/>
    </border>
    <border>
      <left/>
      <right style="thin">
        <color rgb="FF8F23AD"/>
      </right>
      <top style="thin">
        <color rgb="FF8F23AD"/>
      </top>
      <bottom style="thin">
        <color rgb="FF8F23AD"/>
      </bottom>
      <diagonal/>
    </border>
    <border>
      <left style="thin">
        <color rgb="FF8F23AD"/>
      </left>
      <right style="thin">
        <color rgb="FF8F23AD"/>
      </right>
      <top style="thin">
        <color rgb="FF8F23AD"/>
      </top>
      <bottom style="thin">
        <color rgb="FF8F23AD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BF9000"/>
      </left>
      <right style="thin">
        <color rgb="FFBF9000"/>
      </right>
      <top style="thin">
        <color rgb="FFBF9000"/>
      </top>
      <bottom style="thin">
        <color rgb="FFBF9000"/>
      </bottom>
      <diagonal/>
    </border>
    <border>
      <left/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4DD0E1"/>
      </left>
      <right style="thin">
        <color rgb="FF4DD0E1"/>
      </right>
      <top style="thin">
        <color rgb="FF4DD0E1"/>
      </top>
      <bottom/>
      <diagonal/>
    </border>
    <border>
      <left/>
      <right/>
      <top style="thin">
        <color rgb="FF00B0F0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4" xfId="0" applyNumberFormat="1" applyFont="1" applyBorder="1"/>
    <xf numFmtId="164" fontId="2" fillId="0" borderId="6" xfId="0" applyNumberFormat="1" applyFont="1" applyBorder="1"/>
    <xf numFmtId="164" fontId="2" fillId="0" borderId="7" xfId="0" applyNumberFormat="1" applyFont="1" applyBorder="1"/>
    <xf numFmtId="164" fontId="1" fillId="0" borderId="9" xfId="0" applyNumberFormat="1" applyFont="1" applyBorder="1"/>
    <xf numFmtId="164" fontId="6" fillId="0" borderId="9" xfId="0" applyNumberFormat="1" applyFont="1" applyBorder="1" applyAlignment="1">
      <alignment horizontal="right"/>
    </xf>
    <xf numFmtId="164" fontId="1" fillId="2" borderId="0" xfId="0" applyNumberFormat="1" applyFont="1" applyFill="1"/>
    <xf numFmtId="164" fontId="6" fillId="0" borderId="9" xfId="0" applyNumberFormat="1" applyFont="1" applyBorder="1"/>
    <xf numFmtId="164" fontId="7" fillId="0" borderId="9" xfId="0" applyNumberFormat="1" applyFont="1" applyBorder="1"/>
    <xf numFmtId="10" fontId="7" fillId="0" borderId="9" xfId="0" applyNumberFormat="1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3" fillId="0" borderId="9" xfId="0" applyNumberFormat="1" applyFont="1" applyBorder="1"/>
    <xf numFmtId="10" fontId="1" fillId="0" borderId="9" xfId="0" applyNumberFormat="1" applyFont="1" applyBorder="1"/>
    <xf numFmtId="164" fontId="1" fillId="0" borderId="12" xfId="0" applyNumberFormat="1" applyFont="1" applyBorder="1"/>
    <xf numFmtId="164" fontId="1" fillId="0" borderId="13" xfId="0" applyNumberFormat="1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6" fillId="0" borderId="14" xfId="0" applyNumberFormat="1" applyFont="1" applyBorder="1"/>
    <xf numFmtId="164" fontId="6" fillId="0" borderId="15" xfId="0" applyNumberFormat="1" applyFont="1" applyBorder="1"/>
    <xf numFmtId="164" fontId="6" fillId="0" borderId="0" xfId="0" applyNumberFormat="1" applyFont="1"/>
    <xf numFmtId="164" fontId="6" fillId="2" borderId="0" xfId="0" applyNumberFormat="1" applyFont="1" applyFill="1"/>
    <xf numFmtId="165" fontId="1" fillId="0" borderId="0" xfId="0" applyNumberFormat="1" applyFont="1"/>
    <xf numFmtId="164" fontId="7" fillId="0" borderId="0" xfId="0" applyNumberFormat="1" applyFont="1"/>
    <xf numFmtId="164" fontId="3" fillId="0" borderId="0" xfId="0" applyNumberFormat="1" applyFont="1"/>
    <xf numFmtId="0" fontId="6" fillId="0" borderId="0" xfId="0" applyFont="1"/>
    <xf numFmtId="0" fontId="1" fillId="0" borderId="0" xfId="0" applyFont="1"/>
    <xf numFmtId="0" fontId="1" fillId="2" borderId="0" xfId="0" applyFont="1" applyFill="1"/>
    <xf numFmtId="0" fontId="9" fillId="0" borderId="0" xfId="0" applyFont="1"/>
    <xf numFmtId="10" fontId="1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right"/>
    </xf>
    <xf numFmtId="0" fontId="3" fillId="0" borderId="0" xfId="0" applyFont="1"/>
    <xf numFmtId="0" fontId="1" fillId="0" borderId="9" xfId="0" applyFont="1" applyBorder="1"/>
    <xf numFmtId="0" fontId="6" fillId="0" borderId="9" xfId="0" applyFont="1" applyBorder="1"/>
    <xf numFmtId="0" fontId="3" fillId="0" borderId="9" xfId="0" applyFont="1" applyBorder="1"/>
    <xf numFmtId="0" fontId="3" fillId="0" borderId="0" xfId="0" applyFont="1" applyAlignment="1">
      <alignment horizontal="right"/>
    </xf>
    <xf numFmtId="0" fontId="3" fillId="0" borderId="16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2" fillId="0" borderId="23" xfId="0" applyFont="1" applyBorder="1"/>
    <xf numFmtId="164" fontId="1" fillId="0" borderId="24" xfId="0" applyNumberFormat="1" applyFont="1" applyBorder="1"/>
    <xf numFmtId="164" fontId="3" fillId="0" borderId="24" xfId="0" applyNumberFormat="1" applyFont="1" applyBorder="1"/>
    <xf numFmtId="164" fontId="2" fillId="0" borderId="24" xfId="0" applyNumberFormat="1" applyFont="1" applyBorder="1"/>
    <xf numFmtId="10" fontId="3" fillId="0" borderId="24" xfId="0" applyNumberFormat="1" applyFont="1" applyBorder="1"/>
    <xf numFmtId="0" fontId="1" fillId="0" borderId="25" xfId="0" applyFont="1" applyBorder="1"/>
    <xf numFmtId="0" fontId="2" fillId="0" borderId="26" xfId="0" applyFont="1" applyBorder="1"/>
    <xf numFmtId="10" fontId="3" fillId="0" borderId="0" xfId="0" applyNumberFormat="1" applyFont="1"/>
    <xf numFmtId="0" fontId="1" fillId="0" borderId="27" xfId="0" applyFont="1" applyBorder="1"/>
    <xf numFmtId="0" fontId="2" fillId="0" borderId="28" xfId="0" applyFont="1" applyBorder="1"/>
    <xf numFmtId="164" fontId="3" fillId="0" borderId="29" xfId="0" applyNumberFormat="1" applyFont="1" applyBorder="1"/>
    <xf numFmtId="164" fontId="2" fillId="0" borderId="29" xfId="0" applyNumberFormat="1" applyFont="1" applyBorder="1"/>
    <xf numFmtId="10" fontId="3" fillId="0" borderId="29" xfId="0" applyNumberFormat="1" applyFont="1" applyBorder="1"/>
    <xf numFmtId="0" fontId="1" fillId="0" borderId="30" xfId="0" applyFont="1" applyBorder="1"/>
    <xf numFmtId="0" fontId="12" fillId="0" borderId="20" xfId="0" applyFont="1" applyBorder="1"/>
    <xf numFmtId="164" fontId="12" fillId="0" borderId="21" xfId="0" applyNumberFormat="1" applyFont="1" applyBorder="1"/>
    <xf numFmtId="10" fontId="12" fillId="0" borderId="22" xfId="0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/>
    <xf numFmtId="164" fontId="5" fillId="0" borderId="0" xfId="0" applyNumberFormat="1" applyFont="1"/>
    <xf numFmtId="164" fontId="13" fillId="0" borderId="0" xfId="0" applyNumberFormat="1" applyFont="1"/>
    <xf numFmtId="0" fontId="2" fillId="0" borderId="6" xfId="0" applyFont="1" applyBorder="1"/>
    <xf numFmtId="0" fontId="2" fillId="0" borderId="7" xfId="0" applyFont="1" applyBorder="1"/>
    <xf numFmtId="10" fontId="2" fillId="0" borderId="0" xfId="0" applyNumberFormat="1" applyFont="1"/>
    <xf numFmtId="10" fontId="1" fillId="2" borderId="0" xfId="0" applyNumberFormat="1" applyFont="1" applyFill="1"/>
    <xf numFmtId="0" fontId="3" fillId="2" borderId="0" xfId="0" applyFont="1" applyFill="1"/>
    <xf numFmtId="165" fontId="1" fillId="5" borderId="0" xfId="0" applyNumberFormat="1" applyFont="1" applyFill="1"/>
    <xf numFmtId="1" fontId="1" fillId="0" borderId="0" xfId="0" applyNumberFormat="1" applyFont="1"/>
    <xf numFmtId="0" fontId="1" fillId="0" borderId="0" xfId="0" quotePrefix="1" applyFont="1"/>
    <xf numFmtId="1" fontId="1" fillId="6" borderId="0" xfId="0" applyNumberFormat="1" applyFont="1" applyFill="1"/>
    <xf numFmtId="0" fontId="1" fillId="6" borderId="0" xfId="0" applyFont="1" applyFill="1"/>
    <xf numFmtId="0" fontId="1" fillId="7" borderId="9" xfId="0" applyFont="1" applyFill="1" applyBorder="1"/>
    <xf numFmtId="0" fontId="14" fillId="0" borderId="0" xfId="0" applyFont="1"/>
    <xf numFmtId="0" fontId="14" fillId="7" borderId="0" xfId="0" applyFont="1" applyFill="1"/>
    <xf numFmtId="0" fontId="14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5" fillId="0" borderId="0" xfId="0" applyFont="1"/>
    <xf numFmtId="164" fontId="15" fillId="0" borderId="0" xfId="0" applyNumberFormat="1" applyFont="1"/>
    <xf numFmtId="0" fontId="16" fillId="0" borderId="0" xfId="0" applyFont="1"/>
    <xf numFmtId="164" fontId="16" fillId="0" borderId="0" xfId="0" applyNumberFormat="1" applyFont="1"/>
    <xf numFmtId="10" fontId="3" fillId="0" borderId="27" xfId="0" applyNumberFormat="1" applyFont="1" applyBorder="1"/>
    <xf numFmtId="0" fontId="2" fillId="0" borderId="29" xfId="0" applyFont="1" applyBorder="1"/>
    <xf numFmtId="10" fontId="3" fillId="0" borderId="30" xfId="0" applyNumberFormat="1" applyFont="1" applyBorder="1"/>
    <xf numFmtId="0" fontId="3" fillId="2" borderId="34" xfId="0" applyFont="1" applyFill="1" applyBorder="1"/>
    <xf numFmtId="0" fontId="3" fillId="2" borderId="35" xfId="0" applyFont="1" applyFill="1" applyBorder="1"/>
    <xf numFmtId="0" fontId="8" fillId="2" borderId="35" xfId="0" applyFont="1" applyFill="1" applyBorder="1" applyAlignment="1">
      <alignment horizontal="center" vertical="center"/>
    </xf>
    <xf numFmtId="168" fontId="17" fillId="2" borderId="35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 wrapText="1"/>
    </xf>
    <xf numFmtId="0" fontId="3" fillId="2" borderId="36" xfId="0" applyFont="1" applyFill="1" applyBorder="1"/>
    <xf numFmtId="0" fontId="3" fillId="2" borderId="37" xfId="0" applyFont="1" applyFill="1" applyBorder="1"/>
    <xf numFmtId="0" fontId="3" fillId="2" borderId="42" xfId="0" applyFont="1" applyFill="1" applyBorder="1"/>
    <xf numFmtId="168" fontId="18" fillId="2" borderId="44" xfId="0" applyNumberFormat="1" applyFont="1" applyFill="1" applyBorder="1" applyAlignment="1">
      <alignment horizontal="center" vertical="center"/>
    </xf>
    <xf numFmtId="0" fontId="18" fillId="2" borderId="44" xfId="0" applyFont="1" applyFill="1" applyBorder="1" applyAlignment="1">
      <alignment horizontal="center" vertical="center"/>
    </xf>
    <xf numFmtId="0" fontId="3" fillId="0" borderId="34" xfId="0" applyFont="1" applyBorder="1"/>
    <xf numFmtId="0" fontId="3" fillId="2" borderId="42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9" fontId="3" fillId="2" borderId="44" xfId="0" applyNumberFormat="1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19" fillId="2" borderId="44" xfId="0" applyFont="1" applyFill="1" applyBorder="1" applyAlignment="1">
      <alignment horizontal="center" vertical="center"/>
    </xf>
    <xf numFmtId="168" fontId="3" fillId="2" borderId="37" xfId="0" applyNumberFormat="1" applyFont="1" applyFill="1" applyBorder="1" applyAlignment="1">
      <alignment horizontal="center" vertical="center"/>
    </xf>
    <xf numFmtId="0" fontId="3" fillId="0" borderId="45" xfId="0" applyFont="1" applyBorder="1"/>
    <xf numFmtId="0" fontId="5" fillId="2" borderId="42" xfId="0" applyFont="1" applyFill="1" applyBorder="1"/>
    <xf numFmtId="168" fontId="3" fillId="2" borderId="44" xfId="0" applyNumberFormat="1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9" fontId="3" fillId="3" borderId="44" xfId="0" applyNumberFormat="1" applyFont="1" applyFill="1" applyBorder="1" applyAlignment="1">
      <alignment horizontal="center" vertical="center"/>
    </xf>
    <xf numFmtId="9" fontId="18" fillId="2" borderId="44" xfId="0" applyNumberFormat="1" applyFont="1" applyFill="1" applyBorder="1" applyAlignment="1">
      <alignment horizontal="center" vertical="center"/>
    </xf>
    <xf numFmtId="0" fontId="20" fillId="2" borderId="46" xfId="0" applyFont="1" applyFill="1" applyBorder="1" applyAlignment="1">
      <alignment horizontal="center"/>
    </xf>
    <xf numFmtId="9" fontId="20" fillId="0" borderId="47" xfId="0" applyNumberFormat="1" applyFont="1" applyBorder="1" applyAlignment="1">
      <alignment horizontal="center"/>
    </xf>
    <xf numFmtId="0" fontId="20" fillId="8" borderId="44" xfId="0" applyFont="1" applyFill="1" applyBorder="1" applyAlignment="1">
      <alignment horizontal="center" vertical="center"/>
    </xf>
    <xf numFmtId="0" fontId="21" fillId="2" borderId="44" xfId="0" applyFont="1" applyFill="1" applyBorder="1" applyAlignment="1">
      <alignment horizontal="center" vertical="center"/>
    </xf>
    <xf numFmtId="0" fontId="3" fillId="8" borderId="44" xfId="0" applyFont="1" applyFill="1" applyBorder="1" applyAlignment="1">
      <alignment horizontal="center" vertical="center"/>
    </xf>
    <xf numFmtId="0" fontId="3" fillId="2" borderId="46" xfId="0" applyFont="1" applyFill="1" applyBorder="1"/>
    <xf numFmtId="0" fontId="3" fillId="2" borderId="42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9" fontId="3" fillId="2" borderId="48" xfId="0" applyNumberFormat="1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20" fillId="2" borderId="44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3" fillId="2" borderId="50" xfId="0" applyFont="1" applyFill="1" applyBorder="1"/>
    <xf numFmtId="0" fontId="20" fillId="2" borderId="42" xfId="0" applyFont="1" applyFill="1" applyBorder="1" applyAlignment="1">
      <alignment horizontal="left"/>
    </xf>
    <xf numFmtId="168" fontId="5" fillId="2" borderId="34" xfId="0" applyNumberFormat="1" applyFont="1" applyFill="1" applyBorder="1"/>
    <xf numFmtId="0" fontId="20" fillId="2" borderId="51" xfId="0" applyFont="1" applyFill="1" applyBorder="1"/>
    <xf numFmtId="0" fontId="5" fillId="2" borderId="37" xfId="0" applyFont="1" applyFill="1" applyBorder="1"/>
    <xf numFmtId="0" fontId="10" fillId="2" borderId="34" xfId="0" applyFont="1" applyFill="1" applyBorder="1"/>
    <xf numFmtId="0" fontId="3" fillId="2" borderId="42" xfId="0" applyFont="1" applyFill="1" applyBorder="1" applyAlignment="1">
      <alignment horizontal="left"/>
    </xf>
    <xf numFmtId="0" fontId="3" fillId="2" borderId="51" xfId="0" applyFont="1" applyFill="1" applyBorder="1"/>
    <xf numFmtId="0" fontId="3" fillId="4" borderId="34" xfId="0" applyFont="1" applyFill="1" applyBorder="1"/>
    <xf numFmtId="0" fontId="22" fillId="2" borderId="34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right"/>
    </xf>
    <xf numFmtId="0" fontId="3" fillId="2" borderId="50" xfId="0" applyFont="1" applyFill="1" applyBorder="1" applyAlignment="1">
      <alignment horizontal="left"/>
    </xf>
    <xf numFmtId="0" fontId="8" fillId="4" borderId="34" xfId="0" applyFont="1" applyFill="1" applyBorder="1" applyAlignment="1">
      <alignment horizontal="right"/>
    </xf>
    <xf numFmtId="0" fontId="3" fillId="4" borderId="34" xfId="0" applyFont="1" applyFill="1" applyBorder="1" applyAlignment="1">
      <alignment horizontal="left"/>
    </xf>
    <xf numFmtId="169" fontId="3" fillId="2" borderId="34" xfId="0" applyNumberFormat="1" applyFont="1" applyFill="1" applyBorder="1"/>
    <xf numFmtId="0" fontId="8" fillId="2" borderId="16" xfId="0" applyFont="1" applyFill="1" applyBorder="1"/>
    <xf numFmtId="0" fontId="8" fillId="2" borderId="54" xfId="0" applyFont="1" applyFill="1" applyBorder="1"/>
    <xf numFmtId="0" fontId="8" fillId="4" borderId="34" xfId="0" applyFont="1" applyFill="1" applyBorder="1"/>
    <xf numFmtId="0" fontId="3" fillId="2" borderId="55" xfId="0" applyFont="1" applyFill="1" applyBorder="1" applyAlignment="1">
      <alignment horizontal="left"/>
    </xf>
    <xf numFmtId="0" fontId="3" fillId="2" borderId="34" xfId="0" applyFont="1" applyFill="1" applyBorder="1" applyAlignment="1">
      <alignment horizontal="center" vertical="center"/>
    </xf>
    <xf numFmtId="0" fontId="3" fillId="2" borderId="16" xfId="0" applyFont="1" applyFill="1" applyBorder="1"/>
    <xf numFmtId="0" fontId="3" fillId="2" borderId="54" xfId="0" applyFont="1" applyFill="1" applyBorder="1"/>
    <xf numFmtId="0" fontId="23" fillId="2" borderId="42" xfId="0" applyFont="1" applyFill="1" applyBorder="1"/>
    <xf numFmtId="0" fontId="5" fillId="2" borderId="42" xfId="0" applyFont="1" applyFill="1" applyBorder="1" applyAlignment="1">
      <alignment horizontal="left"/>
    </xf>
    <xf numFmtId="0" fontId="3" fillId="0" borderId="56" xfId="0" applyFont="1" applyBorder="1"/>
    <xf numFmtId="0" fontId="3" fillId="2" borderId="34" xfId="0" applyFont="1" applyFill="1" applyBorder="1" applyAlignment="1">
      <alignment horizontal="left"/>
    </xf>
    <xf numFmtId="0" fontId="3" fillId="2" borderId="48" xfId="0" applyFont="1" applyFill="1" applyBorder="1"/>
    <xf numFmtId="0" fontId="25" fillId="2" borderId="42" xfId="0" applyFont="1" applyFill="1" applyBorder="1" applyAlignment="1">
      <alignment horizontal="right"/>
    </xf>
    <xf numFmtId="0" fontId="8" fillId="2" borderId="60" xfId="0" applyFont="1" applyFill="1" applyBorder="1"/>
    <xf numFmtId="0" fontId="5" fillId="2" borderId="51" xfId="0" applyFont="1" applyFill="1" applyBorder="1"/>
    <xf numFmtId="0" fontId="3" fillId="2" borderId="61" xfId="0" applyFont="1" applyFill="1" applyBorder="1"/>
    <xf numFmtId="0" fontId="25" fillId="2" borderId="42" xfId="0" applyFont="1" applyFill="1" applyBorder="1"/>
    <xf numFmtId="0" fontId="3" fillId="2" borderId="60" xfId="0" applyFont="1" applyFill="1" applyBorder="1"/>
    <xf numFmtId="9" fontId="3" fillId="2" borderId="60" xfId="0" applyNumberFormat="1" applyFont="1" applyFill="1" applyBorder="1"/>
    <xf numFmtId="0" fontId="3" fillId="2" borderId="34" xfId="0" applyFont="1" applyFill="1" applyBorder="1" applyAlignment="1">
      <alignment horizontal="right"/>
    </xf>
    <xf numFmtId="0" fontId="10" fillId="2" borderId="62" xfId="0" applyFont="1" applyFill="1" applyBorder="1" applyAlignment="1">
      <alignment horizontal="center" vertical="center"/>
    </xf>
    <xf numFmtId="0" fontId="10" fillId="2" borderId="63" xfId="0" applyFont="1" applyFill="1" applyBorder="1"/>
    <xf numFmtId="0" fontId="3" fillId="2" borderId="64" xfId="0" applyFont="1" applyFill="1" applyBorder="1"/>
    <xf numFmtId="0" fontId="21" fillId="2" borderId="60" xfId="0" applyFont="1" applyFill="1" applyBorder="1"/>
    <xf numFmtId="9" fontId="21" fillId="2" borderId="60" xfId="0" applyNumberFormat="1" applyFont="1" applyFill="1" applyBorder="1"/>
    <xf numFmtId="0" fontId="26" fillId="2" borderId="65" xfId="0" applyFont="1" applyFill="1" applyBorder="1"/>
    <xf numFmtId="0" fontId="27" fillId="2" borderId="61" xfId="0" applyFont="1" applyFill="1" applyBorder="1"/>
    <xf numFmtId="0" fontId="23" fillId="2" borderId="34" xfId="0" applyFont="1" applyFill="1" applyBorder="1"/>
    <xf numFmtId="0" fontId="23" fillId="2" borderId="66" xfId="0" applyFont="1" applyFill="1" applyBorder="1"/>
    <xf numFmtId="0" fontId="23" fillId="2" borderId="67" xfId="0" applyFont="1" applyFill="1" applyBorder="1"/>
    <xf numFmtId="0" fontId="3" fillId="2" borderId="42" xfId="0" applyFont="1" applyFill="1" applyBorder="1" applyAlignment="1">
      <alignment horizontal="right"/>
    </xf>
    <xf numFmtId="0" fontId="27" fillId="2" borderId="65" xfId="0" applyFont="1" applyFill="1" applyBorder="1"/>
    <xf numFmtId="0" fontId="28" fillId="2" borderId="65" xfId="0" applyFont="1" applyFill="1" applyBorder="1"/>
    <xf numFmtId="0" fontId="29" fillId="2" borderId="65" xfId="0" applyFont="1" applyFill="1" applyBorder="1"/>
    <xf numFmtId="0" fontId="8" fillId="2" borderId="16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wrapText="1"/>
    </xf>
    <xf numFmtId="0" fontId="3" fillId="2" borderId="44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left" vertical="center"/>
    </xf>
    <xf numFmtId="0" fontId="3" fillId="2" borderId="44" xfId="0" applyFont="1" applyFill="1" applyBorder="1" applyAlignment="1">
      <alignment horizontal="right" vertical="center"/>
    </xf>
    <xf numFmtId="0" fontId="3" fillId="2" borderId="44" xfId="0" applyFont="1" applyFill="1" applyBorder="1" applyAlignment="1">
      <alignment vertical="center"/>
    </xf>
    <xf numFmtId="0" fontId="20" fillId="2" borderId="42" xfId="0" quotePrefix="1" applyFont="1" applyFill="1" applyBorder="1"/>
    <xf numFmtId="9" fontId="20" fillId="2" borderId="42" xfId="0" applyNumberFormat="1" applyFont="1" applyFill="1" applyBorder="1" applyAlignment="1">
      <alignment horizontal="left"/>
    </xf>
    <xf numFmtId="9" fontId="3" fillId="2" borderId="44" xfId="0" applyNumberFormat="1" applyFont="1" applyFill="1" applyBorder="1" applyAlignment="1">
      <alignment vertical="center"/>
    </xf>
    <xf numFmtId="0" fontId="3" fillId="2" borderId="69" xfId="0" applyFont="1" applyFill="1" applyBorder="1"/>
    <xf numFmtId="10" fontId="3" fillId="2" borderId="42" xfId="0" applyNumberFormat="1" applyFont="1" applyFill="1" applyBorder="1"/>
    <xf numFmtId="9" fontId="3" fillId="2" borderId="42" xfId="0" applyNumberFormat="1" applyFont="1" applyFill="1" applyBorder="1"/>
    <xf numFmtId="0" fontId="20" fillId="2" borderId="44" xfId="0" applyFont="1" applyFill="1" applyBorder="1"/>
    <xf numFmtId="168" fontId="3" fillId="2" borderId="42" xfId="0" applyNumberFormat="1" applyFont="1" applyFill="1" applyBorder="1"/>
    <xf numFmtId="0" fontId="3" fillId="2" borderId="63" xfId="0" applyFont="1" applyFill="1" applyBorder="1"/>
    <xf numFmtId="9" fontId="3" fillId="2" borderId="63" xfId="0" applyNumberFormat="1" applyFont="1" applyFill="1" applyBorder="1"/>
    <xf numFmtId="168" fontId="20" fillId="2" borderId="42" xfId="0" applyNumberFormat="1" applyFont="1" applyFill="1" applyBorder="1"/>
    <xf numFmtId="0" fontId="8" fillId="2" borderId="63" xfId="0" applyFont="1" applyFill="1" applyBorder="1"/>
    <xf numFmtId="9" fontId="8" fillId="2" borderId="63" xfId="0" applyNumberFormat="1" applyFont="1" applyFill="1" applyBorder="1"/>
    <xf numFmtId="168" fontId="5" fillId="2" borderId="42" xfId="0" applyNumberFormat="1" applyFont="1" applyFill="1" applyBorder="1"/>
    <xf numFmtId="0" fontId="23" fillId="2" borderId="42" xfId="0" applyFont="1" applyFill="1" applyBorder="1" applyAlignment="1">
      <alignment horizontal="left"/>
    </xf>
    <xf numFmtId="0" fontId="3" fillId="9" borderId="76" xfId="0" applyFont="1" applyFill="1" applyBorder="1"/>
    <xf numFmtId="0" fontId="3" fillId="2" borderId="76" xfId="0" applyFont="1" applyFill="1" applyBorder="1" applyAlignment="1">
      <alignment horizontal="left"/>
    </xf>
    <xf numFmtId="0" fontId="30" fillId="2" borderId="42" xfId="0" applyFont="1" applyFill="1" applyBorder="1" applyAlignment="1">
      <alignment horizontal="left"/>
    </xf>
    <xf numFmtId="0" fontId="3" fillId="2" borderId="76" xfId="0" applyFont="1" applyFill="1" applyBorder="1"/>
    <xf numFmtId="0" fontId="31" fillId="2" borderId="42" xfId="0" applyFont="1" applyFill="1" applyBorder="1" applyAlignment="1">
      <alignment horizontal="left"/>
    </xf>
    <xf numFmtId="0" fontId="8" fillId="0" borderId="16" xfId="0" applyFont="1" applyBorder="1"/>
    <xf numFmtId="0" fontId="3" fillId="10" borderId="16" xfId="0" applyFont="1" applyFill="1" applyBorder="1"/>
    <xf numFmtId="0" fontId="3" fillId="10" borderId="16" xfId="0" applyFont="1" applyFill="1" applyBorder="1" applyAlignment="1">
      <alignment horizontal="right"/>
    </xf>
    <xf numFmtId="0" fontId="3" fillId="7" borderId="42" xfId="0" applyFont="1" applyFill="1" applyBorder="1" applyAlignment="1">
      <alignment horizontal="right"/>
    </xf>
    <xf numFmtId="0" fontId="3" fillId="5" borderId="42" xfId="0" applyFont="1" applyFill="1" applyBorder="1" applyAlignment="1">
      <alignment horizontal="right"/>
    </xf>
    <xf numFmtId="0" fontId="3" fillId="11" borderId="16" xfId="0" applyFont="1" applyFill="1" applyBorder="1"/>
    <xf numFmtId="0" fontId="3" fillId="11" borderId="16" xfId="0" applyFont="1" applyFill="1" applyBorder="1" applyAlignment="1">
      <alignment horizontal="right"/>
    </xf>
    <xf numFmtId="0" fontId="3" fillId="12" borderId="16" xfId="0" applyFont="1" applyFill="1" applyBorder="1"/>
    <xf numFmtId="0" fontId="3" fillId="12" borderId="16" xfId="0" applyFont="1" applyFill="1" applyBorder="1" applyAlignment="1">
      <alignment horizontal="right"/>
    </xf>
    <xf numFmtId="0" fontId="3" fillId="13" borderId="16" xfId="0" applyFont="1" applyFill="1" applyBorder="1"/>
    <xf numFmtId="0" fontId="3" fillId="13" borderId="16" xfId="0" applyFont="1" applyFill="1" applyBorder="1" applyAlignment="1">
      <alignment horizontal="right"/>
    </xf>
    <xf numFmtId="0" fontId="3" fillId="14" borderId="16" xfId="0" applyFont="1" applyFill="1" applyBorder="1"/>
    <xf numFmtId="0" fontId="3" fillId="14" borderId="16" xfId="0" applyFont="1" applyFill="1" applyBorder="1" applyAlignment="1">
      <alignment horizontal="right"/>
    </xf>
    <xf numFmtId="0" fontId="8" fillId="0" borderId="16" xfId="0" applyFont="1" applyBorder="1" applyAlignment="1">
      <alignment horizontal="right"/>
    </xf>
    <xf numFmtId="0" fontId="8" fillId="0" borderId="0" xfId="0" applyFont="1"/>
    <xf numFmtId="164" fontId="3" fillId="0" borderId="3" xfId="0" applyNumberFormat="1" applyFont="1" applyBorder="1" applyAlignment="1">
      <alignment horizontal="center" vertical="center"/>
    </xf>
    <xf numFmtId="0" fontId="4" fillId="0" borderId="5" xfId="0" applyFont="1" applyBorder="1"/>
    <xf numFmtId="0" fontId="4" fillId="0" borderId="8" xfId="0" applyFont="1" applyBorder="1"/>
    <xf numFmtId="0" fontId="6" fillId="0" borderId="0" xfId="0" applyFont="1" applyAlignment="1">
      <alignment horizontal="center"/>
    </xf>
    <xf numFmtId="0" fontId="0" fillId="0" borderId="0" xfId="0"/>
    <xf numFmtId="0" fontId="4" fillId="0" borderId="18" xfId="0" applyFont="1" applyBorder="1"/>
    <xf numFmtId="0" fontId="4" fillId="0" borderId="19" xfId="0" applyFont="1" applyBorder="1"/>
    <xf numFmtId="0" fontId="11" fillId="0" borderId="20" xfId="0" applyFont="1" applyBorder="1" applyAlignment="1">
      <alignment horizontal="center"/>
    </xf>
    <xf numFmtId="0" fontId="4" fillId="0" borderId="21" xfId="0" applyFont="1" applyBorder="1"/>
    <xf numFmtId="0" fontId="4" fillId="0" borderId="22" xfId="0" applyFont="1" applyBorder="1"/>
    <xf numFmtId="0" fontId="3" fillId="0" borderId="3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/>
    </xf>
    <xf numFmtId="0" fontId="4" fillId="0" borderId="32" xfId="0" applyFont="1" applyBorder="1"/>
    <xf numFmtId="0" fontId="4" fillId="0" borderId="33" xfId="0" applyFont="1" applyBorder="1"/>
    <xf numFmtId="0" fontId="1" fillId="0" borderId="0" xfId="0" applyFont="1"/>
    <xf numFmtId="0" fontId="3" fillId="0" borderId="26" xfId="0" applyFont="1" applyBorder="1" applyAlignment="1">
      <alignment vertical="center"/>
    </xf>
    <xf numFmtId="0" fontId="4" fillId="0" borderId="26" xfId="0" applyFont="1" applyBorder="1"/>
    <xf numFmtId="0" fontId="2" fillId="0" borderId="0" xfId="0" applyFont="1"/>
    <xf numFmtId="10" fontId="3" fillId="0" borderId="27" xfId="0" applyNumberFormat="1" applyFont="1" applyBorder="1" applyAlignment="1">
      <alignment vertical="center"/>
    </xf>
    <xf numFmtId="0" fontId="4" fillId="0" borderId="27" xfId="0" applyFont="1" applyBorder="1"/>
    <xf numFmtId="0" fontId="18" fillId="2" borderId="38" xfId="0" applyFont="1" applyFill="1" applyBorder="1" applyAlignment="1">
      <alignment horizontal="center" vertical="center"/>
    </xf>
    <xf numFmtId="0" fontId="4" fillId="0" borderId="43" xfId="0" applyFont="1" applyBorder="1"/>
    <xf numFmtId="168" fontId="18" fillId="2" borderId="38" xfId="0" applyNumberFormat="1" applyFont="1" applyFill="1" applyBorder="1" applyAlignment="1">
      <alignment horizontal="center" vertical="center"/>
    </xf>
    <xf numFmtId="168" fontId="18" fillId="2" borderId="39" xfId="0" applyNumberFormat="1" applyFont="1" applyFill="1" applyBorder="1" applyAlignment="1">
      <alignment horizontal="center" vertical="center"/>
    </xf>
    <xf numFmtId="0" fontId="4" fillId="0" borderId="40" xfId="0" applyFont="1" applyBorder="1"/>
    <xf numFmtId="0" fontId="4" fillId="0" borderId="41" xfId="0" applyFont="1" applyBorder="1"/>
    <xf numFmtId="0" fontId="3" fillId="3" borderId="38" xfId="0" applyFont="1" applyFill="1" applyBorder="1" applyAlignment="1">
      <alignment horizontal="center" vertical="center"/>
    </xf>
    <xf numFmtId="9" fontId="3" fillId="3" borderId="38" xfId="0" applyNumberFormat="1" applyFont="1" applyFill="1" applyBorder="1" applyAlignment="1">
      <alignment horizontal="center" vertical="center"/>
    </xf>
    <xf numFmtId="0" fontId="24" fillId="2" borderId="57" xfId="0" applyFont="1" applyFill="1" applyBorder="1" applyAlignment="1">
      <alignment horizontal="center"/>
    </xf>
    <xf numFmtId="0" fontId="4" fillId="0" borderId="58" xfId="0" applyFont="1" applyBorder="1"/>
    <xf numFmtId="0" fontId="4" fillId="0" borderId="59" xfId="0" applyFont="1" applyBorder="1"/>
    <xf numFmtId="0" fontId="18" fillId="2" borderId="38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/>
    </xf>
    <xf numFmtId="9" fontId="3" fillId="2" borderId="38" xfId="0" applyNumberFormat="1" applyFont="1" applyFill="1" applyBorder="1" applyAlignment="1">
      <alignment horizontal="center" vertical="center"/>
    </xf>
    <xf numFmtId="0" fontId="18" fillId="2" borderId="39" xfId="0" applyFont="1" applyFill="1" applyBorder="1" applyAlignment="1">
      <alignment horizontal="center" vertical="center"/>
    </xf>
    <xf numFmtId="0" fontId="20" fillId="8" borderId="39" xfId="0" applyFont="1" applyFill="1" applyBorder="1" applyAlignment="1">
      <alignment horizontal="center" vertical="center"/>
    </xf>
    <xf numFmtId="0" fontId="17" fillId="2" borderId="31" xfId="0" applyFont="1" applyFill="1" applyBorder="1" applyAlignment="1">
      <alignment horizontal="center"/>
    </xf>
    <xf numFmtId="0" fontId="3" fillId="2" borderId="52" xfId="0" applyFont="1" applyFill="1" applyBorder="1"/>
    <xf numFmtId="0" fontId="4" fillId="0" borderId="45" xfId="0" applyFont="1" applyBorder="1"/>
    <xf numFmtId="0" fontId="8" fillId="2" borderId="17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/>
    </xf>
    <xf numFmtId="0" fontId="8" fillId="2" borderId="56" xfId="0" applyFont="1" applyFill="1" applyBorder="1" applyAlignment="1">
      <alignment horizontal="center"/>
    </xf>
    <xf numFmtId="0" fontId="4" fillId="0" borderId="68" xfId="0" applyFont="1" applyBorder="1"/>
    <xf numFmtId="168" fontId="3" fillId="2" borderId="38" xfId="0" applyNumberFormat="1" applyFont="1" applyFill="1" applyBorder="1" applyAlignment="1">
      <alignment horizontal="center" vertical="center"/>
    </xf>
    <xf numFmtId="168" fontId="3" fillId="3" borderId="38" xfId="0" applyNumberFormat="1" applyFont="1" applyFill="1" applyBorder="1" applyAlignment="1">
      <alignment horizontal="center" vertical="center"/>
    </xf>
    <xf numFmtId="0" fontId="3" fillId="8" borderId="38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right" vertical="center"/>
    </xf>
    <xf numFmtId="0" fontId="18" fillId="2" borderId="39" xfId="0" applyFont="1" applyFill="1" applyBorder="1" applyAlignment="1">
      <alignment horizontal="center"/>
    </xf>
    <xf numFmtId="0" fontId="3" fillId="2" borderId="73" xfId="0" applyFont="1" applyFill="1" applyBorder="1" applyAlignment="1">
      <alignment horizontal="center" vertical="center"/>
    </xf>
    <xf numFmtId="0" fontId="4" fillId="0" borderId="74" xfId="0" applyFont="1" applyBorder="1"/>
    <xf numFmtId="0" fontId="4" fillId="0" borderId="75" xfId="0" applyFont="1" applyBorder="1"/>
    <xf numFmtId="9" fontId="3" fillId="2" borderId="38" xfId="0" applyNumberFormat="1" applyFont="1" applyFill="1" applyBorder="1" applyAlignment="1">
      <alignment horizontal="right" vertical="center"/>
    </xf>
    <xf numFmtId="0" fontId="22" fillId="2" borderId="70" xfId="0" applyFont="1" applyFill="1" applyBorder="1" applyAlignment="1">
      <alignment horizontal="center"/>
    </xf>
    <xf numFmtId="0" fontId="4" fillId="0" borderId="71" xfId="0" applyFont="1" applyBorder="1"/>
    <xf numFmtId="0" fontId="4" fillId="0" borderId="72" xfId="0" applyFont="1" applyBorder="1"/>
    <xf numFmtId="170" fontId="8" fillId="10" borderId="17" xfId="0" applyNumberFormat="1" applyFont="1" applyFill="1" applyBorder="1" applyAlignment="1">
      <alignment horizontal="center"/>
    </xf>
    <xf numFmtId="0" fontId="8" fillId="11" borderId="17" xfId="0" applyFont="1" applyFill="1" applyBorder="1" applyAlignment="1">
      <alignment horizontal="center"/>
    </xf>
    <xf numFmtId="0" fontId="8" fillId="12" borderId="17" xfId="0" applyFont="1" applyFill="1" applyBorder="1" applyAlignment="1">
      <alignment horizontal="center"/>
    </xf>
    <xf numFmtId="0" fontId="8" fillId="13" borderId="17" xfId="0" applyFont="1" applyFill="1" applyBorder="1" applyAlignment="1">
      <alignment horizontal="center"/>
    </xf>
    <xf numFmtId="0" fontId="8" fillId="14" borderId="17" xfId="0" applyFont="1" applyFill="1" applyBorder="1" applyAlignment="1">
      <alignment horizontal="center"/>
    </xf>
    <xf numFmtId="0" fontId="8" fillId="0" borderId="56" xfId="0" applyFont="1" applyBorder="1" applyAlignment="1">
      <alignment horizontal="center"/>
    </xf>
    <xf numFmtId="164" fontId="2" fillId="0" borderId="42" xfId="0" applyNumberFormat="1" applyFont="1" applyBorder="1"/>
    <xf numFmtId="164" fontId="5" fillId="0" borderId="31" xfId="0" applyNumberFormat="1" applyFont="1" applyBorder="1" applyAlignment="1">
      <alignment horizontal="center"/>
    </xf>
    <xf numFmtId="164" fontId="5" fillId="0" borderId="32" xfId="0" applyNumberFormat="1" applyFont="1" applyBorder="1" applyAlignment="1">
      <alignment horizontal="center"/>
    </xf>
    <xf numFmtId="164" fontId="5" fillId="0" borderId="33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1" fillId="0" borderId="77" xfId="0" applyNumberFormat="1" applyFont="1" applyBorder="1"/>
    <xf numFmtId="164" fontId="1" fillId="0" borderId="78" xfId="0" applyNumberFormat="1" applyFont="1" applyBorder="1"/>
    <xf numFmtId="10" fontId="1" fillId="0" borderId="78" xfId="0" applyNumberFormat="1" applyFont="1" applyBorder="1"/>
    <xf numFmtId="164" fontId="1" fillId="0" borderId="42" xfId="0" applyNumberFormat="1" applyFont="1" applyBorder="1"/>
    <xf numFmtId="164" fontId="1" fillId="0" borderId="79" xfId="0" applyNumberFormat="1" applyFont="1" applyBorder="1"/>
    <xf numFmtId="10" fontId="1" fillId="0" borderId="79" xfId="0" applyNumberFormat="1" applyFont="1" applyBorder="1"/>
    <xf numFmtId="164" fontId="1" fillId="0" borderId="0" xfId="0" applyNumberFormat="1" applyFont="1" applyFill="1"/>
    <xf numFmtId="164" fontId="1" fillId="0" borderId="80" xfId="0" applyNumberFormat="1" applyFont="1" applyBorder="1"/>
    <xf numFmtId="164" fontId="1" fillId="0" borderId="81" xfId="0" applyNumberFormat="1" applyFont="1" applyBorder="1"/>
    <xf numFmtId="164" fontId="1" fillId="0" borderId="82" xfId="0" applyNumberFormat="1" applyFont="1" applyBorder="1"/>
    <xf numFmtId="164" fontId="1" fillId="0" borderId="83" xfId="0" applyNumberFormat="1" applyFont="1" applyBorder="1"/>
    <xf numFmtId="164" fontId="32" fillId="0" borderId="84" xfId="0" applyNumberFormat="1" applyFont="1" applyBorder="1"/>
    <xf numFmtId="164" fontId="32" fillId="0" borderId="8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23" Type="http://customschemas.google.com/relationships/workbookmetadata" Target="meta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sz="1800" b="1" i="0">
                <a:solidFill>
                  <a:schemeClr val="dk1"/>
                </a:solidFill>
                <a:latin typeface="+mn-lt"/>
              </a:rPr>
              <a:t>Ahorro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'Actualizacion Ahorro 10-2021'!$B$17:$B$21</c:f>
              <c:strCache>
                <c:ptCount val="5"/>
                <c:pt idx="0">
                  <c:v>Negocio</c:v>
                </c:pt>
                <c:pt idx="1">
                  <c:v>Casa (estufa, lavadora, cama)</c:v>
                </c:pt>
                <c:pt idx="2">
                  <c:v>Ahorro personal</c:v>
                </c:pt>
                <c:pt idx="3">
                  <c:v>Odontologo</c:v>
                </c:pt>
                <c:pt idx="4">
                  <c:v>Australia</c:v>
                </c:pt>
              </c:strCache>
            </c:strRef>
          </c:cat>
          <c:val>
            <c:numRef>
              <c:f>'Actualizacion Ahorro 10-2021'!$C$17:$C$21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0.10947619047619048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AF5-47D3-A3DD-CA60780FE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94809"/>
        <c:axId val="748852786"/>
      </c:barChart>
      <c:catAx>
        <c:axId val="648794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s-CO"/>
          </a:p>
        </c:txPr>
        <c:crossAx val="748852786"/>
        <c:crosses val="autoZero"/>
        <c:auto val="1"/>
        <c:lblAlgn val="ctr"/>
        <c:lblOffset val="100"/>
        <c:noMultiLvlLbl val="1"/>
      </c:catAx>
      <c:valAx>
        <c:axId val="748852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48794809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sz="1800" b="1" i="0">
                <a:solidFill>
                  <a:schemeClr val="dk1"/>
                </a:solidFill>
                <a:latin typeface="+mn-lt"/>
              </a:rPr>
              <a:t>Ahorro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'Actualizacion Ahorro 05-2021'!$B$19:$B$21</c:f>
              <c:strCache>
                <c:ptCount val="3"/>
                <c:pt idx="0">
                  <c:v>Ahorro Personal</c:v>
                </c:pt>
                <c:pt idx="1">
                  <c:v>Australia</c:v>
                </c:pt>
                <c:pt idx="2">
                  <c:v>Madre</c:v>
                </c:pt>
              </c:strCache>
            </c:strRef>
          </c:cat>
          <c:val>
            <c:numRef>
              <c:f>'Actualizacion Ahorro 05-2021'!$C$19:$C$21</c:f>
              <c:numCache>
                <c:formatCode>0.00%</c:formatCode>
                <c:ptCount val="3"/>
                <c:pt idx="0">
                  <c:v>1</c:v>
                </c:pt>
                <c:pt idx="1">
                  <c:v>0.80380555555555555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81E-49AE-BC4B-193D5A31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37512"/>
        <c:axId val="1408214792"/>
      </c:barChart>
      <c:catAx>
        <c:axId val="12623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s-CO"/>
          </a:p>
        </c:txPr>
        <c:crossAx val="1408214792"/>
        <c:crosses val="autoZero"/>
        <c:auto val="1"/>
        <c:lblAlgn val="ctr"/>
        <c:lblOffset val="100"/>
        <c:noMultiLvlLbl val="1"/>
      </c:catAx>
      <c:valAx>
        <c:axId val="1408214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6237512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21</xdr:row>
      <xdr:rowOff>142875</xdr:rowOff>
    </xdr:from>
    <xdr:ext cx="4829175" cy="2124075"/>
    <xdr:graphicFrame macro="">
      <xdr:nvGraphicFramePr>
        <xdr:cNvPr id="1384463683" name="Chart 1" title="Gráfico">
          <a:extLst>
            <a:ext uri="{FF2B5EF4-FFF2-40B4-BE49-F238E27FC236}">
              <a16:creationId xmlns:a16="http://schemas.microsoft.com/office/drawing/2014/main" id="{00000000-0008-0000-0800-0000433D8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22</xdr:row>
      <xdr:rowOff>142875</xdr:rowOff>
    </xdr:from>
    <xdr:ext cx="4829175" cy="2124075"/>
    <xdr:graphicFrame macro="">
      <xdr:nvGraphicFramePr>
        <xdr:cNvPr id="1930680232" name="Chart 2">
          <a:extLst>
            <a:ext uri="{FF2B5EF4-FFF2-40B4-BE49-F238E27FC236}">
              <a16:creationId xmlns:a16="http://schemas.microsoft.com/office/drawing/2014/main" id="{00000000-0008-0000-0E00-0000A8D71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78"/>
  <sheetViews>
    <sheetView tabSelected="1" workbookViewId="0">
      <selection activeCell="I16" sqref="I16"/>
    </sheetView>
  </sheetViews>
  <sheetFormatPr defaultColWidth="14.42578125" defaultRowHeight="15" customHeight="1" x14ac:dyDescent="0.25"/>
  <cols>
    <col min="2" max="2" width="14.5703125" bestFit="1" customWidth="1"/>
    <col min="3" max="3" width="10.140625" bestFit="1" customWidth="1"/>
    <col min="4" max="4" width="9" bestFit="1" customWidth="1"/>
    <col min="5" max="5" width="3.42578125" customWidth="1"/>
    <col min="6" max="6" width="20.7109375" bestFit="1" customWidth="1"/>
    <col min="7" max="8" width="9" bestFit="1" customWidth="1"/>
    <col min="9" max="9" width="8.28515625" bestFit="1" customWidth="1"/>
    <col min="10" max="10" width="10.5703125" bestFit="1" customWidth="1"/>
    <col min="13" max="13" width="16.7109375" customWidth="1"/>
  </cols>
  <sheetData>
    <row r="1" spans="1:24" x14ac:dyDescent="0.25">
      <c r="A1" s="1"/>
      <c r="B1" s="2"/>
      <c r="C1" s="2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4" t="s">
        <v>0</v>
      </c>
      <c r="C2" s="5">
        <v>2900</v>
      </c>
      <c r="D2" s="219">
        <f>C4+C5+C6+C5+C2</f>
        <v>191193</v>
      </c>
      <c r="E2" s="1"/>
      <c r="F2" s="286" t="s">
        <v>331</v>
      </c>
      <c r="G2" s="286">
        <v>2590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6" t="s">
        <v>330</v>
      </c>
      <c r="C3" s="280">
        <f>2300*G2/1000</f>
        <v>5957</v>
      </c>
      <c r="D3" s="28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/>
      <c r="B4" s="6" t="s">
        <v>1</v>
      </c>
      <c r="C4" s="2">
        <v>4550</v>
      </c>
      <c r="D4" s="28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1"/>
      <c r="B5" s="6" t="s">
        <v>2</v>
      </c>
      <c r="C5" s="2">
        <v>12399</v>
      </c>
      <c r="D5" s="28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x14ac:dyDescent="0.25">
      <c r="A6" s="1"/>
      <c r="B6" s="7" t="s">
        <v>3</v>
      </c>
      <c r="C6" s="8">
        <v>158945</v>
      </c>
      <c r="D6" s="285"/>
      <c r="E6" s="1"/>
      <c r="F6" s="9"/>
      <c r="G6" s="10" t="s">
        <v>5</v>
      </c>
      <c r="H6" s="10" t="s">
        <v>6</v>
      </c>
      <c r="I6" s="10" t="s">
        <v>7</v>
      </c>
      <c r="J6" s="10" t="s">
        <v>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 x14ac:dyDescent="0.25">
      <c r="A7" s="1"/>
      <c r="B7" s="281" t="s">
        <v>4</v>
      </c>
      <c r="C7" s="282"/>
      <c r="D7" s="283"/>
      <c r="E7" s="1"/>
      <c r="F7" s="12" t="s">
        <v>9</v>
      </c>
      <c r="G7" s="13">
        <f>SUM(G8:G14)</f>
        <v>185395</v>
      </c>
      <c r="H7" s="13">
        <f>SUM(H8:H14)</f>
        <v>191193</v>
      </c>
      <c r="I7" s="13">
        <f>SUM(I8:I14)</f>
        <v>-5898</v>
      </c>
      <c r="J7" s="14">
        <f t="shared" ref="J7:J10" si="0">H7/G7</f>
        <v>1.0312737668221905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25">
      <c r="A8" s="1"/>
      <c r="B8" s="1"/>
      <c r="C8" s="1"/>
      <c r="D8" s="292"/>
      <c r="E8" s="1"/>
      <c r="F8" s="9" t="s">
        <v>329</v>
      </c>
      <c r="G8" s="17">
        <f>C14</f>
        <v>33000</v>
      </c>
      <c r="H8" s="9">
        <f t="shared" ref="H8:H10" si="1">G8</f>
        <v>33000</v>
      </c>
      <c r="I8" s="9">
        <f t="shared" ref="I8:I10" si="2">G8-H8</f>
        <v>0</v>
      </c>
      <c r="J8" s="18">
        <f t="shared" si="0"/>
        <v>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25">
      <c r="A9" s="1"/>
      <c r="B9" s="15" t="s">
        <v>15</v>
      </c>
      <c r="C9" s="16">
        <v>1200</v>
      </c>
      <c r="D9" s="292"/>
      <c r="E9" s="1"/>
      <c r="F9" s="9" t="s">
        <v>332</v>
      </c>
      <c r="G9" s="9">
        <v>295</v>
      </c>
      <c r="H9" s="9">
        <f t="shared" si="1"/>
        <v>295</v>
      </c>
      <c r="I9" s="9">
        <f t="shared" si="2"/>
        <v>0</v>
      </c>
      <c r="J9" s="18">
        <f t="shared" si="0"/>
        <v>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5">
      <c r="A10" s="1"/>
      <c r="B10" s="19" t="s">
        <v>10</v>
      </c>
      <c r="C10" s="20">
        <v>650</v>
      </c>
      <c r="D10" s="292"/>
      <c r="E10" s="1"/>
      <c r="F10" s="17" t="s">
        <v>333</v>
      </c>
      <c r="G10" s="17">
        <v>2000</v>
      </c>
      <c r="H10" s="9">
        <f t="shared" si="1"/>
        <v>2000</v>
      </c>
      <c r="I10" s="9">
        <f t="shared" si="2"/>
        <v>0</v>
      </c>
      <c r="J10" s="18">
        <f t="shared" si="0"/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4" x14ac:dyDescent="0.25">
      <c r="A11" s="1"/>
      <c r="B11" s="19" t="s">
        <v>11</v>
      </c>
      <c r="C11" s="20">
        <v>600</v>
      </c>
      <c r="D11" s="292"/>
      <c r="E11" s="1"/>
      <c r="F11" s="287" t="s">
        <v>14</v>
      </c>
      <c r="G11" s="287">
        <v>150000</v>
      </c>
      <c r="H11" s="287">
        <f>D2-SUM(H8:H10)</f>
        <v>155898</v>
      </c>
      <c r="I11" s="287">
        <f t="shared" ref="I11" si="3">G11-H11</f>
        <v>-5898</v>
      </c>
      <c r="J11" s="288">
        <f t="shared" ref="J11" si="4">H11/G11</f>
        <v>1.03932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4" x14ac:dyDescent="0.25">
      <c r="A12" s="1"/>
      <c r="B12" s="19" t="s">
        <v>12</v>
      </c>
      <c r="C12" s="20">
        <v>300</v>
      </c>
      <c r="D12" s="292"/>
      <c r="E12" s="1"/>
      <c r="F12" s="290"/>
      <c r="G12" s="290"/>
      <c r="H12" s="290"/>
      <c r="I12" s="290"/>
      <c r="J12" s="29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4" x14ac:dyDescent="0.25">
      <c r="A13" s="1"/>
      <c r="B13" s="21" t="s">
        <v>327</v>
      </c>
      <c r="C13" s="22">
        <f>SUM(C9:C12)</f>
        <v>2750</v>
      </c>
      <c r="D13" s="292"/>
      <c r="E13" s="1"/>
      <c r="F13" s="289"/>
      <c r="G13" s="289"/>
      <c r="H13" s="289"/>
      <c r="I13" s="289"/>
      <c r="J13" s="28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4" x14ac:dyDescent="0.25">
      <c r="A14" s="1"/>
      <c r="B14" s="23" t="s">
        <v>328</v>
      </c>
      <c r="C14" s="24">
        <f>C13*12</f>
        <v>33000</v>
      </c>
      <c r="D14" s="292"/>
      <c r="E14" s="1"/>
      <c r="F14" s="293" t="s">
        <v>334</v>
      </c>
      <c r="G14" s="294">
        <v>100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25">
      <c r="A15" s="1"/>
      <c r="B15" s="1"/>
      <c r="C15" s="1"/>
      <c r="D15" s="11"/>
      <c r="E15" s="1"/>
      <c r="F15" s="295" t="s">
        <v>335</v>
      </c>
      <c r="G15" s="296">
        <v>126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25">
      <c r="A16" s="1"/>
      <c r="B16" s="1"/>
      <c r="C16" s="1"/>
      <c r="D16" s="1"/>
      <c r="E16" s="1"/>
      <c r="F16" s="295" t="s">
        <v>336</v>
      </c>
      <c r="G16" s="296">
        <v>40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"/>
      <c r="B17" s="11"/>
      <c r="C17" s="11"/>
      <c r="D17" s="1"/>
      <c r="E17" s="1"/>
      <c r="F17" s="295" t="s">
        <v>202</v>
      </c>
      <c r="G17" s="296">
        <v>150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"/>
      <c r="B18" s="1"/>
      <c r="C18" s="1"/>
      <c r="D18" s="1"/>
      <c r="E18" s="1"/>
      <c r="F18" s="295" t="s">
        <v>337</v>
      </c>
      <c r="G18" s="296">
        <v>170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11"/>
      <c r="C19" s="11"/>
      <c r="D19" s="1"/>
      <c r="E19" s="1"/>
      <c r="F19" s="295" t="s">
        <v>338</v>
      </c>
      <c r="G19" s="296">
        <v>35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"/>
      <c r="B20" s="1"/>
      <c r="C20" s="1"/>
      <c r="D20" s="1"/>
      <c r="E20" s="1"/>
      <c r="F20" s="297" t="s">
        <v>339</v>
      </c>
      <c r="G20" s="298">
        <f>+SUM(G14:G19)</f>
        <v>621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"/>
      <c r="B22" s="11"/>
      <c r="C22" s="1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"/>
      <c r="B23" s="25"/>
      <c r="C23" s="25"/>
      <c r="D23" s="1"/>
      <c r="E23" s="1"/>
      <c r="F23" s="11"/>
      <c r="G23" s="11"/>
      <c r="H23" s="11"/>
      <c r="I23" s="11"/>
      <c r="J23" s="1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1"/>
      <c r="B24" s="25"/>
      <c r="C24" s="25"/>
      <c r="D24" s="1"/>
      <c r="E24" s="11"/>
      <c r="F24" s="11"/>
      <c r="G24" s="11"/>
      <c r="H24" s="11"/>
      <c r="I24" s="11"/>
      <c r="J24" s="11"/>
      <c r="K24" s="11"/>
      <c r="L24" s="11"/>
      <c r="M24" s="1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"/>
      <c r="B25" s="1"/>
      <c r="C25" s="1"/>
      <c r="D25" s="1"/>
      <c r="E25" s="11"/>
      <c r="F25" s="11"/>
      <c r="G25" s="11"/>
      <c r="H25" s="11"/>
      <c r="I25" s="11"/>
      <c r="J25" s="11"/>
      <c r="K25" s="11"/>
      <c r="L25" s="11"/>
      <c r="M25" s="1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1"/>
      <c r="B26" s="1"/>
      <c r="C26" s="1"/>
      <c r="D26" s="1"/>
      <c r="E26" s="11"/>
      <c r="F26" s="11"/>
      <c r="G26" s="11"/>
      <c r="H26" s="11"/>
      <c r="I26" s="11"/>
      <c r="J26" s="11"/>
      <c r="K26" s="11"/>
      <c r="L26" s="11"/>
      <c r="M26" s="1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1"/>
      <c r="B27" s="1"/>
      <c r="C27" s="1"/>
      <c r="D27" s="28"/>
      <c r="E27" s="11"/>
      <c r="F27" s="11"/>
      <c r="G27" s="11"/>
      <c r="H27" s="11"/>
      <c r="I27" s="11"/>
      <c r="J27" s="11"/>
      <c r="K27" s="11"/>
      <c r="L27" s="11"/>
      <c r="M27" s="1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1"/>
      <c r="B28" s="25"/>
      <c r="C28" s="28"/>
      <c r="D28" s="1"/>
      <c r="E28" s="11"/>
      <c r="F28" s="26"/>
      <c r="G28" s="26"/>
      <c r="H28" s="26"/>
      <c r="I28" s="11"/>
      <c r="J28" s="26"/>
      <c r="K28" s="11"/>
      <c r="L28" s="11"/>
      <c r="M28" s="1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1"/>
      <c r="B29" s="1"/>
      <c r="C29" s="29"/>
      <c r="D29" s="1"/>
      <c r="E29" s="11"/>
      <c r="F29" s="11"/>
      <c r="G29" s="11"/>
      <c r="H29" s="11"/>
      <c r="I29" s="11"/>
      <c r="J29" s="11"/>
      <c r="K29" s="11"/>
      <c r="L29" s="11"/>
      <c r="M29" s="1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1"/>
      <c r="B30" s="1"/>
      <c r="C30" s="1"/>
      <c r="D30" s="1"/>
      <c r="E30" s="11"/>
      <c r="F30" s="11"/>
      <c r="G30" s="11"/>
      <c r="H30" s="11"/>
      <c r="I30" s="11"/>
      <c r="J30" s="11"/>
      <c r="K30" s="11"/>
      <c r="L30" s="11"/>
      <c r="M30" s="1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1"/>
      <c r="B31" s="29"/>
      <c r="C31" s="29"/>
      <c r="D31" s="1"/>
      <c r="E31" s="11"/>
      <c r="F31" s="11"/>
      <c r="G31" s="11"/>
      <c r="H31" s="11"/>
      <c r="I31" s="11"/>
      <c r="J31" s="11"/>
      <c r="K31" s="11"/>
      <c r="L31" s="11"/>
      <c r="M31" s="1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s="1"/>
      <c r="B32" s="1"/>
      <c r="C32" s="1"/>
      <c r="D32" s="1"/>
      <c r="E32" s="11"/>
      <c r="F32" s="11"/>
      <c r="G32" s="11"/>
      <c r="H32" s="11"/>
      <c r="I32" s="11"/>
      <c r="J32" s="11"/>
      <c r="K32" s="11"/>
      <c r="L32" s="11"/>
      <c r="M32" s="1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5">
      <c r="A33" s="1"/>
      <c r="B33" s="1"/>
      <c r="C33" s="1"/>
      <c r="D33" s="1"/>
      <c r="E33" s="11"/>
      <c r="F33" s="11"/>
      <c r="G33" s="11"/>
      <c r="H33" s="11"/>
      <c r="I33" s="11"/>
      <c r="J33" s="11"/>
      <c r="K33" s="11"/>
      <c r="L33" s="11"/>
      <c r="M33" s="1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1"/>
      <c r="B34" s="1"/>
      <c r="C34" s="1"/>
      <c r="D34" s="1"/>
      <c r="E34" s="11"/>
      <c r="F34" s="11"/>
      <c r="G34" s="11"/>
      <c r="H34" s="11"/>
      <c r="I34" s="11"/>
      <c r="J34" s="11"/>
      <c r="K34" s="11"/>
      <c r="L34" s="11"/>
      <c r="M34" s="1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1"/>
      <c r="B35" s="1"/>
      <c r="C35" s="1"/>
      <c r="D35" s="1"/>
      <c r="E35" s="11"/>
      <c r="F35" s="11"/>
      <c r="G35" s="11"/>
      <c r="H35" s="11"/>
      <c r="I35" s="11"/>
      <c r="J35" s="11"/>
      <c r="K35" s="11"/>
      <c r="L35" s="11"/>
      <c r="M35" s="1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 s="1"/>
      <c r="B36" s="1"/>
      <c r="C36" s="1"/>
      <c r="D36" s="1"/>
      <c r="E36" s="11"/>
      <c r="F36" s="26"/>
      <c r="G36" s="26"/>
      <c r="H36" s="26"/>
      <c r="I36" s="11"/>
      <c r="J36" s="26"/>
      <c r="K36" s="11"/>
      <c r="L36" s="11"/>
      <c r="M36" s="1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5">
      <c r="A37" s="1"/>
      <c r="B37" s="1"/>
      <c r="C37" s="1"/>
      <c r="D37" s="1"/>
      <c r="E37" s="11"/>
      <c r="F37" s="11"/>
      <c r="G37" s="11"/>
      <c r="H37" s="11"/>
      <c r="I37" s="11"/>
      <c r="J37" s="11"/>
      <c r="K37" s="11"/>
      <c r="L37" s="11"/>
      <c r="M37" s="1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5">
      <c r="A38" s="1"/>
      <c r="B38" s="1"/>
      <c r="C38" s="1"/>
      <c r="D38" s="1"/>
      <c r="E38" s="11"/>
      <c r="F38" s="11"/>
      <c r="G38" s="11"/>
      <c r="H38" s="11"/>
      <c r="I38" s="11"/>
      <c r="J38" s="11"/>
      <c r="K38" s="11"/>
      <c r="L38" s="11"/>
      <c r="M38" s="1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 s="1"/>
      <c r="B39" s="1"/>
      <c r="C39" s="1"/>
      <c r="D39" s="1"/>
      <c r="E39" s="11"/>
      <c r="F39" s="11"/>
      <c r="G39" s="11"/>
      <c r="H39" s="11"/>
      <c r="I39" s="11"/>
      <c r="J39" s="11"/>
      <c r="K39" s="11"/>
      <c r="L39" s="11"/>
      <c r="M39" s="1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A40" s="1"/>
      <c r="B40" s="1"/>
      <c r="C40" s="1"/>
      <c r="D40" s="1"/>
      <c r="E40" s="11"/>
      <c r="F40" s="11"/>
      <c r="G40" s="11"/>
      <c r="H40" s="11"/>
      <c r="I40" s="11"/>
      <c r="J40" s="11"/>
      <c r="K40" s="11"/>
      <c r="L40" s="11"/>
      <c r="M40" s="1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5">
      <c r="A41" s="1"/>
      <c r="B41" s="1"/>
      <c r="C41" s="1"/>
      <c r="D41" s="1"/>
      <c r="E41" s="11"/>
      <c r="F41" s="11"/>
      <c r="G41" s="11"/>
      <c r="H41" s="11"/>
      <c r="I41" s="11"/>
      <c r="J41" s="11"/>
      <c r="K41" s="11"/>
      <c r="L41" s="11"/>
      <c r="M41" s="1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5">
      <c r="A42" s="1"/>
      <c r="B42" s="1"/>
      <c r="C42" s="1"/>
      <c r="D42" s="1"/>
      <c r="E42" s="11"/>
      <c r="F42" s="11"/>
      <c r="G42" s="11"/>
      <c r="H42" s="11"/>
      <c r="I42" s="11"/>
      <c r="J42" s="11"/>
      <c r="K42" s="11"/>
      <c r="L42" s="11"/>
      <c r="M42" s="1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5">
      <c r="A43" s="1"/>
      <c r="B43" s="1"/>
      <c r="C43" s="1"/>
      <c r="D43" s="1"/>
      <c r="E43" s="11"/>
      <c r="F43" s="11"/>
      <c r="G43" s="11"/>
      <c r="H43" s="11"/>
      <c r="I43" s="11"/>
      <c r="J43" s="11"/>
      <c r="K43" s="11"/>
      <c r="L43" s="11"/>
      <c r="M43" s="1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5">
      <c r="A44" s="1"/>
      <c r="B44" s="1"/>
      <c r="C44" s="1"/>
      <c r="D44" s="1"/>
      <c r="E44" s="11"/>
      <c r="F44" s="1"/>
      <c r="G44" s="1"/>
      <c r="H44" s="1"/>
      <c r="I44" s="1"/>
      <c r="J44" s="1"/>
      <c r="K44" s="11"/>
      <c r="L44" s="11"/>
      <c r="M44" s="1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x14ac:dyDescent="0.25">
      <c r="A976" s="1"/>
      <c r="B976" s="1"/>
      <c r="C976" s="1"/>
      <c r="D976" s="1"/>
      <c r="E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2:4" ht="15" customHeight="1" x14ac:dyDescent="0.25">
      <c r="B977" s="1"/>
      <c r="C977" s="1"/>
      <c r="D977" s="1"/>
    </row>
    <row r="978" spans="2:4" ht="15" customHeight="1" x14ac:dyDescent="0.25">
      <c r="B978" s="1"/>
      <c r="C978" s="1"/>
    </row>
  </sheetData>
  <mergeCells count="2">
    <mergeCell ref="B7:D7"/>
    <mergeCell ref="D2:D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D996"/>
  <sheetViews>
    <sheetView workbookViewId="0"/>
  </sheetViews>
  <sheetFormatPr defaultColWidth="14.42578125" defaultRowHeight="15" customHeight="1" x14ac:dyDescent="0.25"/>
  <cols>
    <col min="1" max="2" width="7.42578125" customWidth="1"/>
    <col min="3" max="3" width="13.7109375" customWidth="1"/>
    <col min="4" max="4" width="34.5703125" customWidth="1"/>
    <col min="5" max="5" width="11.85546875" customWidth="1"/>
    <col min="6" max="6" width="39.42578125" customWidth="1"/>
    <col min="7" max="7" width="18.5703125" customWidth="1"/>
    <col min="8" max="8" width="8" customWidth="1"/>
    <col min="9" max="9" width="19.85546875" customWidth="1"/>
    <col min="10" max="10" width="25.28515625" customWidth="1"/>
    <col min="11" max="11" width="10.7109375" customWidth="1"/>
    <col min="12" max="12" width="20.5703125" customWidth="1"/>
    <col min="13" max="13" width="22" customWidth="1"/>
    <col min="14" max="14" width="20.28515625" customWidth="1"/>
    <col min="15" max="15" width="19.7109375" customWidth="1"/>
    <col min="16" max="16" width="11.42578125" customWidth="1"/>
    <col min="17" max="18" width="10.7109375" customWidth="1"/>
    <col min="19" max="19" width="16.42578125" customWidth="1"/>
    <col min="20" max="20" width="10.7109375" customWidth="1"/>
    <col min="21" max="21" width="19.42578125" customWidth="1"/>
    <col min="22" max="22" width="18.140625" customWidth="1"/>
    <col min="23" max="23" width="12.28515625" customWidth="1"/>
    <col min="24" max="30" width="10.7109375" customWidth="1"/>
  </cols>
  <sheetData>
    <row r="1" spans="1:30" ht="14.25" customHeight="1" x14ac:dyDescent="0.25">
      <c r="A1" s="92"/>
      <c r="B1" s="93"/>
      <c r="C1" s="94"/>
      <c r="D1" s="94"/>
      <c r="E1" s="94"/>
      <c r="F1" s="94"/>
      <c r="G1" s="95"/>
      <c r="H1" s="95"/>
      <c r="I1" s="95"/>
      <c r="J1" s="95"/>
      <c r="K1" s="96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7"/>
    </row>
    <row r="2" spans="1:30" ht="14.25" customHeight="1" x14ac:dyDescent="0.25">
      <c r="A2" s="98"/>
      <c r="B2" s="239" t="s">
        <v>134</v>
      </c>
      <c r="C2" s="239" t="s">
        <v>42</v>
      </c>
      <c r="D2" s="239" t="s">
        <v>43</v>
      </c>
      <c r="E2" s="239" t="s">
        <v>45</v>
      </c>
      <c r="F2" s="239" t="s">
        <v>117</v>
      </c>
      <c r="G2" s="241" t="s">
        <v>6</v>
      </c>
      <c r="H2" s="242" t="s">
        <v>46</v>
      </c>
      <c r="I2" s="243"/>
      <c r="J2" s="244"/>
      <c r="K2" s="250" t="s">
        <v>135</v>
      </c>
      <c r="L2" s="239" t="s">
        <v>136</v>
      </c>
      <c r="M2" s="239" t="s">
        <v>137</v>
      </c>
      <c r="N2" s="92"/>
      <c r="O2" s="92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</row>
    <row r="3" spans="1:30" ht="14.25" customHeight="1" x14ac:dyDescent="0.25">
      <c r="A3" s="98"/>
      <c r="B3" s="240"/>
      <c r="C3" s="240"/>
      <c r="D3" s="240"/>
      <c r="E3" s="240"/>
      <c r="F3" s="240"/>
      <c r="G3" s="240"/>
      <c r="H3" s="100" t="s">
        <v>138</v>
      </c>
      <c r="I3" s="100" t="s">
        <v>30</v>
      </c>
      <c r="J3" s="101" t="s">
        <v>55</v>
      </c>
      <c r="K3" s="240"/>
      <c r="L3" s="240"/>
      <c r="M3" s="240"/>
      <c r="N3" s="102"/>
      <c r="O3" s="102"/>
      <c r="P3" s="103"/>
      <c r="Q3" s="99"/>
      <c r="R3" s="99"/>
      <c r="S3" s="99"/>
      <c r="T3" s="99"/>
      <c r="U3" s="99"/>
      <c r="V3" s="99"/>
    </row>
    <row r="4" spans="1:30" ht="14.25" customHeight="1" x14ac:dyDescent="0.25">
      <c r="A4" s="104"/>
      <c r="B4" s="251" t="s">
        <v>139</v>
      </c>
      <c r="C4" s="251" t="s">
        <v>140</v>
      </c>
      <c r="D4" s="105" t="s">
        <v>141</v>
      </c>
      <c r="E4" s="106">
        <f t="shared" ref="E4:E12" si="0">G4/F4</f>
        <v>1</v>
      </c>
      <c r="F4" s="107">
        <v>9900</v>
      </c>
      <c r="G4" s="107">
        <v>9900</v>
      </c>
      <c r="H4" s="105">
        <v>0</v>
      </c>
      <c r="I4" s="105">
        <v>9900</v>
      </c>
      <c r="J4" s="105">
        <v>0</v>
      </c>
      <c r="K4" s="108">
        <f t="shared" ref="K4:K12" si="1">G4-H4-I4-J4</f>
        <v>0</v>
      </c>
      <c r="L4" s="251">
        <f>F4+F5</f>
        <v>10900</v>
      </c>
      <c r="M4" s="252">
        <f>L4/$F$12</f>
        <v>0.18319327731092436</v>
      </c>
      <c r="N4" s="102"/>
      <c r="O4" s="102"/>
      <c r="P4" s="99"/>
      <c r="Q4" s="99"/>
      <c r="R4" s="99"/>
      <c r="S4" s="99"/>
      <c r="T4" s="99"/>
      <c r="U4" s="99"/>
      <c r="V4" s="99"/>
    </row>
    <row r="5" spans="1:30" ht="14.25" customHeight="1" x14ac:dyDescent="0.25">
      <c r="A5" s="104"/>
      <c r="B5" s="240"/>
      <c r="C5" s="240"/>
      <c r="D5" s="105" t="s">
        <v>142</v>
      </c>
      <c r="E5" s="106">
        <f t="shared" si="0"/>
        <v>1</v>
      </c>
      <c r="F5" s="105">
        <v>1000</v>
      </c>
      <c r="G5" s="105">
        <v>1000</v>
      </c>
      <c r="H5" s="105">
        <v>0</v>
      </c>
      <c r="I5" s="105">
        <v>810</v>
      </c>
      <c r="J5" s="105">
        <v>190</v>
      </c>
      <c r="K5" s="108">
        <f t="shared" si="1"/>
        <v>0</v>
      </c>
      <c r="L5" s="240"/>
      <c r="M5" s="240"/>
      <c r="N5" s="102"/>
      <c r="O5" s="102"/>
      <c r="P5" s="99"/>
      <c r="Q5" s="99"/>
      <c r="R5" s="99"/>
      <c r="S5" s="99"/>
      <c r="T5" s="99"/>
      <c r="U5" s="99"/>
      <c r="V5" s="99"/>
    </row>
    <row r="6" spans="1:30" ht="14.25" customHeight="1" x14ac:dyDescent="0.25">
      <c r="A6" s="109"/>
      <c r="B6" s="262" t="s">
        <v>143</v>
      </c>
      <c r="C6" s="251" t="s">
        <v>144</v>
      </c>
      <c r="D6" s="105" t="s">
        <v>145</v>
      </c>
      <c r="E6" s="106">
        <f t="shared" si="0"/>
        <v>1</v>
      </c>
      <c r="F6" s="105">
        <v>2200</v>
      </c>
      <c r="G6" s="105">
        <v>2200</v>
      </c>
      <c r="H6" s="105">
        <v>2200</v>
      </c>
      <c r="I6" s="105">
        <v>0</v>
      </c>
      <c r="J6" s="105">
        <v>0</v>
      </c>
      <c r="K6" s="108">
        <f t="shared" si="1"/>
        <v>0</v>
      </c>
      <c r="L6" s="251">
        <f>G6+G7</f>
        <v>14700</v>
      </c>
      <c r="M6" s="252">
        <f>L6/$F$12</f>
        <v>0.24705882352941178</v>
      </c>
      <c r="N6" s="110"/>
      <c r="O6" s="102"/>
      <c r="P6" s="99"/>
      <c r="Q6" s="99"/>
      <c r="R6" s="99"/>
      <c r="S6" s="99"/>
      <c r="T6" s="99"/>
      <c r="U6" s="99"/>
      <c r="V6" s="99"/>
    </row>
    <row r="7" spans="1:30" ht="14.25" customHeight="1" x14ac:dyDescent="0.25">
      <c r="A7" s="109"/>
      <c r="B7" s="240"/>
      <c r="C7" s="240"/>
      <c r="D7" s="105" t="s">
        <v>7</v>
      </c>
      <c r="E7" s="106">
        <f t="shared" si="0"/>
        <v>1</v>
      </c>
      <c r="F7" s="105">
        <v>12500</v>
      </c>
      <c r="G7" s="105">
        <v>12500</v>
      </c>
      <c r="H7" s="105">
        <v>0</v>
      </c>
      <c r="I7" s="105">
        <v>12500</v>
      </c>
      <c r="J7" s="105">
        <v>0</v>
      </c>
      <c r="K7" s="108">
        <f t="shared" si="1"/>
        <v>0</v>
      </c>
      <c r="L7" s="240"/>
      <c r="M7" s="240"/>
      <c r="N7" s="110"/>
      <c r="O7" s="102"/>
      <c r="P7" s="111"/>
      <c r="Q7" s="99"/>
      <c r="R7" s="99"/>
      <c r="S7" s="99"/>
      <c r="T7" s="99"/>
      <c r="U7" s="99"/>
      <c r="V7" s="99"/>
    </row>
    <row r="8" spans="1:30" ht="14.25" customHeight="1" x14ac:dyDescent="0.25">
      <c r="A8" s="109"/>
      <c r="B8" s="112" t="s">
        <v>146</v>
      </c>
      <c r="C8" s="105" t="s">
        <v>147</v>
      </c>
      <c r="D8" s="105" t="s">
        <v>148</v>
      </c>
      <c r="E8" s="106">
        <f t="shared" si="0"/>
        <v>1</v>
      </c>
      <c r="F8" s="105">
        <v>6000</v>
      </c>
      <c r="G8" s="105">
        <v>6000</v>
      </c>
      <c r="H8" s="105">
        <v>0</v>
      </c>
      <c r="I8" s="105">
        <v>6000</v>
      </c>
      <c r="J8" s="105">
        <v>0</v>
      </c>
      <c r="K8" s="108">
        <f t="shared" si="1"/>
        <v>0</v>
      </c>
      <c r="L8" s="105">
        <f t="shared" ref="L8:L9" si="2">G8</f>
        <v>6000</v>
      </c>
      <c r="M8" s="106">
        <f t="shared" ref="M8:M10" si="3">L8/$F$12</f>
        <v>0.10084033613445378</v>
      </c>
      <c r="N8" s="110"/>
      <c r="O8" s="102"/>
      <c r="P8" s="99"/>
      <c r="Q8" s="99"/>
      <c r="R8" s="99"/>
      <c r="S8" s="99"/>
      <c r="T8" s="99"/>
      <c r="U8" s="99"/>
      <c r="V8" s="99"/>
    </row>
    <row r="9" spans="1:30" ht="14.25" customHeight="1" x14ac:dyDescent="0.25">
      <c r="A9" s="109"/>
      <c r="B9" s="112" t="s">
        <v>149</v>
      </c>
      <c r="C9" s="105" t="s">
        <v>150</v>
      </c>
      <c r="D9" s="105" t="s">
        <v>151</v>
      </c>
      <c r="E9" s="106">
        <f t="shared" si="0"/>
        <v>1</v>
      </c>
      <c r="F9" s="105">
        <v>2900</v>
      </c>
      <c r="G9" s="105">
        <v>2900</v>
      </c>
      <c r="H9" s="105">
        <v>0</v>
      </c>
      <c r="I9" s="105">
        <v>2900</v>
      </c>
      <c r="J9" s="105">
        <v>0</v>
      </c>
      <c r="K9" s="108">
        <f t="shared" si="1"/>
        <v>0</v>
      </c>
      <c r="L9" s="105">
        <f t="shared" si="2"/>
        <v>2900</v>
      </c>
      <c r="M9" s="106">
        <f t="shared" si="3"/>
        <v>4.8739495798319328E-2</v>
      </c>
      <c r="N9" s="110"/>
      <c r="O9" s="102"/>
      <c r="P9" s="99"/>
      <c r="Q9" s="99"/>
      <c r="R9" s="99"/>
      <c r="S9" s="99"/>
      <c r="T9" s="99"/>
      <c r="U9" s="99"/>
      <c r="V9" s="99"/>
    </row>
    <row r="10" spans="1:30" ht="14.25" customHeight="1" x14ac:dyDescent="0.25">
      <c r="A10" s="109"/>
      <c r="B10" s="263" t="s">
        <v>152</v>
      </c>
      <c r="C10" s="263" t="s">
        <v>153</v>
      </c>
      <c r="D10" s="112" t="s">
        <v>154</v>
      </c>
      <c r="E10" s="106">
        <f t="shared" si="0"/>
        <v>1</v>
      </c>
      <c r="F10" s="105">
        <v>5000</v>
      </c>
      <c r="G10" s="105">
        <v>5000</v>
      </c>
      <c r="H10" s="105">
        <v>0</v>
      </c>
      <c r="I10" s="105">
        <v>0</v>
      </c>
      <c r="J10" s="105">
        <v>5000</v>
      </c>
      <c r="K10" s="108">
        <f t="shared" si="1"/>
        <v>0</v>
      </c>
      <c r="L10" s="245">
        <f>F10+F11</f>
        <v>25000</v>
      </c>
      <c r="M10" s="246">
        <f t="shared" si="3"/>
        <v>0.42016806722689076</v>
      </c>
      <c r="N10" s="110"/>
      <c r="O10" s="102"/>
      <c r="P10" s="99"/>
      <c r="Q10" s="99"/>
      <c r="R10" s="99"/>
      <c r="S10" s="99"/>
      <c r="T10" s="99"/>
      <c r="U10" s="99"/>
      <c r="V10" s="99"/>
    </row>
    <row r="11" spans="1:30" ht="14.25" customHeight="1" x14ac:dyDescent="0.25">
      <c r="A11" s="109"/>
      <c r="B11" s="240"/>
      <c r="C11" s="240"/>
      <c r="D11" s="113" t="s">
        <v>155</v>
      </c>
      <c r="E11" s="114">
        <f t="shared" si="0"/>
        <v>6.8949999999999997E-2</v>
      </c>
      <c r="F11" s="113">
        <v>20000</v>
      </c>
      <c r="G11" s="113">
        <f>I11+J11</f>
        <v>1379</v>
      </c>
      <c r="H11" s="113">
        <v>0</v>
      </c>
      <c r="I11" s="113">
        <v>84</v>
      </c>
      <c r="J11" s="113">
        <v>1295</v>
      </c>
      <c r="K11" s="108">
        <f t="shared" si="1"/>
        <v>0</v>
      </c>
      <c r="L11" s="240"/>
      <c r="M11" s="240"/>
      <c r="N11" s="110"/>
      <c r="O11" s="102"/>
      <c r="P11" s="99"/>
      <c r="Q11" s="99"/>
      <c r="R11" s="99"/>
      <c r="S11" s="99"/>
      <c r="T11" s="99"/>
      <c r="U11" s="99"/>
      <c r="V11" s="99"/>
    </row>
    <row r="12" spans="1:30" ht="14.25" customHeight="1" x14ac:dyDescent="0.25">
      <c r="A12" s="98"/>
      <c r="B12" s="264"/>
      <c r="C12" s="253" t="s">
        <v>18</v>
      </c>
      <c r="D12" s="244"/>
      <c r="E12" s="115">
        <f t="shared" si="0"/>
        <v>0.68704201680672272</v>
      </c>
      <c r="F12" s="101">
        <f t="shared" ref="F12:J12" si="4">SUM(F4:F11)</f>
        <v>59500</v>
      </c>
      <c r="G12" s="101">
        <f t="shared" si="4"/>
        <v>40879</v>
      </c>
      <c r="H12" s="101">
        <f t="shared" si="4"/>
        <v>2200</v>
      </c>
      <c r="I12" s="101">
        <f t="shared" si="4"/>
        <v>32194</v>
      </c>
      <c r="J12" s="101">
        <f t="shared" si="4"/>
        <v>6485</v>
      </c>
      <c r="K12" s="108">
        <f t="shared" si="1"/>
        <v>0</v>
      </c>
      <c r="L12" s="116">
        <f>G10+G11</f>
        <v>6379</v>
      </c>
      <c r="M12" s="117">
        <f>(G11+G10)/L10</f>
        <v>0.25516</v>
      </c>
      <c r="N12" s="102"/>
      <c r="O12" s="102"/>
      <c r="P12" s="99"/>
      <c r="Q12" s="99"/>
      <c r="R12" s="99"/>
      <c r="S12" s="99"/>
      <c r="T12" s="99"/>
      <c r="U12" s="99"/>
      <c r="V12" s="99"/>
    </row>
    <row r="13" spans="1:30" ht="14.25" customHeight="1" x14ac:dyDescent="0.25">
      <c r="A13" s="98"/>
      <c r="B13" s="240"/>
      <c r="C13" s="254"/>
      <c r="D13" s="244"/>
      <c r="E13" s="118"/>
      <c r="F13" s="253" t="s">
        <v>156</v>
      </c>
      <c r="G13" s="243"/>
      <c r="H13" s="244"/>
      <c r="I13" s="119">
        <f>E18+E17-I12-E28</f>
        <v>0</v>
      </c>
      <c r="J13" s="119">
        <f>E16-J12</f>
        <v>0</v>
      </c>
      <c r="K13" s="120"/>
      <c r="L13" s="121"/>
      <c r="M13" s="102"/>
      <c r="N13" s="102"/>
      <c r="O13" s="102"/>
      <c r="P13" s="99"/>
      <c r="Q13" s="99"/>
      <c r="R13" s="99"/>
      <c r="S13" s="99"/>
      <c r="T13" s="99"/>
      <c r="U13" s="99"/>
      <c r="V13" s="99"/>
    </row>
    <row r="14" spans="1:30" ht="14.25" customHeight="1" x14ac:dyDescent="0.25">
      <c r="A14" s="92"/>
      <c r="B14" s="122"/>
      <c r="C14" s="123"/>
      <c r="D14" s="123"/>
      <c r="E14" s="124">
        <f>G14/L10</f>
        <v>0.25516</v>
      </c>
      <c r="F14" s="123"/>
      <c r="G14" s="123">
        <f>G11+G10</f>
        <v>6379</v>
      </c>
      <c r="H14" s="125"/>
      <c r="I14" s="126" t="s">
        <v>157</v>
      </c>
      <c r="J14" s="126" t="s">
        <v>158</v>
      </c>
      <c r="K14" s="127"/>
      <c r="L14" s="128"/>
      <c r="M14" s="102"/>
      <c r="N14" s="102"/>
      <c r="O14" s="102"/>
      <c r="P14" s="99"/>
      <c r="Q14" s="99"/>
      <c r="R14" s="99"/>
      <c r="S14" s="99"/>
      <c r="T14" s="99"/>
      <c r="U14" s="99"/>
      <c r="V14" s="99"/>
    </row>
    <row r="15" spans="1:30" ht="14.25" customHeight="1" x14ac:dyDescent="0.25">
      <c r="A15" s="92"/>
      <c r="B15" s="99"/>
      <c r="C15" s="92"/>
      <c r="D15" s="255" t="s">
        <v>159</v>
      </c>
      <c r="E15" s="232"/>
      <c r="F15" s="92"/>
      <c r="G15" s="92"/>
      <c r="H15" s="92"/>
      <c r="I15" s="99">
        <f t="shared" ref="I15:J15" si="5">I13+I11</f>
        <v>84</v>
      </c>
      <c r="J15" s="99">
        <f t="shared" si="5"/>
        <v>1295</v>
      </c>
      <c r="K15" s="129"/>
      <c r="L15" s="99"/>
      <c r="M15" s="102"/>
      <c r="N15" s="102"/>
      <c r="O15" s="102"/>
      <c r="P15" s="111"/>
      <c r="Q15" s="99"/>
      <c r="R15" s="99"/>
      <c r="S15" s="99"/>
      <c r="T15" s="99"/>
      <c r="U15" s="99"/>
      <c r="V15" s="99"/>
    </row>
    <row r="16" spans="1:30" ht="14.25" customHeight="1" x14ac:dyDescent="0.25">
      <c r="A16" s="92"/>
      <c r="B16" s="92"/>
      <c r="C16" s="130"/>
      <c r="D16" s="131" t="s">
        <v>55</v>
      </c>
      <c r="E16" s="131">
        <v>6485</v>
      </c>
      <c r="F16" s="92"/>
      <c r="G16" s="92"/>
      <c r="H16" s="256"/>
      <c r="I16" s="257"/>
      <c r="J16" s="92"/>
      <c r="K16" s="92"/>
      <c r="L16" s="132"/>
      <c r="M16" s="102"/>
      <c r="N16" s="102"/>
      <c r="O16" s="102"/>
      <c r="P16" s="99"/>
      <c r="Q16" s="99"/>
      <c r="R16" s="99"/>
      <c r="S16" s="99"/>
      <c r="T16" s="99"/>
      <c r="U16" s="99"/>
      <c r="V16" s="99"/>
    </row>
    <row r="17" spans="1:30" ht="14.25" customHeight="1" x14ac:dyDescent="0.25">
      <c r="A17" s="92"/>
      <c r="B17" s="92"/>
      <c r="C17" s="132"/>
      <c r="D17" s="131" t="s">
        <v>160</v>
      </c>
      <c r="E17" s="131">
        <v>32000</v>
      </c>
      <c r="F17" s="103"/>
      <c r="G17" s="92"/>
      <c r="H17" s="92"/>
      <c r="I17" s="133"/>
      <c r="J17" s="133"/>
      <c r="K17" s="92"/>
      <c r="L17" s="98"/>
      <c r="M17" s="99"/>
      <c r="N17" s="99"/>
      <c r="O17" s="99"/>
      <c r="P17" s="99"/>
      <c r="Q17" s="99"/>
      <c r="R17" s="99"/>
      <c r="S17" s="99"/>
      <c r="T17" s="99"/>
      <c r="U17" s="99"/>
      <c r="V17" s="99"/>
    </row>
    <row r="18" spans="1:30" ht="14.25" customHeight="1" x14ac:dyDescent="0.25">
      <c r="A18" s="92"/>
      <c r="B18" s="92"/>
      <c r="C18" s="132"/>
      <c r="D18" s="131" t="s">
        <v>161</v>
      </c>
      <c r="E18" s="131">
        <v>3374</v>
      </c>
      <c r="F18" s="134" t="s">
        <v>162</v>
      </c>
      <c r="G18" s="92"/>
      <c r="H18" s="92"/>
      <c r="I18" s="92"/>
      <c r="J18" s="92"/>
      <c r="K18" s="92"/>
      <c r="L18" s="92"/>
      <c r="M18" s="99"/>
      <c r="N18" s="99"/>
      <c r="O18" s="99"/>
      <c r="P18" s="99"/>
      <c r="Q18" s="99"/>
      <c r="R18" s="99"/>
      <c r="S18" s="99"/>
      <c r="T18" s="99"/>
      <c r="U18" s="99"/>
      <c r="V18" s="99"/>
    </row>
    <row r="19" spans="1:30" ht="14.25" customHeight="1" x14ac:dyDescent="0.25">
      <c r="A19" s="92"/>
      <c r="B19" s="92"/>
      <c r="C19" s="98"/>
      <c r="D19" s="135" t="s">
        <v>163</v>
      </c>
      <c r="E19" s="135">
        <v>789</v>
      </c>
      <c r="F19" s="99"/>
      <c r="G19" s="92"/>
      <c r="H19" s="92"/>
      <c r="I19" s="92"/>
      <c r="J19" s="92"/>
      <c r="K19" s="102"/>
      <c r="L19" s="92"/>
      <c r="M19" s="99"/>
      <c r="N19" s="99"/>
      <c r="O19" s="99"/>
      <c r="P19" s="99"/>
      <c r="Q19" s="99"/>
      <c r="R19" s="99"/>
      <c r="S19" s="99"/>
      <c r="T19" s="99"/>
      <c r="U19" s="99"/>
      <c r="V19" s="99"/>
    </row>
    <row r="20" spans="1:30" ht="14.25" customHeight="1" x14ac:dyDescent="0.25">
      <c r="A20" s="92"/>
      <c r="B20" s="92"/>
      <c r="C20" s="92"/>
      <c r="D20" s="135" t="s">
        <v>164</v>
      </c>
      <c r="E20" s="135">
        <v>2123</v>
      </c>
      <c r="F20" s="99"/>
      <c r="G20" s="92"/>
      <c r="H20" s="92"/>
      <c r="I20" s="92"/>
      <c r="J20" s="92"/>
      <c r="K20" s="102"/>
      <c r="L20" s="92"/>
      <c r="M20" s="99"/>
      <c r="N20" s="99"/>
      <c r="O20" s="136"/>
      <c r="P20" s="136"/>
      <c r="Q20" s="99"/>
      <c r="R20" s="99"/>
      <c r="S20" s="99"/>
      <c r="T20" s="99"/>
      <c r="U20" s="99"/>
      <c r="V20" s="99"/>
    </row>
    <row r="21" spans="1:30" ht="14.25" customHeight="1" x14ac:dyDescent="0.25">
      <c r="A21" s="92"/>
      <c r="B21" s="92"/>
      <c r="C21" s="92"/>
      <c r="D21" s="135" t="s">
        <v>165</v>
      </c>
      <c r="E21" s="135">
        <v>1249</v>
      </c>
      <c r="F21" s="99"/>
      <c r="G21" s="92"/>
      <c r="H21" s="92"/>
      <c r="I21" s="92"/>
      <c r="J21" s="92"/>
      <c r="K21" s="102"/>
      <c r="L21" s="137"/>
      <c r="M21" s="138" t="s">
        <v>166</v>
      </c>
      <c r="N21" s="139">
        <f>I25</f>
        <v>100</v>
      </c>
      <c r="O21" s="140"/>
      <c r="P21" s="141"/>
      <c r="Q21" s="99"/>
      <c r="R21" s="99"/>
      <c r="S21" s="99"/>
      <c r="T21" s="99"/>
      <c r="U21" s="99"/>
      <c r="V21" s="99"/>
    </row>
    <row r="22" spans="1:30" ht="14.25" customHeight="1" x14ac:dyDescent="0.25">
      <c r="A22" s="92"/>
      <c r="B22" s="92"/>
      <c r="C22" s="92"/>
      <c r="D22" s="135" t="s">
        <v>18</v>
      </c>
      <c r="E22" s="135">
        <f>SUM(E16:E21)</f>
        <v>46020</v>
      </c>
      <c r="F22" s="111"/>
      <c r="G22" s="142"/>
      <c r="H22" s="92"/>
      <c r="I22" s="92"/>
      <c r="J22" s="92"/>
      <c r="K22" s="102"/>
      <c r="L22" s="92"/>
      <c r="M22" s="143" t="s">
        <v>167</v>
      </c>
      <c r="N22" s="144" t="s">
        <v>168</v>
      </c>
      <c r="O22" s="145"/>
      <c r="P22" s="145"/>
      <c r="Q22" s="99"/>
      <c r="R22" s="99"/>
      <c r="S22" s="99"/>
      <c r="T22" s="99"/>
      <c r="U22" s="99"/>
      <c r="V22" s="99"/>
    </row>
    <row r="23" spans="1:30" ht="14.25" customHeight="1" x14ac:dyDescent="0.25">
      <c r="A23" s="92"/>
      <c r="B23" s="92"/>
      <c r="C23" s="92"/>
      <c r="D23" s="135" t="s">
        <v>169</v>
      </c>
      <c r="E23" s="135">
        <f>E18+E16+E21+H6</f>
        <v>13308</v>
      </c>
      <c r="F23" s="111"/>
      <c r="G23" s="92"/>
      <c r="H23" s="92"/>
      <c r="I23" s="138" t="s">
        <v>166</v>
      </c>
      <c r="J23" s="146">
        <f>E27</f>
        <v>513</v>
      </c>
      <c r="K23" s="102"/>
      <c r="L23" s="147"/>
      <c r="M23" s="148">
        <v>250</v>
      </c>
      <c r="N23" s="149" t="s">
        <v>170</v>
      </c>
      <c r="O23" s="136"/>
      <c r="P23" s="136"/>
      <c r="Q23" s="150"/>
      <c r="R23" s="99"/>
      <c r="S23" s="99"/>
      <c r="T23" s="99"/>
      <c r="U23" s="99"/>
      <c r="V23" s="99"/>
    </row>
    <row r="24" spans="1:30" ht="14.25" customHeight="1" x14ac:dyDescent="0.25">
      <c r="A24" s="92"/>
      <c r="B24" s="92"/>
      <c r="C24" s="92"/>
      <c r="D24" s="135" t="s">
        <v>171</v>
      </c>
      <c r="E24" s="135">
        <f>E18+E16</f>
        <v>9859</v>
      </c>
      <c r="F24" s="99"/>
      <c r="G24" s="92"/>
      <c r="H24" s="98"/>
      <c r="I24" s="143" t="s">
        <v>167</v>
      </c>
      <c r="J24" s="143" t="s">
        <v>168</v>
      </c>
      <c r="K24" s="110"/>
      <c r="L24" s="147"/>
      <c r="M24" s="148">
        <v>160</v>
      </c>
      <c r="N24" s="149" t="s">
        <v>172</v>
      </c>
      <c r="O24" s="136"/>
      <c r="P24" s="136"/>
      <c r="Q24" s="99"/>
      <c r="R24" s="99"/>
      <c r="S24" s="99"/>
      <c r="T24" s="99"/>
      <c r="U24" s="99"/>
      <c r="V24" s="99"/>
    </row>
    <row r="25" spans="1:30" ht="14.25" customHeight="1" x14ac:dyDescent="0.25">
      <c r="A25" s="92"/>
      <c r="B25" s="92"/>
      <c r="C25" s="92"/>
      <c r="D25" s="135" t="s">
        <v>173</v>
      </c>
      <c r="E25" s="135">
        <f>E16+E18+E20</f>
        <v>11982</v>
      </c>
      <c r="F25" s="99"/>
      <c r="G25" s="92"/>
      <c r="H25" s="92"/>
      <c r="I25" s="148">
        <v>100</v>
      </c>
      <c r="J25" s="148" t="s">
        <v>174</v>
      </c>
      <c r="K25" s="102"/>
      <c r="L25" s="147"/>
      <c r="M25" s="148">
        <f>180+105+65</f>
        <v>350</v>
      </c>
      <c r="N25" s="149" t="s">
        <v>175</v>
      </c>
      <c r="O25" s="136"/>
      <c r="P25" s="136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</row>
    <row r="26" spans="1:30" ht="14.25" customHeight="1" x14ac:dyDescent="0.25">
      <c r="A26" s="92"/>
      <c r="B26" s="92"/>
      <c r="C26" s="92"/>
      <c r="D26" s="135" t="s">
        <v>176</v>
      </c>
      <c r="E26" s="135">
        <f>E18+E16+H6</f>
        <v>12059</v>
      </c>
      <c r="F26" s="99"/>
      <c r="G26" s="92"/>
      <c r="H26" s="92"/>
      <c r="I26" s="148">
        <v>143</v>
      </c>
      <c r="J26" s="148" t="s">
        <v>172</v>
      </c>
      <c r="K26" s="102"/>
      <c r="L26" s="147"/>
      <c r="M26" s="148">
        <v>550</v>
      </c>
      <c r="N26" s="149" t="s">
        <v>177</v>
      </c>
      <c r="O26" s="136"/>
      <c r="P26" s="136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</row>
    <row r="27" spans="1:30" ht="14.25" customHeight="1" x14ac:dyDescent="0.25">
      <c r="A27" s="92"/>
      <c r="B27" s="92"/>
      <c r="C27" s="92"/>
      <c r="D27" s="135" t="s">
        <v>178</v>
      </c>
      <c r="E27" s="135">
        <v>513</v>
      </c>
      <c r="F27" s="99"/>
      <c r="G27" s="92"/>
      <c r="H27" s="92"/>
      <c r="I27" s="148">
        <v>270</v>
      </c>
      <c r="J27" s="148" t="s">
        <v>175</v>
      </c>
      <c r="K27" s="102"/>
      <c r="L27" s="147"/>
      <c r="M27" s="148">
        <v>190</v>
      </c>
      <c r="N27" s="149" t="s">
        <v>179</v>
      </c>
      <c r="O27" s="136"/>
      <c r="P27" s="136"/>
      <c r="Q27" s="134">
        <f>E28-O27</f>
        <v>3180</v>
      </c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</row>
    <row r="28" spans="1:30" ht="14.25" customHeight="1" x14ac:dyDescent="0.25">
      <c r="A28" s="92"/>
      <c r="B28" s="92"/>
      <c r="C28" s="92"/>
      <c r="D28" s="131" t="s">
        <v>180</v>
      </c>
      <c r="E28" s="131">
        <v>3180</v>
      </c>
      <c r="F28" s="151">
        <v>6</v>
      </c>
      <c r="G28" s="92">
        <f>E28/F28</f>
        <v>530</v>
      </c>
      <c r="H28" s="92"/>
      <c r="I28" s="148"/>
      <c r="J28" s="148"/>
      <c r="K28" s="102"/>
      <c r="L28" s="147"/>
      <c r="M28" s="148"/>
      <c r="N28" s="149"/>
      <c r="O28" s="136"/>
      <c r="P28" s="136"/>
      <c r="Q28" s="150" t="s">
        <v>181</v>
      </c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</row>
    <row r="29" spans="1:30" ht="14.25" customHeight="1" x14ac:dyDescent="0.25">
      <c r="A29" s="92"/>
      <c r="B29" s="92"/>
      <c r="C29" s="92"/>
      <c r="D29" s="135" t="s">
        <v>182</v>
      </c>
      <c r="E29" s="135">
        <v>54</v>
      </c>
      <c r="F29" s="111"/>
      <c r="G29" s="92"/>
      <c r="H29" s="92"/>
      <c r="I29" s="148"/>
      <c r="J29" s="148"/>
      <c r="L29" s="147"/>
      <c r="M29" s="143">
        <f>SUM(M23:M28)</f>
        <v>1500</v>
      </c>
      <c r="N29" s="144" t="s">
        <v>183</v>
      </c>
      <c r="O29" s="145"/>
      <c r="P29" s="145"/>
      <c r="Q29" s="150" t="s">
        <v>184</v>
      </c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</row>
    <row r="30" spans="1:30" ht="14.25" customHeight="1" x14ac:dyDescent="0.25">
      <c r="A30" s="92"/>
      <c r="B30" s="92"/>
      <c r="C30" s="92"/>
      <c r="D30" s="135" t="s">
        <v>185</v>
      </c>
      <c r="E30" s="135">
        <v>30</v>
      </c>
      <c r="F30" s="111" t="s">
        <v>186</v>
      </c>
      <c r="G30" s="92"/>
      <c r="H30" s="92"/>
      <c r="I30" s="148"/>
      <c r="J30" s="148"/>
      <c r="K30" s="92"/>
      <c r="L30" s="147"/>
      <c r="M30" s="148">
        <f>1500-M29</f>
        <v>0</v>
      </c>
      <c r="N30" s="152" t="s">
        <v>187</v>
      </c>
      <c r="O30" s="136"/>
      <c r="P30" s="136"/>
      <c r="Q30" s="99"/>
      <c r="R30" s="99"/>
      <c r="S30" s="247" t="s">
        <v>185</v>
      </c>
      <c r="T30" s="248"/>
      <c r="U30" s="248"/>
      <c r="V30" s="249"/>
      <c r="W30" s="99"/>
      <c r="X30" s="99"/>
      <c r="Y30" s="99"/>
      <c r="Z30" s="99"/>
      <c r="AA30" s="99"/>
      <c r="AB30" s="99"/>
      <c r="AC30" s="99"/>
      <c r="AD30" s="99"/>
    </row>
    <row r="31" spans="1:30" ht="14.25" customHeight="1" x14ac:dyDescent="0.25">
      <c r="A31" s="92"/>
      <c r="B31" s="92"/>
      <c r="C31" s="92"/>
      <c r="D31" s="99"/>
      <c r="E31" s="99"/>
      <c r="F31" s="99"/>
      <c r="G31" s="92"/>
      <c r="H31" s="92"/>
      <c r="I31" s="143">
        <f>SUM(I25:I30)</f>
        <v>513</v>
      </c>
      <c r="J31" s="143" t="s">
        <v>183</v>
      </c>
      <c r="K31" s="153"/>
      <c r="L31" s="147"/>
      <c r="M31" s="92"/>
      <c r="N31" s="102"/>
      <c r="O31" s="154"/>
      <c r="P31" s="154"/>
      <c r="Q31" s="102"/>
      <c r="R31" s="155" t="s">
        <v>188</v>
      </c>
      <c r="S31" s="156" t="s">
        <v>189</v>
      </c>
      <c r="T31" s="156" t="s">
        <v>190</v>
      </c>
      <c r="U31" s="156" t="s">
        <v>191</v>
      </c>
      <c r="V31" s="156" t="s">
        <v>192</v>
      </c>
      <c r="W31" s="99"/>
      <c r="X31" s="99"/>
      <c r="Y31" s="99"/>
      <c r="Z31" s="99"/>
      <c r="AA31" s="99"/>
      <c r="AB31" s="99"/>
      <c r="AC31" s="99"/>
      <c r="AD31" s="99"/>
    </row>
    <row r="32" spans="1:30" ht="14.25" customHeight="1" x14ac:dyDescent="0.25">
      <c r="A32" s="92"/>
      <c r="B32" s="92"/>
      <c r="C32" s="92"/>
      <c r="D32" s="157" t="s">
        <v>193</v>
      </c>
      <c r="E32" s="157">
        <f>E22+H6</f>
        <v>48220</v>
      </c>
      <c r="F32" s="99"/>
      <c r="G32" s="92"/>
      <c r="H32" s="92"/>
      <c r="I32" s="148">
        <f>E27-I31</f>
        <v>0</v>
      </c>
      <c r="J32" s="42" t="s">
        <v>187</v>
      </c>
      <c r="K32" s="158"/>
      <c r="L32" s="147"/>
      <c r="M32" s="92"/>
      <c r="N32" s="102"/>
      <c r="O32" s="92"/>
      <c r="P32" s="92"/>
      <c r="Q32" s="102"/>
      <c r="R32" s="159">
        <f t="shared" ref="R32:R37" si="6">T32-U32</f>
        <v>0</v>
      </c>
      <c r="S32" s="160" t="s">
        <v>194</v>
      </c>
      <c r="T32" s="160">
        <v>187</v>
      </c>
      <c r="U32" s="160">
        <v>187</v>
      </c>
      <c r="V32" s="161">
        <f t="shared" ref="V32:V37" si="7">U32/T32</f>
        <v>1</v>
      </c>
      <c r="W32" s="159"/>
      <c r="X32" s="99"/>
      <c r="Y32" s="99"/>
      <c r="Z32" s="99"/>
      <c r="AA32" s="99"/>
      <c r="AB32" s="99"/>
      <c r="AC32" s="99"/>
      <c r="AD32" s="99"/>
    </row>
    <row r="33" spans="1:30" ht="14.25" customHeight="1" x14ac:dyDescent="0.25">
      <c r="A33" s="92"/>
      <c r="B33" s="92"/>
      <c r="C33" s="92"/>
      <c r="D33" s="92"/>
      <c r="E33" s="92"/>
      <c r="F33" s="92"/>
      <c r="G33" s="92"/>
      <c r="H33" s="92"/>
      <c r="K33" s="92"/>
      <c r="L33" s="147"/>
      <c r="M33" s="92"/>
      <c r="N33" s="102"/>
      <c r="O33" s="137"/>
      <c r="P33" s="92"/>
      <c r="Q33" s="102"/>
      <c r="R33" s="159">
        <f t="shared" si="6"/>
        <v>1000</v>
      </c>
      <c r="S33" s="160" t="s">
        <v>195</v>
      </c>
      <c r="T33" s="160">
        <v>1000</v>
      </c>
      <c r="U33" s="160">
        <f t="shared" ref="U33:U34" si="8">O24</f>
        <v>0</v>
      </c>
      <c r="V33" s="161">
        <f t="shared" si="7"/>
        <v>0</v>
      </c>
      <c r="W33" s="99"/>
      <c r="X33" s="99"/>
      <c r="Y33" s="99"/>
      <c r="Z33" s="99"/>
      <c r="AA33" s="99"/>
      <c r="AB33" s="99"/>
      <c r="AC33" s="99"/>
      <c r="AD33" s="99"/>
    </row>
    <row r="34" spans="1:30" ht="14.25" customHeight="1" x14ac:dyDescent="0.25">
      <c r="A34" s="92"/>
      <c r="B34" s="92"/>
      <c r="C34" s="92"/>
      <c r="D34" s="92"/>
      <c r="E34" s="92"/>
      <c r="G34" s="162"/>
      <c r="H34" s="92"/>
      <c r="I34" s="99"/>
      <c r="K34" s="92"/>
      <c r="L34" s="147"/>
      <c r="M34" s="163"/>
      <c r="N34" s="164"/>
      <c r="O34" s="164"/>
      <c r="P34" s="92"/>
      <c r="Q34" s="102">
        <f>E27-O34</f>
        <v>513</v>
      </c>
      <c r="R34" s="159">
        <f t="shared" si="6"/>
        <v>550</v>
      </c>
      <c r="S34" s="160" t="s">
        <v>196</v>
      </c>
      <c r="T34" s="160">
        <v>550</v>
      </c>
      <c r="U34" s="160">
        <f t="shared" si="8"/>
        <v>0</v>
      </c>
      <c r="V34" s="161">
        <f t="shared" si="7"/>
        <v>0</v>
      </c>
      <c r="W34" s="159" t="s">
        <v>197</v>
      </c>
      <c r="X34" s="99"/>
      <c r="Y34" s="99"/>
      <c r="Z34" s="99"/>
      <c r="AA34" s="99"/>
      <c r="AB34" s="99"/>
      <c r="AC34" s="99"/>
      <c r="AD34" s="99"/>
    </row>
    <row r="35" spans="1:30" ht="14.25" customHeight="1" x14ac:dyDescent="0.25">
      <c r="A35" s="92"/>
      <c r="B35" s="92"/>
      <c r="C35" s="92"/>
      <c r="D35" s="92"/>
      <c r="E35" s="92"/>
      <c r="F35" s="92"/>
      <c r="G35" s="92"/>
      <c r="H35" s="92"/>
      <c r="I35" s="153"/>
      <c r="J35" s="92"/>
      <c r="K35" s="92"/>
      <c r="L35" s="92"/>
      <c r="M35" s="99"/>
      <c r="N35" s="99"/>
      <c r="O35" s="99"/>
      <c r="P35" s="99"/>
      <c r="Q35" s="99"/>
      <c r="R35" s="159">
        <f t="shared" si="6"/>
        <v>500</v>
      </c>
      <c r="S35" s="160" t="s">
        <v>198</v>
      </c>
      <c r="T35" s="160">
        <v>500</v>
      </c>
      <c r="U35" s="160">
        <v>0</v>
      </c>
      <c r="V35" s="161">
        <f t="shared" si="7"/>
        <v>0</v>
      </c>
      <c r="W35" s="99"/>
      <c r="X35" s="99"/>
      <c r="Y35" s="99"/>
      <c r="Z35" s="99"/>
      <c r="AA35" s="99"/>
      <c r="AB35" s="99"/>
      <c r="AC35" s="99"/>
      <c r="AD35" s="99"/>
    </row>
    <row r="36" spans="1:30" ht="14.25" customHeight="1" x14ac:dyDescent="0.25">
      <c r="A36" s="92"/>
      <c r="B36" s="92"/>
      <c r="C36" s="148"/>
      <c r="D36" s="148"/>
      <c r="E36" s="143" t="s">
        <v>167</v>
      </c>
      <c r="F36" s="143" t="s">
        <v>168</v>
      </c>
      <c r="G36" s="143" t="s">
        <v>199</v>
      </c>
      <c r="H36" s="98"/>
      <c r="I36" s="165"/>
      <c r="J36" s="165"/>
      <c r="K36" s="158"/>
      <c r="L36" s="92"/>
      <c r="M36" s="99"/>
      <c r="N36" s="99"/>
      <c r="O36" s="99"/>
      <c r="P36" s="99"/>
      <c r="Q36" s="99"/>
      <c r="R36" s="159">
        <f t="shared" si="6"/>
        <v>1</v>
      </c>
      <c r="S36" s="166" t="s">
        <v>200</v>
      </c>
      <c r="T36" s="166">
        <v>1</v>
      </c>
      <c r="U36" s="166">
        <v>0</v>
      </c>
      <c r="V36" s="167">
        <f t="shared" si="7"/>
        <v>0</v>
      </c>
      <c r="W36" s="99"/>
      <c r="X36" s="99"/>
      <c r="Y36" s="99"/>
      <c r="Z36" s="99"/>
      <c r="AA36" s="99"/>
      <c r="AB36" s="99"/>
      <c r="AC36" s="99"/>
      <c r="AD36" s="99"/>
    </row>
    <row r="37" spans="1:30" ht="14.25" customHeight="1" x14ac:dyDescent="0.25">
      <c r="A37" s="92"/>
      <c r="B37" s="98"/>
      <c r="C37" s="258" t="s">
        <v>201</v>
      </c>
      <c r="D37" s="259">
        <v>1551</v>
      </c>
      <c r="E37" s="148">
        <v>168</v>
      </c>
      <c r="F37" s="148" t="s">
        <v>202</v>
      </c>
      <c r="G37" s="148" t="s">
        <v>203</v>
      </c>
      <c r="H37" s="98"/>
      <c r="I37" s="168" t="s">
        <v>178</v>
      </c>
      <c r="J37" s="168" t="s">
        <v>204</v>
      </c>
      <c r="K37" s="169"/>
      <c r="L37" s="170"/>
      <c r="M37" s="171" t="s">
        <v>205</v>
      </c>
      <c r="N37" s="172" t="s">
        <v>204</v>
      </c>
      <c r="O37" s="172" t="s">
        <v>206</v>
      </c>
      <c r="P37" s="172" t="s">
        <v>207</v>
      </c>
      <c r="Q37" s="173" t="s">
        <v>208</v>
      </c>
      <c r="R37" s="99">
        <f t="shared" si="6"/>
        <v>2051</v>
      </c>
      <c r="S37" s="156" t="s">
        <v>18</v>
      </c>
      <c r="T37" s="160">
        <f t="shared" ref="T37:U37" si="9">SUM(T32:T36)</f>
        <v>2238</v>
      </c>
      <c r="U37" s="160">
        <f t="shared" si="9"/>
        <v>187</v>
      </c>
      <c r="V37" s="161">
        <f t="shared" si="7"/>
        <v>8.3556747095621095E-2</v>
      </c>
      <c r="W37" s="99"/>
      <c r="X37" s="99"/>
      <c r="Y37" s="99"/>
      <c r="Z37" s="99"/>
      <c r="AA37" s="99"/>
      <c r="AB37" s="99"/>
      <c r="AC37" s="99"/>
      <c r="AD37" s="99"/>
    </row>
    <row r="38" spans="1:30" ht="14.25" customHeight="1" x14ac:dyDescent="0.25">
      <c r="A38" s="92"/>
      <c r="B38" s="98"/>
      <c r="C38" s="224"/>
      <c r="D38" s="224"/>
      <c r="E38" s="148">
        <v>585</v>
      </c>
      <c r="F38" s="148" t="s">
        <v>209</v>
      </c>
      <c r="G38" s="148" t="s">
        <v>21</v>
      </c>
      <c r="H38" s="98"/>
      <c r="I38" s="174" t="s">
        <v>210</v>
      </c>
      <c r="J38" s="175">
        <v>100</v>
      </c>
      <c r="K38" s="169"/>
      <c r="L38" s="170"/>
      <c r="M38" s="171" t="s">
        <v>210</v>
      </c>
      <c r="N38" s="172">
        <v>200</v>
      </c>
      <c r="O38" s="172">
        <v>0</v>
      </c>
      <c r="P38" s="172">
        <v>150</v>
      </c>
      <c r="Q38" s="99">
        <v>120</v>
      </c>
      <c r="R38" s="99"/>
      <c r="S38" s="99"/>
      <c r="T38" s="99"/>
      <c r="U38" s="99" t="s">
        <v>211</v>
      </c>
      <c r="V38" s="99"/>
      <c r="W38" s="99"/>
      <c r="X38" s="99"/>
      <c r="Y38" s="99"/>
      <c r="Z38" s="99"/>
      <c r="AA38" s="99"/>
      <c r="AB38" s="99"/>
      <c r="AC38" s="99"/>
      <c r="AD38" s="99"/>
    </row>
    <row r="39" spans="1:30" ht="14.25" customHeight="1" x14ac:dyDescent="0.25">
      <c r="A39" s="92"/>
      <c r="B39" s="98"/>
      <c r="C39" s="224"/>
      <c r="D39" s="224"/>
      <c r="E39" s="148">
        <v>10</v>
      </c>
      <c r="F39" s="148" t="s">
        <v>212</v>
      </c>
      <c r="G39" s="148" t="s">
        <v>213</v>
      </c>
      <c r="H39" s="98"/>
      <c r="I39" s="174" t="s">
        <v>214</v>
      </c>
      <c r="J39" s="174">
        <v>40</v>
      </c>
      <c r="K39" s="169"/>
      <c r="L39" s="170"/>
      <c r="M39" s="171" t="s">
        <v>214</v>
      </c>
      <c r="N39" s="172">
        <v>122</v>
      </c>
      <c r="O39" s="172">
        <v>0</v>
      </c>
      <c r="P39" s="172">
        <v>122</v>
      </c>
      <c r="Q39" s="99">
        <v>70</v>
      </c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</row>
    <row r="40" spans="1:30" ht="14.25" customHeight="1" x14ac:dyDescent="0.25">
      <c r="A40" s="92"/>
      <c r="B40" s="98"/>
      <c r="C40" s="224"/>
      <c r="D40" s="224"/>
      <c r="E40" s="148">
        <v>200</v>
      </c>
      <c r="F40" s="148" t="s">
        <v>215</v>
      </c>
      <c r="G40" s="148" t="s">
        <v>216</v>
      </c>
      <c r="H40" s="98"/>
      <c r="I40" s="174" t="s">
        <v>217</v>
      </c>
      <c r="J40" s="175">
        <v>70</v>
      </c>
      <c r="L40" s="170"/>
      <c r="M40" s="171"/>
      <c r="N40" s="172"/>
      <c r="O40" s="172"/>
      <c r="P40" s="172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</row>
    <row r="41" spans="1:30" ht="14.25" customHeight="1" x14ac:dyDescent="0.25">
      <c r="A41" s="92"/>
      <c r="B41" s="98"/>
      <c r="C41" s="224"/>
      <c r="D41" s="224"/>
      <c r="E41" s="148">
        <v>270</v>
      </c>
      <c r="F41" s="148" t="s">
        <v>175</v>
      </c>
      <c r="G41" s="148" t="s">
        <v>216</v>
      </c>
      <c r="H41" s="121"/>
      <c r="I41" s="174" t="s">
        <v>218</v>
      </c>
      <c r="J41" s="174">
        <v>105</v>
      </c>
      <c r="K41" s="174">
        <f>J42+J41+J40+J39+J38</f>
        <v>380</v>
      </c>
      <c r="L41" s="170"/>
      <c r="M41" s="171"/>
      <c r="N41" s="172"/>
      <c r="O41" s="172"/>
      <c r="P41" s="172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</row>
    <row r="42" spans="1:30" ht="14.25" customHeight="1" x14ac:dyDescent="0.25">
      <c r="A42" s="92"/>
      <c r="B42" s="98"/>
      <c r="C42" s="224"/>
      <c r="D42" s="224"/>
      <c r="E42" s="148"/>
      <c r="F42" s="148"/>
      <c r="G42" s="148"/>
      <c r="H42" s="98"/>
      <c r="I42" s="174" t="s">
        <v>219</v>
      </c>
      <c r="J42" s="174">
        <v>65</v>
      </c>
      <c r="K42" s="169"/>
      <c r="L42" s="170"/>
      <c r="M42" s="171"/>
      <c r="N42" s="172"/>
      <c r="O42" s="172"/>
      <c r="P42" s="172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</row>
    <row r="43" spans="1:30" ht="14.25" customHeight="1" x14ac:dyDescent="0.25">
      <c r="A43" s="92"/>
      <c r="B43" s="92"/>
      <c r="C43" s="224"/>
      <c r="D43" s="224"/>
      <c r="E43" s="148"/>
      <c r="F43" s="148"/>
      <c r="G43" s="148"/>
      <c r="H43" s="98"/>
      <c r="I43" s="176" t="s">
        <v>16</v>
      </c>
      <c r="J43" s="176">
        <f>525-K31</f>
        <v>525</v>
      </c>
      <c r="K43" s="169"/>
      <c r="L43" s="170"/>
      <c r="M43" s="171"/>
      <c r="N43" s="172"/>
      <c r="O43" s="172"/>
      <c r="P43" s="172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</row>
    <row r="44" spans="1:30" ht="14.25" customHeight="1" x14ac:dyDescent="0.25">
      <c r="A44" s="92"/>
      <c r="B44" s="92"/>
      <c r="C44" s="224"/>
      <c r="D44" s="224"/>
      <c r="E44" s="143">
        <f>SUM(E37:E43)</f>
        <v>1233</v>
      </c>
      <c r="F44" s="260" t="s">
        <v>220</v>
      </c>
      <c r="G44" s="261"/>
      <c r="H44" s="98"/>
      <c r="I44" s="176" t="s">
        <v>221</v>
      </c>
      <c r="J44" s="176">
        <v>150</v>
      </c>
      <c r="K44" s="169"/>
      <c r="L44" s="170"/>
      <c r="M44" s="171"/>
      <c r="N44" s="172"/>
      <c r="O44" s="172"/>
      <c r="P44" s="172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</row>
    <row r="45" spans="1:30" ht="14.25" customHeight="1" x14ac:dyDescent="0.25">
      <c r="A45" s="92"/>
      <c r="B45" s="92"/>
      <c r="C45" s="225"/>
      <c r="D45" s="225"/>
      <c r="E45" s="148">
        <f>D37-E44</f>
        <v>318</v>
      </c>
      <c r="F45" s="148" t="s">
        <v>222</v>
      </c>
      <c r="G45" s="148" t="s">
        <v>223</v>
      </c>
      <c r="H45" s="98"/>
      <c r="I45" s="176" t="s">
        <v>224</v>
      </c>
      <c r="J45" s="176">
        <v>15</v>
      </c>
      <c r="K45" s="92"/>
      <c r="L45" s="170"/>
      <c r="M45" s="171"/>
      <c r="N45" s="172"/>
      <c r="O45" s="172"/>
      <c r="P45" s="172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</row>
    <row r="46" spans="1:30" ht="14.25" customHeight="1" x14ac:dyDescent="0.25">
      <c r="A46" s="92"/>
      <c r="B46" s="92"/>
      <c r="C46" s="177" t="s">
        <v>225</v>
      </c>
      <c r="D46" s="178" t="s">
        <v>226</v>
      </c>
      <c r="E46" s="148">
        <v>0</v>
      </c>
      <c r="F46" s="148" t="s">
        <v>222</v>
      </c>
      <c r="G46" s="179" t="s">
        <v>227</v>
      </c>
      <c r="H46" s="98"/>
      <c r="I46" s="92"/>
      <c r="J46" s="92">
        <f>J45+J44+J43+K41</f>
        <v>1070</v>
      </c>
      <c r="K46" s="92"/>
      <c r="L46" s="170"/>
      <c r="M46" s="171"/>
      <c r="N46" s="172"/>
      <c r="O46" s="172"/>
      <c r="P46" s="172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</row>
    <row r="47" spans="1:30" ht="14.25" customHeight="1" x14ac:dyDescent="0.25">
      <c r="A47" s="92"/>
      <c r="B47" s="98"/>
      <c r="C47" s="99"/>
      <c r="D47" s="99" t="s">
        <v>228</v>
      </c>
      <c r="E47" s="99">
        <f>E46+E45</f>
        <v>318</v>
      </c>
      <c r="F47" s="99"/>
      <c r="G47" s="99"/>
      <c r="H47" s="98"/>
      <c r="I47" s="92"/>
      <c r="J47" s="92"/>
      <c r="K47" s="92"/>
      <c r="L47" s="170"/>
      <c r="M47" s="171"/>
      <c r="N47" s="172"/>
      <c r="O47" s="172"/>
      <c r="P47" s="172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</row>
    <row r="48" spans="1:30" ht="14.25" customHeight="1" x14ac:dyDescent="0.25">
      <c r="A48" s="92"/>
      <c r="B48" s="98"/>
      <c r="C48" s="92"/>
      <c r="D48" s="92"/>
      <c r="E48" s="92"/>
      <c r="F48" s="92"/>
      <c r="G48" s="92"/>
      <c r="H48" s="98"/>
      <c r="I48" s="92"/>
      <c r="J48" s="92"/>
      <c r="K48" s="92"/>
      <c r="L48" s="170"/>
      <c r="M48" s="171" t="s">
        <v>217</v>
      </c>
      <c r="N48" s="172">
        <v>170</v>
      </c>
      <c r="O48" s="172">
        <v>0</v>
      </c>
      <c r="P48" s="172">
        <v>170</v>
      </c>
      <c r="Q48" s="99">
        <v>100</v>
      </c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</row>
    <row r="49" spans="1:30" ht="14.25" customHeight="1" x14ac:dyDescent="0.25">
      <c r="A49" s="92"/>
      <c r="B49" s="98"/>
      <c r="C49" s="92"/>
      <c r="D49" s="92"/>
      <c r="E49" s="92"/>
      <c r="F49" s="92"/>
      <c r="G49" s="92"/>
      <c r="H49" s="121"/>
      <c r="I49" s="92"/>
      <c r="J49" s="92"/>
      <c r="K49" s="92"/>
      <c r="L49" s="170"/>
      <c r="M49" s="171" t="s">
        <v>218</v>
      </c>
      <c r="N49" s="172">
        <v>110</v>
      </c>
      <c r="O49" s="172">
        <v>0</v>
      </c>
      <c r="P49" s="172">
        <v>111</v>
      </c>
      <c r="Q49" s="99">
        <v>105</v>
      </c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</row>
    <row r="50" spans="1:30" ht="14.25" customHeight="1" x14ac:dyDescent="0.25">
      <c r="A50" s="92"/>
      <c r="B50" s="98"/>
      <c r="C50" s="92"/>
      <c r="D50" s="92"/>
      <c r="E50" s="92"/>
      <c r="F50" s="92"/>
      <c r="G50" s="92"/>
      <c r="H50" s="98"/>
      <c r="I50" s="92"/>
      <c r="J50" s="92"/>
      <c r="K50" s="92"/>
      <c r="L50" s="170"/>
      <c r="M50" s="171" t="s">
        <v>219</v>
      </c>
      <c r="N50" s="172">
        <v>65</v>
      </c>
      <c r="O50" s="172">
        <v>0</v>
      </c>
      <c r="P50" s="172">
        <v>65</v>
      </c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</row>
    <row r="51" spans="1:30" ht="14.25" customHeight="1" x14ac:dyDescent="0.25">
      <c r="A51" s="92"/>
      <c r="B51" s="98"/>
      <c r="C51" s="92"/>
      <c r="D51" s="92"/>
      <c r="E51" s="92"/>
      <c r="F51" s="92"/>
      <c r="G51" s="92"/>
      <c r="H51" s="98"/>
      <c r="I51" s="92"/>
      <c r="J51" s="92"/>
      <c r="K51" s="92"/>
      <c r="L51" s="170"/>
      <c r="M51" s="171" t="s">
        <v>224</v>
      </c>
      <c r="N51" s="172">
        <v>15</v>
      </c>
      <c r="O51" s="172">
        <v>0</v>
      </c>
      <c r="P51" s="172">
        <v>15</v>
      </c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</row>
    <row r="52" spans="1:30" ht="14.25" customHeight="1" x14ac:dyDescent="0.25">
      <c r="A52" s="92"/>
      <c r="B52" s="98"/>
      <c r="C52" s="92"/>
      <c r="D52" s="92"/>
      <c r="E52" s="92"/>
      <c r="F52" s="92"/>
      <c r="G52" s="92"/>
      <c r="H52" s="98"/>
      <c r="I52" s="92"/>
      <c r="J52" s="92"/>
      <c r="K52" s="92"/>
      <c r="L52" s="170"/>
      <c r="M52" s="171" t="s">
        <v>229</v>
      </c>
      <c r="N52" s="172">
        <v>92</v>
      </c>
      <c r="O52" s="172">
        <v>0</v>
      </c>
      <c r="P52" s="172">
        <v>100</v>
      </c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</row>
    <row r="53" spans="1:30" ht="14.25" customHeight="1" x14ac:dyDescent="0.25">
      <c r="A53" s="92"/>
      <c r="B53" s="98"/>
      <c r="C53" s="92"/>
      <c r="D53" s="92"/>
      <c r="E53" s="92"/>
      <c r="F53" s="92"/>
      <c r="G53" s="92"/>
      <c r="H53" s="98"/>
      <c r="I53" s="92"/>
      <c r="J53" s="92"/>
      <c r="K53" s="92"/>
      <c r="L53" s="170"/>
      <c r="M53" s="171" t="s">
        <v>230</v>
      </c>
      <c r="N53" s="172">
        <v>989</v>
      </c>
      <c r="O53" s="172">
        <v>0</v>
      </c>
      <c r="P53" s="172">
        <v>0</v>
      </c>
      <c r="Q53" s="150" t="s">
        <v>231</v>
      </c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</row>
    <row r="54" spans="1:30" ht="14.25" customHeight="1" x14ac:dyDescent="0.25">
      <c r="A54" s="92"/>
      <c r="B54" s="98"/>
      <c r="C54" s="92"/>
      <c r="D54" s="92"/>
      <c r="E54" s="92"/>
      <c r="F54" s="92"/>
      <c r="G54" s="92"/>
      <c r="H54" s="121"/>
      <c r="I54" s="92"/>
      <c r="J54" s="92"/>
      <c r="K54" s="92"/>
      <c r="L54" s="170"/>
      <c r="M54" s="171"/>
      <c r="N54" s="172">
        <f t="shared" ref="N54:P54" si="10">SUM(N38:N53)</f>
        <v>1763</v>
      </c>
      <c r="O54" s="172">
        <f t="shared" si="10"/>
        <v>0</v>
      </c>
      <c r="P54" s="172">
        <f t="shared" si="10"/>
        <v>733</v>
      </c>
      <c r="Q54" s="99">
        <f>P54-O54</f>
        <v>733</v>
      </c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</row>
    <row r="55" spans="1:30" ht="14.25" customHeight="1" x14ac:dyDescent="0.25">
      <c r="A55" s="92"/>
      <c r="B55" s="98"/>
      <c r="C55" s="92"/>
      <c r="D55" s="92"/>
      <c r="E55" s="92"/>
      <c r="F55" s="92"/>
      <c r="G55" s="92"/>
      <c r="H55" s="98"/>
      <c r="I55" s="92"/>
      <c r="J55" s="92"/>
      <c r="K55" s="92"/>
      <c r="L55" s="92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</row>
    <row r="56" spans="1:30" ht="14.25" customHeight="1" x14ac:dyDescent="0.25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</row>
    <row r="57" spans="1:30" ht="14.25" customHeight="1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</row>
    <row r="58" spans="1:30" ht="14.25" customHeight="1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</row>
    <row r="59" spans="1:30" ht="14.25" customHeight="1" x14ac:dyDescent="0.25">
      <c r="A59" s="92"/>
      <c r="B59" s="92"/>
      <c r="C59" s="92"/>
      <c r="D59" s="92"/>
      <c r="E59" s="92"/>
      <c r="F59" s="92"/>
      <c r="G59" s="92"/>
      <c r="H59" s="158"/>
      <c r="I59" s="92"/>
      <c r="J59" s="92"/>
      <c r="K59" s="92"/>
      <c r="L59" s="92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</row>
    <row r="60" spans="1:30" ht="14.25" customHeight="1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</row>
    <row r="61" spans="1:30" ht="14.25" customHeight="1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</row>
    <row r="62" spans="1:30" ht="14.25" customHeight="1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</row>
    <row r="63" spans="1:30" ht="14.25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</row>
    <row r="64" spans="1:30" ht="14.25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</row>
    <row r="65" spans="1:30" ht="14.25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</row>
    <row r="66" spans="1:30" ht="14.25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</row>
    <row r="67" spans="1:30" ht="14.25" customHeight="1" x14ac:dyDescent="0.25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</row>
    <row r="68" spans="1:30" ht="14.25" customHeight="1" x14ac:dyDescent="0.25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</row>
    <row r="69" spans="1:30" ht="14.25" customHeight="1" x14ac:dyDescent="0.25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</row>
    <row r="70" spans="1:30" ht="14.25" customHeight="1" x14ac:dyDescent="0.25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</row>
    <row r="71" spans="1:30" ht="14.25" customHeight="1" x14ac:dyDescent="0.25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</row>
    <row r="72" spans="1:30" ht="14.25" customHeight="1" x14ac:dyDescent="0.25">
      <c r="A72" s="92"/>
      <c r="B72" s="92"/>
      <c r="C72" s="92"/>
      <c r="D72" s="92"/>
      <c r="E72" s="92"/>
      <c r="F72" s="92"/>
      <c r="G72" s="92"/>
      <c r="H72" s="158"/>
      <c r="I72" s="92"/>
      <c r="J72" s="92"/>
      <c r="K72" s="92"/>
      <c r="L72" s="92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</row>
    <row r="73" spans="1:30" ht="14.25" customHeight="1" x14ac:dyDescent="0.25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</row>
    <row r="74" spans="1:30" ht="14.25" customHeight="1" x14ac:dyDescent="0.25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</row>
    <row r="75" spans="1:30" ht="14.25" customHeight="1" x14ac:dyDescent="0.25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</row>
    <row r="76" spans="1:30" ht="14.25" customHeight="1" x14ac:dyDescent="0.25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</row>
    <row r="77" spans="1:30" ht="14.25" customHeight="1" x14ac:dyDescent="0.25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</row>
    <row r="78" spans="1:30" ht="14.25" customHeight="1" x14ac:dyDescent="0.25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</row>
    <row r="79" spans="1:30" ht="14.25" customHeight="1" x14ac:dyDescent="0.25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</row>
    <row r="80" spans="1:30" ht="14.25" customHeight="1" x14ac:dyDescent="0.25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</row>
    <row r="81" spans="1:30" ht="14.25" customHeight="1" x14ac:dyDescent="0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</row>
    <row r="82" spans="1:30" ht="14.25" customHeight="1" x14ac:dyDescent="0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</row>
    <row r="83" spans="1:30" ht="14.25" customHeight="1" x14ac:dyDescent="0.25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</row>
    <row r="84" spans="1:30" ht="14.25" customHeight="1" x14ac:dyDescent="0.25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</row>
    <row r="85" spans="1:30" ht="14.25" customHeight="1" x14ac:dyDescent="0.25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</row>
    <row r="86" spans="1:30" ht="14.25" customHeight="1" x14ac:dyDescent="0.25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</row>
    <row r="87" spans="1:30" ht="14.25" customHeight="1" x14ac:dyDescent="0.25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</row>
    <row r="88" spans="1:30" ht="14.25" customHeight="1" x14ac:dyDescent="0.25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</row>
    <row r="89" spans="1:30" ht="14.25" customHeight="1" x14ac:dyDescent="0.25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</row>
    <row r="90" spans="1:30" ht="14.25" customHeight="1" x14ac:dyDescent="0.25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</row>
    <row r="91" spans="1:30" ht="14.25" customHeight="1" x14ac:dyDescent="0.25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</row>
    <row r="92" spans="1:30" ht="14.25" customHeight="1" x14ac:dyDescent="0.25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</row>
    <row r="93" spans="1:30" ht="14.25" customHeight="1" x14ac:dyDescent="0.25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</row>
    <row r="94" spans="1:30" ht="14.25" customHeight="1" x14ac:dyDescent="0.25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</row>
    <row r="95" spans="1:30" ht="14.25" customHeight="1" x14ac:dyDescent="0.25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</row>
    <row r="96" spans="1:30" ht="14.25" customHeight="1" x14ac:dyDescent="0.25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</row>
    <row r="97" spans="1:30" ht="14.25" customHeight="1" x14ac:dyDescent="0.25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</row>
    <row r="98" spans="1:30" ht="14.25" customHeight="1" x14ac:dyDescent="0.25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</row>
    <row r="99" spans="1:30" ht="14.25" customHeight="1" x14ac:dyDescent="0.25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</row>
    <row r="100" spans="1:30" ht="14.25" customHeight="1" x14ac:dyDescent="0.25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</row>
    <row r="101" spans="1:30" ht="14.25" customHeight="1" x14ac:dyDescent="0.25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</row>
    <row r="102" spans="1:30" ht="14.25" customHeight="1" x14ac:dyDescent="0.25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</row>
    <row r="103" spans="1:30" ht="14.25" customHeight="1" x14ac:dyDescent="0.25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</row>
    <row r="104" spans="1:30" ht="14.25" customHeight="1" x14ac:dyDescent="0.25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</row>
    <row r="105" spans="1:30" ht="14.25" customHeight="1" x14ac:dyDescent="0.25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</row>
    <row r="106" spans="1:30" ht="14.25" customHeight="1" x14ac:dyDescent="0.25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</row>
    <row r="107" spans="1:30" ht="14.25" customHeight="1" x14ac:dyDescent="0.25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</row>
    <row r="108" spans="1:30" ht="14.25" customHeight="1" x14ac:dyDescent="0.25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</row>
    <row r="109" spans="1:30" ht="14.25" customHeight="1" x14ac:dyDescent="0.25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</row>
    <row r="110" spans="1:30" ht="14.25" customHeight="1" x14ac:dyDescent="0.25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</row>
    <row r="111" spans="1:30" ht="14.25" customHeight="1" x14ac:dyDescent="0.25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</row>
    <row r="112" spans="1:30" ht="14.25" customHeight="1" x14ac:dyDescent="0.25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</row>
    <row r="113" spans="1:30" ht="14.25" customHeight="1" x14ac:dyDescent="0.25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</row>
    <row r="114" spans="1:30" ht="14.25" customHeight="1" x14ac:dyDescent="0.25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</row>
    <row r="115" spans="1:30" ht="14.25" customHeight="1" x14ac:dyDescent="0.25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</row>
    <row r="116" spans="1:30" ht="14.25" customHeight="1" x14ac:dyDescent="0.25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</row>
    <row r="117" spans="1:30" ht="14.25" customHeight="1" x14ac:dyDescent="0.25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</row>
    <row r="118" spans="1:30" ht="14.25" customHeight="1" x14ac:dyDescent="0.25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</row>
    <row r="119" spans="1:30" ht="14.25" customHeight="1" x14ac:dyDescent="0.25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</row>
    <row r="120" spans="1:30" ht="14.25" customHeight="1" x14ac:dyDescent="0.25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</row>
    <row r="121" spans="1:30" ht="14.25" customHeight="1" x14ac:dyDescent="0.25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</row>
    <row r="122" spans="1:30" ht="14.25" customHeight="1" x14ac:dyDescent="0.25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</row>
    <row r="123" spans="1:30" ht="14.25" customHeight="1" x14ac:dyDescent="0.25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</row>
    <row r="124" spans="1:30" ht="14.25" customHeight="1" x14ac:dyDescent="0.25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</row>
    <row r="125" spans="1:30" ht="14.25" customHeight="1" x14ac:dyDescent="0.25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</row>
    <row r="126" spans="1:30" ht="14.25" customHeight="1" x14ac:dyDescent="0.25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</row>
    <row r="127" spans="1:30" ht="14.25" customHeight="1" x14ac:dyDescent="0.25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</row>
    <row r="128" spans="1:30" ht="14.25" customHeight="1" x14ac:dyDescent="0.25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</row>
    <row r="129" spans="1:30" ht="14.25" customHeight="1" x14ac:dyDescent="0.25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</row>
    <row r="130" spans="1:30" ht="14.25" customHeight="1" x14ac:dyDescent="0.25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</row>
    <row r="131" spans="1:30" ht="14.25" customHeight="1" x14ac:dyDescent="0.25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</row>
    <row r="132" spans="1:30" ht="14.25" customHeight="1" x14ac:dyDescent="0.25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</row>
    <row r="133" spans="1:30" ht="14.25" customHeight="1" x14ac:dyDescent="0.25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</row>
    <row r="134" spans="1:30" ht="14.25" customHeight="1" x14ac:dyDescent="0.25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</row>
    <row r="135" spans="1:30" ht="14.25" customHeight="1" x14ac:dyDescent="0.25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</row>
    <row r="136" spans="1:30" ht="14.25" customHeight="1" x14ac:dyDescent="0.25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</row>
    <row r="137" spans="1:30" ht="14.25" customHeight="1" x14ac:dyDescent="0.25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</row>
    <row r="138" spans="1:30" ht="14.25" customHeight="1" x14ac:dyDescent="0.25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</row>
    <row r="139" spans="1:30" ht="14.25" customHeight="1" x14ac:dyDescent="0.25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</row>
    <row r="140" spans="1:30" ht="14.25" customHeight="1" x14ac:dyDescent="0.25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</row>
    <row r="141" spans="1:30" ht="14.25" customHeight="1" x14ac:dyDescent="0.25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</row>
    <row r="142" spans="1:30" ht="14.25" customHeight="1" x14ac:dyDescent="0.25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</row>
    <row r="143" spans="1:30" ht="14.25" customHeight="1" x14ac:dyDescent="0.25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</row>
    <row r="144" spans="1:30" ht="14.25" customHeight="1" x14ac:dyDescent="0.25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</row>
    <row r="145" spans="1:30" ht="14.25" customHeight="1" x14ac:dyDescent="0.25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</row>
    <row r="146" spans="1:30" ht="14.25" customHeight="1" x14ac:dyDescent="0.25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</row>
    <row r="147" spans="1:30" ht="14.25" customHeight="1" x14ac:dyDescent="0.25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</row>
    <row r="148" spans="1:30" ht="14.25" customHeight="1" x14ac:dyDescent="0.25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</row>
    <row r="149" spans="1:30" ht="14.25" customHeight="1" x14ac:dyDescent="0.25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</row>
    <row r="150" spans="1:30" ht="14.25" customHeight="1" x14ac:dyDescent="0.25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</row>
    <row r="151" spans="1:30" ht="14.25" customHeight="1" x14ac:dyDescent="0.25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</row>
    <row r="152" spans="1:30" ht="14.25" customHeight="1" x14ac:dyDescent="0.25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</row>
    <row r="153" spans="1:30" ht="14.25" customHeight="1" x14ac:dyDescent="0.25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</row>
    <row r="154" spans="1:30" ht="14.25" customHeight="1" x14ac:dyDescent="0.25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</row>
    <row r="155" spans="1:30" ht="14.25" customHeight="1" x14ac:dyDescent="0.25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</row>
    <row r="156" spans="1:30" ht="14.25" customHeight="1" x14ac:dyDescent="0.25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</row>
    <row r="157" spans="1:30" ht="14.25" customHeight="1" x14ac:dyDescent="0.25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</row>
    <row r="158" spans="1:30" ht="14.25" customHeight="1" x14ac:dyDescent="0.25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</row>
    <row r="159" spans="1:30" ht="14.25" customHeight="1" x14ac:dyDescent="0.25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</row>
    <row r="160" spans="1:30" ht="14.25" customHeight="1" x14ac:dyDescent="0.25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</row>
    <row r="161" spans="1:30" ht="14.25" customHeight="1" x14ac:dyDescent="0.25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</row>
    <row r="162" spans="1:30" ht="14.25" customHeight="1" x14ac:dyDescent="0.25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</row>
    <row r="163" spans="1:30" ht="14.25" customHeight="1" x14ac:dyDescent="0.25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</row>
    <row r="164" spans="1:30" ht="14.25" customHeight="1" x14ac:dyDescent="0.25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</row>
    <row r="165" spans="1:30" ht="14.25" customHeight="1" x14ac:dyDescent="0.25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</row>
    <row r="166" spans="1:30" ht="14.25" customHeight="1" x14ac:dyDescent="0.25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</row>
    <row r="167" spans="1:30" ht="14.25" customHeight="1" x14ac:dyDescent="0.25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</row>
    <row r="168" spans="1:30" ht="14.25" customHeight="1" x14ac:dyDescent="0.25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</row>
    <row r="169" spans="1:30" ht="14.25" customHeight="1" x14ac:dyDescent="0.25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</row>
    <row r="170" spans="1:30" ht="14.25" customHeight="1" x14ac:dyDescent="0.25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</row>
    <row r="171" spans="1:30" ht="14.25" customHeight="1" x14ac:dyDescent="0.25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</row>
    <row r="172" spans="1:30" ht="14.25" customHeight="1" x14ac:dyDescent="0.25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</row>
    <row r="173" spans="1:30" ht="14.25" customHeight="1" x14ac:dyDescent="0.25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</row>
    <row r="174" spans="1:30" ht="14.25" customHeight="1" x14ac:dyDescent="0.25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</row>
    <row r="175" spans="1:30" ht="14.25" customHeight="1" x14ac:dyDescent="0.25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</row>
    <row r="176" spans="1:30" ht="14.25" customHeight="1" x14ac:dyDescent="0.25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</row>
    <row r="177" spans="1:30" ht="14.25" customHeight="1" x14ac:dyDescent="0.25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</row>
    <row r="178" spans="1:30" ht="14.25" customHeight="1" x14ac:dyDescent="0.25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</row>
    <row r="179" spans="1:30" ht="14.25" customHeight="1" x14ac:dyDescent="0.25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</row>
    <row r="180" spans="1:30" ht="14.25" customHeight="1" x14ac:dyDescent="0.25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</row>
    <row r="181" spans="1:30" ht="14.25" customHeight="1" x14ac:dyDescent="0.25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</row>
    <row r="182" spans="1:30" ht="14.25" customHeight="1" x14ac:dyDescent="0.25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</row>
    <row r="183" spans="1:30" ht="14.25" customHeight="1" x14ac:dyDescent="0.25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</row>
    <row r="184" spans="1:30" ht="14.25" customHeight="1" x14ac:dyDescent="0.25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</row>
    <row r="185" spans="1:30" ht="14.25" customHeight="1" x14ac:dyDescent="0.25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</row>
    <row r="186" spans="1:30" ht="14.25" customHeight="1" x14ac:dyDescent="0.25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</row>
    <row r="187" spans="1:30" ht="14.25" customHeight="1" x14ac:dyDescent="0.25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</row>
    <row r="188" spans="1:30" ht="14.25" customHeight="1" x14ac:dyDescent="0.25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</row>
    <row r="189" spans="1:30" ht="14.25" customHeight="1" x14ac:dyDescent="0.25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</row>
    <row r="190" spans="1:30" ht="14.25" customHeight="1" x14ac:dyDescent="0.25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</row>
    <row r="191" spans="1:30" ht="14.25" customHeight="1" x14ac:dyDescent="0.25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</row>
    <row r="192" spans="1:30" ht="14.25" customHeight="1" x14ac:dyDescent="0.25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</row>
    <row r="193" spans="1:30" ht="14.25" customHeight="1" x14ac:dyDescent="0.25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</row>
    <row r="194" spans="1:30" ht="14.25" customHeight="1" x14ac:dyDescent="0.25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</row>
    <row r="195" spans="1:30" ht="14.25" customHeight="1" x14ac:dyDescent="0.25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</row>
    <row r="196" spans="1:30" ht="14.25" customHeight="1" x14ac:dyDescent="0.25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</row>
    <row r="197" spans="1:30" ht="14.25" customHeight="1" x14ac:dyDescent="0.25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</row>
    <row r="198" spans="1:30" ht="14.25" customHeight="1" x14ac:dyDescent="0.25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</row>
    <row r="199" spans="1:30" ht="14.25" customHeight="1" x14ac:dyDescent="0.25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</row>
    <row r="200" spans="1:30" ht="14.25" customHeight="1" x14ac:dyDescent="0.25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</row>
    <row r="201" spans="1:30" ht="14.25" customHeight="1" x14ac:dyDescent="0.25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</row>
    <row r="202" spans="1:30" ht="14.25" customHeight="1" x14ac:dyDescent="0.25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</row>
    <row r="203" spans="1:30" ht="14.25" customHeight="1" x14ac:dyDescent="0.25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</row>
    <row r="204" spans="1:30" ht="14.25" customHeight="1" x14ac:dyDescent="0.25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</row>
    <row r="205" spans="1:30" ht="14.25" customHeight="1" x14ac:dyDescent="0.25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</row>
    <row r="206" spans="1:30" ht="14.25" customHeight="1" x14ac:dyDescent="0.25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</row>
    <row r="207" spans="1:30" ht="14.25" customHeight="1" x14ac:dyDescent="0.25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</row>
    <row r="208" spans="1:30" ht="14.25" customHeight="1" x14ac:dyDescent="0.25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</row>
    <row r="209" spans="1:30" ht="14.25" customHeight="1" x14ac:dyDescent="0.25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</row>
    <row r="210" spans="1:30" ht="14.25" customHeight="1" x14ac:dyDescent="0.25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</row>
    <row r="211" spans="1:30" ht="14.25" customHeight="1" x14ac:dyDescent="0.25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</row>
    <row r="212" spans="1:30" ht="14.25" customHeight="1" x14ac:dyDescent="0.25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</row>
    <row r="213" spans="1:30" ht="14.25" customHeight="1" x14ac:dyDescent="0.25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</row>
    <row r="214" spans="1:30" ht="14.25" customHeight="1" x14ac:dyDescent="0.25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</row>
    <row r="215" spans="1:30" ht="14.25" customHeight="1" x14ac:dyDescent="0.25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</row>
    <row r="216" spans="1:30" ht="14.25" customHeight="1" x14ac:dyDescent="0.25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</row>
    <row r="217" spans="1:30" ht="14.25" customHeight="1" x14ac:dyDescent="0.25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</row>
    <row r="218" spans="1:30" ht="14.25" customHeight="1" x14ac:dyDescent="0.25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</row>
    <row r="219" spans="1:30" ht="14.25" customHeight="1" x14ac:dyDescent="0.25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</row>
    <row r="220" spans="1:30" ht="14.25" customHeight="1" x14ac:dyDescent="0.25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</row>
    <row r="221" spans="1:30" ht="14.25" customHeight="1" x14ac:dyDescent="0.25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</row>
    <row r="222" spans="1:30" ht="14.25" customHeight="1" x14ac:dyDescent="0.25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</row>
    <row r="223" spans="1:30" ht="14.25" customHeight="1" x14ac:dyDescent="0.25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</row>
    <row r="224" spans="1:30" ht="14.25" customHeight="1" x14ac:dyDescent="0.25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</row>
    <row r="225" spans="1:30" ht="14.25" customHeight="1" x14ac:dyDescent="0.25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</row>
    <row r="226" spans="1:30" ht="14.25" customHeight="1" x14ac:dyDescent="0.25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</row>
    <row r="227" spans="1:30" ht="14.25" customHeight="1" x14ac:dyDescent="0.25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</row>
    <row r="228" spans="1:30" ht="14.25" customHeight="1" x14ac:dyDescent="0.25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</row>
    <row r="229" spans="1:30" ht="14.25" customHeight="1" x14ac:dyDescent="0.25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</row>
    <row r="230" spans="1:30" ht="14.25" customHeight="1" x14ac:dyDescent="0.25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</row>
    <row r="231" spans="1:30" ht="14.25" customHeight="1" x14ac:dyDescent="0.25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</row>
    <row r="232" spans="1:30" ht="14.25" customHeight="1" x14ac:dyDescent="0.25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</row>
    <row r="233" spans="1:30" ht="14.25" customHeight="1" x14ac:dyDescent="0.25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</row>
    <row r="234" spans="1:30" ht="14.25" customHeight="1" x14ac:dyDescent="0.25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</row>
    <row r="235" spans="1:30" ht="14.25" customHeight="1" x14ac:dyDescent="0.25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</row>
    <row r="236" spans="1:30" ht="14.25" customHeight="1" x14ac:dyDescent="0.25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</row>
    <row r="237" spans="1:30" ht="14.25" customHeight="1" x14ac:dyDescent="0.25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</row>
    <row r="238" spans="1:30" ht="14.25" customHeight="1" x14ac:dyDescent="0.25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</row>
    <row r="239" spans="1:30" ht="14.25" customHeight="1" x14ac:dyDescent="0.25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</row>
    <row r="240" spans="1:30" ht="14.25" customHeight="1" x14ac:dyDescent="0.25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</row>
    <row r="241" spans="1:30" ht="14.25" customHeight="1" x14ac:dyDescent="0.25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</row>
    <row r="242" spans="1:30" ht="14.25" customHeight="1" x14ac:dyDescent="0.25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</row>
    <row r="243" spans="1:30" ht="14.25" customHeight="1" x14ac:dyDescent="0.25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</row>
    <row r="244" spans="1:30" ht="14.25" customHeight="1" x14ac:dyDescent="0.25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</row>
    <row r="245" spans="1:30" ht="14.25" customHeight="1" x14ac:dyDescent="0.25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</row>
    <row r="246" spans="1:30" ht="14.25" customHeight="1" x14ac:dyDescent="0.25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</row>
    <row r="247" spans="1:30" ht="14.25" customHeight="1" x14ac:dyDescent="0.25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</row>
    <row r="248" spans="1:30" ht="14.25" customHeight="1" x14ac:dyDescent="0.25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</row>
    <row r="249" spans="1:30" ht="14.25" customHeight="1" x14ac:dyDescent="0.25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</row>
    <row r="250" spans="1:30" ht="14.25" customHeight="1" x14ac:dyDescent="0.25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</row>
    <row r="251" spans="1:30" ht="14.25" customHeight="1" x14ac:dyDescent="0.25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</row>
    <row r="252" spans="1:30" ht="14.25" customHeight="1" x14ac:dyDescent="0.25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</row>
    <row r="253" spans="1:30" ht="14.25" customHeight="1" x14ac:dyDescent="0.25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</row>
    <row r="254" spans="1:30" ht="14.25" customHeight="1" x14ac:dyDescent="0.25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</row>
    <row r="255" spans="1:30" ht="14.25" customHeight="1" x14ac:dyDescent="0.25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</row>
    <row r="256" spans="1:30" ht="14.25" customHeight="1" x14ac:dyDescent="0.25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</row>
    <row r="257" spans="1:30" ht="14.25" customHeight="1" x14ac:dyDescent="0.25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</row>
    <row r="258" spans="1:30" ht="14.25" customHeight="1" x14ac:dyDescent="0.25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</row>
    <row r="259" spans="1:30" ht="14.25" customHeight="1" x14ac:dyDescent="0.25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</row>
    <row r="260" spans="1:30" ht="14.25" customHeight="1" x14ac:dyDescent="0.25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</row>
    <row r="261" spans="1:30" ht="14.25" customHeight="1" x14ac:dyDescent="0.25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</row>
    <row r="262" spans="1:30" ht="14.25" customHeight="1" x14ac:dyDescent="0.25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</row>
    <row r="263" spans="1:30" ht="14.25" customHeight="1" x14ac:dyDescent="0.25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</row>
    <row r="264" spans="1:30" ht="14.25" customHeight="1" x14ac:dyDescent="0.25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</row>
    <row r="265" spans="1:30" ht="14.25" customHeight="1" x14ac:dyDescent="0.25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</row>
    <row r="266" spans="1:30" ht="14.25" customHeight="1" x14ac:dyDescent="0.25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</row>
    <row r="267" spans="1:30" ht="14.25" customHeight="1" x14ac:dyDescent="0.25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</row>
    <row r="268" spans="1:30" ht="14.25" customHeight="1" x14ac:dyDescent="0.25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</row>
    <row r="269" spans="1:30" ht="14.25" customHeight="1" x14ac:dyDescent="0.25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</row>
    <row r="270" spans="1:30" ht="14.25" customHeight="1" x14ac:dyDescent="0.25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</row>
    <row r="271" spans="1:30" ht="14.25" customHeight="1" x14ac:dyDescent="0.25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</row>
    <row r="272" spans="1:30" ht="14.25" customHeight="1" x14ac:dyDescent="0.25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</row>
    <row r="273" spans="1:30" ht="14.25" customHeight="1" x14ac:dyDescent="0.25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</row>
    <row r="274" spans="1:30" ht="14.25" customHeight="1" x14ac:dyDescent="0.25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</row>
    <row r="275" spans="1:30" ht="14.25" customHeight="1" x14ac:dyDescent="0.25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</row>
    <row r="276" spans="1:30" ht="14.25" customHeight="1" x14ac:dyDescent="0.25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</row>
    <row r="277" spans="1:30" ht="14.25" customHeight="1" x14ac:dyDescent="0.25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</row>
    <row r="278" spans="1:30" ht="14.25" customHeight="1" x14ac:dyDescent="0.25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</row>
    <row r="279" spans="1:30" ht="14.25" customHeight="1" x14ac:dyDescent="0.25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</row>
    <row r="280" spans="1:30" ht="14.25" customHeight="1" x14ac:dyDescent="0.25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</row>
    <row r="281" spans="1:30" ht="14.25" customHeight="1" x14ac:dyDescent="0.25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</row>
    <row r="282" spans="1:30" ht="14.25" customHeight="1" x14ac:dyDescent="0.25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</row>
    <row r="283" spans="1:30" ht="14.25" customHeight="1" x14ac:dyDescent="0.25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</row>
    <row r="284" spans="1:30" ht="14.25" customHeight="1" x14ac:dyDescent="0.25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</row>
    <row r="285" spans="1:30" ht="14.25" customHeight="1" x14ac:dyDescent="0.2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</row>
    <row r="286" spans="1:30" ht="14.25" customHeight="1" x14ac:dyDescent="0.25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</row>
    <row r="287" spans="1:30" ht="14.25" customHeight="1" x14ac:dyDescent="0.25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</row>
    <row r="288" spans="1:30" ht="14.25" customHeight="1" x14ac:dyDescent="0.25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</row>
    <row r="289" spans="1:30" ht="14.25" customHeight="1" x14ac:dyDescent="0.25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</row>
    <row r="290" spans="1:30" ht="14.25" customHeight="1" x14ac:dyDescent="0.25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</row>
    <row r="291" spans="1:30" ht="14.25" customHeight="1" x14ac:dyDescent="0.25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</row>
    <row r="292" spans="1:30" ht="14.25" customHeight="1" x14ac:dyDescent="0.25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</row>
    <row r="293" spans="1:30" ht="14.25" customHeight="1" x14ac:dyDescent="0.25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</row>
    <row r="294" spans="1:30" ht="14.25" customHeight="1" x14ac:dyDescent="0.25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</row>
    <row r="295" spans="1:30" ht="14.25" customHeight="1" x14ac:dyDescent="0.25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</row>
    <row r="296" spans="1:30" ht="14.25" customHeight="1" x14ac:dyDescent="0.25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</row>
    <row r="297" spans="1:30" ht="14.25" customHeight="1" x14ac:dyDescent="0.25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</row>
    <row r="298" spans="1:30" ht="14.25" customHeight="1" x14ac:dyDescent="0.25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</row>
    <row r="299" spans="1:30" ht="14.25" customHeight="1" x14ac:dyDescent="0.25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</row>
    <row r="300" spans="1:30" ht="14.25" customHeight="1" x14ac:dyDescent="0.25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</row>
    <row r="301" spans="1:30" ht="14.25" customHeight="1" x14ac:dyDescent="0.25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</row>
    <row r="302" spans="1:30" ht="14.25" customHeight="1" x14ac:dyDescent="0.25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</row>
    <row r="303" spans="1:30" ht="14.25" customHeight="1" x14ac:dyDescent="0.25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</row>
    <row r="304" spans="1:30" ht="14.25" customHeight="1" x14ac:dyDescent="0.25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</row>
    <row r="305" spans="1:30" ht="14.25" customHeight="1" x14ac:dyDescent="0.25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</row>
    <row r="306" spans="1:30" ht="14.25" customHeight="1" x14ac:dyDescent="0.25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</row>
    <row r="307" spans="1:30" ht="14.25" customHeight="1" x14ac:dyDescent="0.25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</row>
    <row r="308" spans="1:30" ht="14.25" customHeight="1" x14ac:dyDescent="0.25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</row>
    <row r="309" spans="1:30" ht="14.25" customHeight="1" x14ac:dyDescent="0.25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</row>
    <row r="310" spans="1:30" ht="14.25" customHeight="1" x14ac:dyDescent="0.25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</row>
    <row r="311" spans="1:30" ht="14.25" customHeight="1" x14ac:dyDescent="0.25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</row>
    <row r="312" spans="1:30" ht="14.25" customHeight="1" x14ac:dyDescent="0.25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</row>
    <row r="313" spans="1:30" ht="14.25" customHeight="1" x14ac:dyDescent="0.25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</row>
    <row r="314" spans="1:30" ht="14.25" customHeight="1" x14ac:dyDescent="0.25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</row>
    <row r="315" spans="1:30" ht="14.25" customHeight="1" x14ac:dyDescent="0.25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</row>
    <row r="316" spans="1:30" ht="14.25" customHeight="1" x14ac:dyDescent="0.25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</row>
    <row r="317" spans="1:30" ht="14.25" customHeight="1" x14ac:dyDescent="0.25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</row>
    <row r="318" spans="1:30" ht="14.25" customHeight="1" x14ac:dyDescent="0.25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</row>
    <row r="319" spans="1:30" ht="14.25" customHeight="1" x14ac:dyDescent="0.25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</row>
    <row r="320" spans="1:30" ht="14.25" customHeight="1" x14ac:dyDescent="0.25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</row>
    <row r="321" spans="1:30" ht="14.25" customHeight="1" x14ac:dyDescent="0.25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</row>
    <row r="322" spans="1:30" ht="14.25" customHeight="1" x14ac:dyDescent="0.25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</row>
    <row r="323" spans="1:30" ht="14.25" customHeight="1" x14ac:dyDescent="0.25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</row>
    <row r="324" spans="1:30" ht="14.25" customHeight="1" x14ac:dyDescent="0.25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</row>
    <row r="325" spans="1:30" ht="14.25" customHeight="1" x14ac:dyDescent="0.25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</row>
    <row r="326" spans="1:30" ht="14.25" customHeight="1" x14ac:dyDescent="0.25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</row>
    <row r="327" spans="1:30" ht="14.25" customHeight="1" x14ac:dyDescent="0.25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</row>
    <row r="328" spans="1:30" ht="14.25" customHeight="1" x14ac:dyDescent="0.25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</row>
    <row r="329" spans="1:30" ht="14.25" customHeight="1" x14ac:dyDescent="0.25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</row>
    <row r="330" spans="1:30" ht="14.25" customHeight="1" x14ac:dyDescent="0.25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</row>
    <row r="331" spans="1:30" ht="14.25" customHeight="1" x14ac:dyDescent="0.25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</row>
    <row r="332" spans="1:30" ht="14.25" customHeight="1" x14ac:dyDescent="0.25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</row>
    <row r="333" spans="1:30" ht="14.25" customHeight="1" x14ac:dyDescent="0.25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</row>
    <row r="334" spans="1:30" ht="14.25" customHeight="1" x14ac:dyDescent="0.25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</row>
    <row r="335" spans="1:30" ht="14.25" customHeight="1" x14ac:dyDescent="0.25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</row>
    <row r="336" spans="1:30" ht="14.25" customHeight="1" x14ac:dyDescent="0.25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</row>
    <row r="337" spans="1:30" ht="14.25" customHeight="1" x14ac:dyDescent="0.25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</row>
    <row r="338" spans="1:30" ht="14.25" customHeight="1" x14ac:dyDescent="0.25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</row>
    <row r="339" spans="1:30" ht="14.25" customHeight="1" x14ac:dyDescent="0.25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</row>
    <row r="340" spans="1:30" ht="14.25" customHeight="1" x14ac:dyDescent="0.25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</row>
    <row r="341" spans="1:30" ht="14.25" customHeight="1" x14ac:dyDescent="0.25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</row>
    <row r="342" spans="1:30" ht="14.25" customHeight="1" x14ac:dyDescent="0.25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</row>
    <row r="343" spans="1:30" ht="14.25" customHeight="1" x14ac:dyDescent="0.25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</row>
    <row r="344" spans="1:30" ht="14.25" customHeight="1" x14ac:dyDescent="0.25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</row>
    <row r="345" spans="1:30" ht="14.25" customHeight="1" x14ac:dyDescent="0.25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</row>
    <row r="346" spans="1:30" ht="14.25" customHeight="1" x14ac:dyDescent="0.25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</row>
    <row r="347" spans="1:30" ht="14.25" customHeight="1" x14ac:dyDescent="0.25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</row>
    <row r="348" spans="1:30" ht="14.25" customHeight="1" x14ac:dyDescent="0.25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</row>
    <row r="349" spans="1:30" ht="14.25" customHeight="1" x14ac:dyDescent="0.25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</row>
    <row r="350" spans="1:30" ht="14.25" customHeight="1" x14ac:dyDescent="0.25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</row>
    <row r="351" spans="1:30" ht="14.25" customHeight="1" x14ac:dyDescent="0.25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</row>
    <row r="352" spans="1:30" ht="14.25" customHeight="1" x14ac:dyDescent="0.25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</row>
    <row r="353" spans="1:30" ht="14.25" customHeight="1" x14ac:dyDescent="0.25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</row>
    <row r="354" spans="1:30" ht="14.25" customHeight="1" x14ac:dyDescent="0.25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</row>
    <row r="355" spans="1:30" ht="14.25" customHeight="1" x14ac:dyDescent="0.25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</row>
    <row r="356" spans="1:30" ht="14.25" customHeight="1" x14ac:dyDescent="0.25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</row>
    <row r="357" spans="1:30" ht="14.25" customHeight="1" x14ac:dyDescent="0.25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</row>
    <row r="358" spans="1:30" ht="14.25" customHeight="1" x14ac:dyDescent="0.25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</row>
    <row r="359" spans="1:30" ht="14.25" customHeight="1" x14ac:dyDescent="0.25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</row>
    <row r="360" spans="1:30" ht="14.25" customHeight="1" x14ac:dyDescent="0.25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</row>
    <row r="361" spans="1:30" ht="14.25" customHeight="1" x14ac:dyDescent="0.25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</row>
    <row r="362" spans="1:30" ht="14.25" customHeight="1" x14ac:dyDescent="0.25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</row>
    <row r="363" spans="1:30" ht="14.25" customHeight="1" x14ac:dyDescent="0.25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</row>
    <row r="364" spans="1:30" ht="14.25" customHeight="1" x14ac:dyDescent="0.25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</row>
    <row r="365" spans="1:30" ht="14.25" customHeight="1" x14ac:dyDescent="0.25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</row>
    <row r="366" spans="1:30" ht="14.25" customHeight="1" x14ac:dyDescent="0.25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</row>
    <row r="367" spans="1:30" ht="14.25" customHeight="1" x14ac:dyDescent="0.25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</row>
    <row r="368" spans="1:30" ht="14.25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</row>
    <row r="369" spans="1:30" ht="14.25" customHeight="1" x14ac:dyDescent="0.25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</row>
    <row r="370" spans="1:30" ht="14.25" customHeight="1" x14ac:dyDescent="0.25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</row>
    <row r="371" spans="1:30" ht="14.25" customHeight="1" x14ac:dyDescent="0.25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</row>
    <row r="372" spans="1:30" ht="14.25" customHeight="1" x14ac:dyDescent="0.25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</row>
    <row r="373" spans="1:30" ht="14.25" customHeight="1" x14ac:dyDescent="0.25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</row>
    <row r="374" spans="1:30" ht="14.25" customHeight="1" x14ac:dyDescent="0.25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</row>
    <row r="375" spans="1:30" ht="14.25" customHeight="1" x14ac:dyDescent="0.25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</row>
    <row r="376" spans="1:30" ht="14.25" customHeight="1" x14ac:dyDescent="0.25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</row>
    <row r="377" spans="1:30" ht="14.25" customHeight="1" x14ac:dyDescent="0.25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</row>
    <row r="378" spans="1:30" ht="14.25" customHeight="1" x14ac:dyDescent="0.25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</row>
    <row r="379" spans="1:30" ht="14.25" customHeight="1" x14ac:dyDescent="0.25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</row>
    <row r="380" spans="1:30" ht="14.25" customHeight="1" x14ac:dyDescent="0.25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</row>
    <row r="381" spans="1:30" ht="14.25" customHeight="1" x14ac:dyDescent="0.25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</row>
    <row r="382" spans="1:30" ht="14.25" customHeight="1" x14ac:dyDescent="0.25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</row>
    <row r="383" spans="1:30" ht="14.25" customHeight="1" x14ac:dyDescent="0.25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</row>
    <row r="384" spans="1:30" ht="14.25" customHeight="1" x14ac:dyDescent="0.25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</row>
    <row r="385" spans="1:30" ht="14.25" customHeight="1" x14ac:dyDescent="0.25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</row>
    <row r="386" spans="1:30" ht="14.25" customHeight="1" x14ac:dyDescent="0.25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</row>
    <row r="387" spans="1:30" ht="14.25" customHeight="1" x14ac:dyDescent="0.25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</row>
    <row r="388" spans="1:30" ht="14.25" customHeight="1" x14ac:dyDescent="0.25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</row>
    <row r="389" spans="1:30" ht="14.25" customHeight="1" x14ac:dyDescent="0.25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</row>
    <row r="390" spans="1:30" ht="14.25" customHeight="1" x14ac:dyDescent="0.25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</row>
    <row r="391" spans="1:30" ht="14.25" customHeight="1" x14ac:dyDescent="0.25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</row>
    <row r="392" spans="1:30" ht="14.25" customHeight="1" x14ac:dyDescent="0.25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</row>
    <row r="393" spans="1:30" ht="14.25" customHeight="1" x14ac:dyDescent="0.25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</row>
    <row r="394" spans="1:30" ht="14.25" customHeight="1" x14ac:dyDescent="0.25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</row>
    <row r="395" spans="1:30" ht="14.25" customHeight="1" x14ac:dyDescent="0.25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</row>
    <row r="396" spans="1:30" ht="14.25" customHeight="1" x14ac:dyDescent="0.25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</row>
    <row r="397" spans="1:30" ht="14.25" customHeight="1" x14ac:dyDescent="0.25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</row>
    <row r="398" spans="1:30" ht="14.25" customHeight="1" x14ac:dyDescent="0.25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</row>
    <row r="399" spans="1:30" ht="14.25" customHeight="1" x14ac:dyDescent="0.25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</row>
    <row r="400" spans="1:30" ht="14.25" customHeight="1" x14ac:dyDescent="0.25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</row>
    <row r="401" spans="1:30" ht="14.25" customHeight="1" x14ac:dyDescent="0.25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</row>
    <row r="402" spans="1:30" ht="14.25" customHeight="1" x14ac:dyDescent="0.25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</row>
    <row r="403" spans="1:30" ht="14.25" customHeight="1" x14ac:dyDescent="0.25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</row>
    <row r="404" spans="1:30" ht="14.25" customHeight="1" x14ac:dyDescent="0.25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</row>
    <row r="405" spans="1:30" ht="14.25" customHeight="1" x14ac:dyDescent="0.25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</row>
    <row r="406" spans="1:30" ht="14.25" customHeight="1" x14ac:dyDescent="0.25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</row>
    <row r="407" spans="1:30" ht="14.25" customHeight="1" x14ac:dyDescent="0.25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</row>
    <row r="408" spans="1:30" ht="14.25" customHeight="1" x14ac:dyDescent="0.25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</row>
    <row r="409" spans="1:30" ht="14.25" customHeight="1" x14ac:dyDescent="0.25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</row>
    <row r="410" spans="1:30" ht="14.25" customHeight="1" x14ac:dyDescent="0.25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</row>
    <row r="411" spans="1:30" ht="14.25" customHeight="1" x14ac:dyDescent="0.25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</row>
    <row r="412" spans="1:30" ht="14.25" customHeight="1" x14ac:dyDescent="0.25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</row>
    <row r="413" spans="1:30" ht="14.25" customHeight="1" x14ac:dyDescent="0.25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</row>
    <row r="414" spans="1:30" ht="14.25" customHeight="1" x14ac:dyDescent="0.25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</row>
    <row r="415" spans="1:30" ht="14.25" customHeight="1" x14ac:dyDescent="0.25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</row>
    <row r="416" spans="1:30" ht="14.25" customHeight="1" x14ac:dyDescent="0.25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</row>
    <row r="417" spans="1:30" ht="14.25" customHeight="1" x14ac:dyDescent="0.25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</row>
    <row r="418" spans="1:30" ht="14.25" customHeight="1" x14ac:dyDescent="0.25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</row>
    <row r="419" spans="1:30" ht="14.25" customHeight="1" x14ac:dyDescent="0.25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</row>
    <row r="420" spans="1:30" ht="14.25" customHeight="1" x14ac:dyDescent="0.25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</row>
    <row r="421" spans="1:30" ht="14.25" customHeight="1" x14ac:dyDescent="0.25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</row>
    <row r="422" spans="1:30" ht="14.25" customHeight="1" x14ac:dyDescent="0.25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</row>
    <row r="423" spans="1:30" ht="14.25" customHeight="1" x14ac:dyDescent="0.25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</row>
    <row r="424" spans="1:30" ht="14.25" customHeight="1" x14ac:dyDescent="0.25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</row>
    <row r="425" spans="1:30" ht="14.25" customHeight="1" x14ac:dyDescent="0.25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</row>
    <row r="426" spans="1:30" ht="14.25" customHeight="1" x14ac:dyDescent="0.25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</row>
    <row r="427" spans="1:30" ht="14.25" customHeight="1" x14ac:dyDescent="0.25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</row>
    <row r="428" spans="1:30" ht="14.25" customHeight="1" x14ac:dyDescent="0.25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</row>
    <row r="429" spans="1:30" ht="14.25" customHeight="1" x14ac:dyDescent="0.25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</row>
    <row r="430" spans="1:30" ht="14.25" customHeight="1" x14ac:dyDescent="0.25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</row>
    <row r="431" spans="1:30" ht="14.25" customHeight="1" x14ac:dyDescent="0.25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</row>
    <row r="432" spans="1:30" ht="14.25" customHeight="1" x14ac:dyDescent="0.25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</row>
    <row r="433" spans="1:30" ht="14.25" customHeight="1" x14ac:dyDescent="0.25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</row>
    <row r="434" spans="1:30" ht="14.25" customHeight="1" x14ac:dyDescent="0.25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</row>
    <row r="435" spans="1:30" ht="14.25" customHeight="1" x14ac:dyDescent="0.25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</row>
    <row r="436" spans="1:30" ht="14.25" customHeight="1" x14ac:dyDescent="0.25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</row>
    <row r="437" spans="1:30" ht="14.25" customHeight="1" x14ac:dyDescent="0.25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</row>
    <row r="438" spans="1:30" ht="14.25" customHeight="1" x14ac:dyDescent="0.25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</row>
    <row r="439" spans="1:30" ht="14.25" customHeight="1" x14ac:dyDescent="0.25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</row>
    <row r="440" spans="1:30" ht="14.25" customHeight="1" x14ac:dyDescent="0.25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</row>
    <row r="441" spans="1:30" ht="14.25" customHeight="1" x14ac:dyDescent="0.25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</row>
    <row r="442" spans="1:30" ht="14.25" customHeight="1" x14ac:dyDescent="0.25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</row>
    <row r="443" spans="1:30" ht="14.25" customHeight="1" x14ac:dyDescent="0.25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</row>
    <row r="444" spans="1:30" ht="14.25" customHeight="1" x14ac:dyDescent="0.25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</row>
    <row r="445" spans="1:30" ht="14.25" customHeight="1" x14ac:dyDescent="0.25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</row>
    <row r="446" spans="1:30" ht="14.25" customHeight="1" x14ac:dyDescent="0.25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</row>
    <row r="447" spans="1:30" ht="14.25" customHeight="1" x14ac:dyDescent="0.25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</row>
    <row r="448" spans="1:30" ht="14.25" customHeight="1" x14ac:dyDescent="0.25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</row>
    <row r="449" spans="1:30" ht="14.25" customHeight="1" x14ac:dyDescent="0.25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</row>
    <row r="450" spans="1:30" ht="14.25" customHeight="1" x14ac:dyDescent="0.25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</row>
    <row r="451" spans="1:30" ht="14.25" customHeight="1" x14ac:dyDescent="0.25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</row>
    <row r="452" spans="1:30" ht="14.25" customHeight="1" x14ac:dyDescent="0.25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</row>
    <row r="453" spans="1:30" ht="14.25" customHeight="1" x14ac:dyDescent="0.25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</row>
    <row r="454" spans="1:30" ht="14.25" customHeight="1" x14ac:dyDescent="0.25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</row>
    <row r="455" spans="1:30" ht="14.25" customHeight="1" x14ac:dyDescent="0.25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</row>
    <row r="456" spans="1:30" ht="14.25" customHeight="1" x14ac:dyDescent="0.25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</row>
    <row r="457" spans="1:30" ht="14.25" customHeight="1" x14ac:dyDescent="0.25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</row>
    <row r="458" spans="1:30" ht="14.25" customHeight="1" x14ac:dyDescent="0.25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</row>
    <row r="459" spans="1:30" ht="14.25" customHeight="1" x14ac:dyDescent="0.25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</row>
    <row r="460" spans="1:30" ht="14.25" customHeight="1" x14ac:dyDescent="0.25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</row>
    <row r="461" spans="1:30" ht="14.25" customHeight="1" x14ac:dyDescent="0.25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</row>
    <row r="462" spans="1:30" ht="14.25" customHeight="1" x14ac:dyDescent="0.25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</row>
    <row r="463" spans="1:30" ht="14.25" customHeight="1" x14ac:dyDescent="0.25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</row>
    <row r="464" spans="1:30" ht="14.25" customHeight="1" x14ac:dyDescent="0.25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</row>
    <row r="465" spans="1:30" ht="14.25" customHeight="1" x14ac:dyDescent="0.25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</row>
    <row r="466" spans="1:30" ht="14.25" customHeight="1" x14ac:dyDescent="0.25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</row>
    <row r="467" spans="1:30" ht="14.25" customHeight="1" x14ac:dyDescent="0.25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</row>
    <row r="468" spans="1:30" ht="14.25" customHeight="1" x14ac:dyDescent="0.25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99"/>
    </row>
    <row r="469" spans="1:30" ht="14.25" customHeight="1" x14ac:dyDescent="0.25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</row>
    <row r="470" spans="1:30" ht="14.25" customHeight="1" x14ac:dyDescent="0.25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</row>
    <row r="471" spans="1:30" ht="14.25" customHeight="1" x14ac:dyDescent="0.25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</row>
    <row r="472" spans="1:30" ht="14.25" customHeight="1" x14ac:dyDescent="0.25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99"/>
    </row>
    <row r="473" spans="1:30" ht="14.25" customHeight="1" x14ac:dyDescent="0.25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</row>
    <row r="474" spans="1:30" ht="14.25" customHeight="1" x14ac:dyDescent="0.25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99"/>
    </row>
    <row r="475" spans="1:30" ht="14.25" customHeight="1" x14ac:dyDescent="0.25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99"/>
    </row>
    <row r="476" spans="1:30" ht="14.25" customHeight="1" x14ac:dyDescent="0.25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99"/>
    </row>
    <row r="477" spans="1:30" ht="14.25" customHeight="1" x14ac:dyDescent="0.25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99"/>
    </row>
    <row r="478" spans="1:30" ht="14.25" customHeight="1" x14ac:dyDescent="0.25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</row>
    <row r="479" spans="1:30" ht="14.25" customHeight="1" x14ac:dyDescent="0.25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99"/>
    </row>
    <row r="480" spans="1:30" ht="14.25" customHeight="1" x14ac:dyDescent="0.25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</row>
    <row r="481" spans="1:30" ht="14.25" customHeight="1" x14ac:dyDescent="0.25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</row>
    <row r="482" spans="1:30" ht="14.25" customHeight="1" x14ac:dyDescent="0.25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</row>
    <row r="483" spans="1:30" ht="14.25" customHeight="1" x14ac:dyDescent="0.25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99"/>
    </row>
    <row r="484" spans="1:30" ht="14.25" customHeight="1" x14ac:dyDescent="0.25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</row>
    <row r="485" spans="1:30" ht="14.25" customHeight="1" x14ac:dyDescent="0.25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</row>
    <row r="486" spans="1:30" ht="14.25" customHeight="1" x14ac:dyDescent="0.25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99"/>
      <c r="AB486" s="99"/>
      <c r="AC486" s="99"/>
      <c r="AD486" s="99"/>
    </row>
    <row r="487" spans="1:30" ht="14.25" customHeight="1" x14ac:dyDescent="0.25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  <c r="AB487" s="99"/>
      <c r="AC487" s="99"/>
      <c r="AD487" s="99"/>
    </row>
    <row r="488" spans="1:30" ht="14.25" customHeight="1" x14ac:dyDescent="0.25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  <c r="AC488" s="99"/>
      <c r="AD488" s="99"/>
    </row>
    <row r="489" spans="1:30" ht="14.25" customHeight="1" x14ac:dyDescent="0.25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  <c r="AC489" s="99"/>
      <c r="AD489" s="99"/>
    </row>
    <row r="490" spans="1:30" ht="14.25" customHeight="1" x14ac:dyDescent="0.25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99"/>
    </row>
    <row r="491" spans="1:30" ht="14.25" customHeight="1" x14ac:dyDescent="0.25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99"/>
      <c r="AB491" s="99"/>
      <c r="AC491" s="99"/>
      <c r="AD491" s="99"/>
    </row>
    <row r="492" spans="1:30" ht="14.25" customHeight="1" x14ac:dyDescent="0.25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</row>
    <row r="493" spans="1:30" ht="14.25" customHeight="1" x14ac:dyDescent="0.25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  <c r="AB493" s="99"/>
      <c r="AC493" s="99"/>
      <c r="AD493" s="99"/>
    </row>
    <row r="494" spans="1:30" ht="14.25" customHeight="1" x14ac:dyDescent="0.25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99"/>
      <c r="AB494" s="99"/>
      <c r="AC494" s="99"/>
      <c r="AD494" s="99"/>
    </row>
    <row r="495" spans="1:30" ht="14.25" customHeight="1" x14ac:dyDescent="0.25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99"/>
      <c r="AB495" s="99"/>
      <c r="AC495" s="99"/>
      <c r="AD495" s="99"/>
    </row>
    <row r="496" spans="1:30" ht="14.25" customHeight="1" x14ac:dyDescent="0.25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  <c r="AB496" s="99"/>
      <c r="AC496" s="99"/>
      <c r="AD496" s="99"/>
    </row>
    <row r="497" spans="1:30" ht="14.25" customHeight="1" x14ac:dyDescent="0.25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  <c r="AB497" s="99"/>
      <c r="AC497" s="99"/>
      <c r="AD497" s="99"/>
    </row>
    <row r="498" spans="1:30" ht="14.25" customHeight="1" x14ac:dyDescent="0.25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  <c r="AB498" s="99"/>
      <c r="AC498" s="99"/>
      <c r="AD498" s="99"/>
    </row>
    <row r="499" spans="1:30" ht="14.25" customHeight="1" x14ac:dyDescent="0.25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</row>
    <row r="500" spans="1:30" ht="14.25" customHeight="1" x14ac:dyDescent="0.25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  <c r="AB500" s="99"/>
      <c r="AC500" s="99"/>
      <c r="AD500" s="99"/>
    </row>
    <row r="501" spans="1:30" ht="14.25" customHeight="1" x14ac:dyDescent="0.25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  <c r="AB501" s="99"/>
      <c r="AC501" s="99"/>
      <c r="AD501" s="99"/>
    </row>
    <row r="502" spans="1:30" ht="14.25" customHeight="1" x14ac:dyDescent="0.25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  <c r="AB502" s="99"/>
      <c r="AC502" s="99"/>
      <c r="AD502" s="99"/>
    </row>
    <row r="503" spans="1:30" ht="14.25" customHeight="1" x14ac:dyDescent="0.25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</row>
    <row r="504" spans="1:30" ht="14.25" customHeight="1" x14ac:dyDescent="0.25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  <c r="AB504" s="99"/>
      <c r="AC504" s="99"/>
      <c r="AD504" s="99"/>
    </row>
    <row r="505" spans="1:30" ht="14.25" customHeight="1" x14ac:dyDescent="0.25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  <c r="AB505" s="99"/>
      <c r="AC505" s="99"/>
      <c r="AD505" s="99"/>
    </row>
    <row r="506" spans="1:30" ht="14.25" customHeight="1" x14ac:dyDescent="0.25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  <c r="AB506" s="99"/>
      <c r="AC506" s="99"/>
      <c r="AD506" s="99"/>
    </row>
    <row r="507" spans="1:30" ht="14.25" customHeight="1" x14ac:dyDescent="0.25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99"/>
      <c r="AB507" s="99"/>
      <c r="AC507" s="99"/>
      <c r="AD507" s="99"/>
    </row>
    <row r="508" spans="1:30" ht="14.25" customHeight="1" x14ac:dyDescent="0.25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</row>
    <row r="509" spans="1:30" ht="14.25" customHeight="1" x14ac:dyDescent="0.25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</row>
    <row r="510" spans="1:30" ht="14.25" customHeight="1" x14ac:dyDescent="0.25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</row>
    <row r="511" spans="1:30" ht="14.25" customHeight="1" x14ac:dyDescent="0.25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</row>
    <row r="512" spans="1:30" ht="14.25" customHeight="1" x14ac:dyDescent="0.25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</row>
    <row r="513" spans="1:30" ht="14.25" customHeight="1" x14ac:dyDescent="0.25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</row>
    <row r="514" spans="1:30" ht="14.25" customHeight="1" x14ac:dyDescent="0.25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  <c r="AC514" s="99"/>
      <c r="AD514" s="99"/>
    </row>
    <row r="515" spans="1:30" ht="14.25" customHeight="1" x14ac:dyDescent="0.25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99"/>
      <c r="AB515" s="99"/>
      <c r="AC515" s="99"/>
      <c r="AD515" s="99"/>
    </row>
    <row r="516" spans="1:30" ht="14.25" customHeight="1" x14ac:dyDescent="0.25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99"/>
      <c r="AB516" s="99"/>
      <c r="AC516" s="99"/>
      <c r="AD516" s="99"/>
    </row>
    <row r="517" spans="1:30" ht="14.25" customHeight="1" x14ac:dyDescent="0.25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  <c r="AB517" s="99"/>
      <c r="AC517" s="99"/>
      <c r="AD517" s="99"/>
    </row>
    <row r="518" spans="1:30" ht="14.25" customHeight="1" x14ac:dyDescent="0.25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99"/>
      <c r="AB518" s="99"/>
      <c r="AC518" s="99"/>
      <c r="AD518" s="99"/>
    </row>
    <row r="519" spans="1:30" ht="14.25" customHeight="1" x14ac:dyDescent="0.25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  <c r="AB519" s="99"/>
      <c r="AC519" s="99"/>
      <c r="AD519" s="99"/>
    </row>
    <row r="520" spans="1:30" ht="14.25" customHeight="1" x14ac:dyDescent="0.25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99"/>
      <c r="AB520" s="99"/>
      <c r="AC520" s="99"/>
      <c r="AD520" s="99"/>
    </row>
    <row r="521" spans="1:30" ht="14.25" customHeight="1" x14ac:dyDescent="0.25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  <c r="AA521" s="99"/>
      <c r="AB521" s="99"/>
      <c r="AC521" s="99"/>
      <c r="AD521" s="99"/>
    </row>
    <row r="522" spans="1:30" ht="14.25" customHeight="1" x14ac:dyDescent="0.25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99"/>
      <c r="AB522" s="99"/>
      <c r="AC522" s="99"/>
      <c r="AD522" s="99"/>
    </row>
    <row r="523" spans="1:30" ht="14.25" customHeight="1" x14ac:dyDescent="0.25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  <c r="AB523" s="99"/>
      <c r="AC523" s="99"/>
      <c r="AD523" s="99"/>
    </row>
    <row r="524" spans="1:30" ht="14.25" customHeight="1" x14ac:dyDescent="0.25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  <c r="AB524" s="99"/>
      <c r="AC524" s="99"/>
      <c r="AD524" s="99"/>
    </row>
    <row r="525" spans="1:30" ht="14.25" customHeight="1" x14ac:dyDescent="0.25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  <c r="AB525" s="99"/>
      <c r="AC525" s="99"/>
      <c r="AD525" s="99"/>
    </row>
    <row r="526" spans="1:30" ht="14.25" customHeight="1" x14ac:dyDescent="0.25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  <c r="AB526" s="99"/>
      <c r="AC526" s="99"/>
      <c r="AD526" s="99"/>
    </row>
    <row r="527" spans="1:30" ht="14.25" customHeight="1" x14ac:dyDescent="0.25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  <c r="AC527" s="99"/>
      <c r="AD527" s="99"/>
    </row>
    <row r="528" spans="1:30" ht="14.25" customHeight="1" x14ac:dyDescent="0.25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  <c r="AB528" s="99"/>
      <c r="AC528" s="99"/>
      <c r="AD528" s="99"/>
    </row>
    <row r="529" spans="1:30" ht="14.25" customHeight="1" x14ac:dyDescent="0.25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99"/>
      <c r="AB529" s="99"/>
      <c r="AC529" s="99"/>
      <c r="AD529" s="99"/>
    </row>
    <row r="530" spans="1:30" ht="14.25" customHeight="1" x14ac:dyDescent="0.25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  <c r="AB530" s="99"/>
      <c r="AC530" s="99"/>
      <c r="AD530" s="99"/>
    </row>
    <row r="531" spans="1:30" ht="14.25" customHeight="1" x14ac:dyDescent="0.25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99"/>
      <c r="AB531" s="99"/>
      <c r="AC531" s="99"/>
      <c r="AD531" s="99"/>
    </row>
    <row r="532" spans="1:30" ht="14.25" customHeight="1" x14ac:dyDescent="0.25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99"/>
      <c r="AB532" s="99"/>
      <c r="AC532" s="99"/>
      <c r="AD532" s="99"/>
    </row>
    <row r="533" spans="1:30" ht="14.25" customHeight="1" x14ac:dyDescent="0.25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99"/>
      <c r="AB533" s="99"/>
      <c r="AC533" s="99"/>
      <c r="AD533" s="99"/>
    </row>
    <row r="534" spans="1:30" ht="14.25" customHeight="1" x14ac:dyDescent="0.25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  <c r="AA534" s="99"/>
      <c r="AB534" s="99"/>
      <c r="AC534" s="99"/>
      <c r="AD534" s="99"/>
    </row>
    <row r="535" spans="1:30" ht="14.25" customHeight="1" x14ac:dyDescent="0.25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99"/>
      <c r="AB535" s="99"/>
      <c r="AC535" s="99"/>
      <c r="AD535" s="99"/>
    </row>
    <row r="536" spans="1:30" ht="14.25" customHeight="1" x14ac:dyDescent="0.25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  <c r="AB536" s="99"/>
      <c r="AC536" s="99"/>
      <c r="AD536" s="99"/>
    </row>
    <row r="537" spans="1:30" ht="14.25" customHeight="1" x14ac:dyDescent="0.25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  <c r="AA537" s="99"/>
      <c r="AB537" s="99"/>
      <c r="AC537" s="99"/>
      <c r="AD537" s="99"/>
    </row>
    <row r="538" spans="1:30" ht="14.25" customHeight="1" x14ac:dyDescent="0.25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99"/>
      <c r="AB538" s="99"/>
      <c r="AC538" s="99"/>
      <c r="AD538" s="99"/>
    </row>
    <row r="539" spans="1:30" ht="14.25" customHeight="1" x14ac:dyDescent="0.25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  <c r="AB539" s="99"/>
      <c r="AC539" s="99"/>
      <c r="AD539" s="99"/>
    </row>
    <row r="540" spans="1:30" ht="14.25" customHeight="1" x14ac:dyDescent="0.25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99"/>
      <c r="AB540" s="99"/>
      <c r="AC540" s="99"/>
      <c r="AD540" s="99"/>
    </row>
    <row r="541" spans="1:30" ht="14.25" customHeight="1" x14ac:dyDescent="0.25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99"/>
      <c r="AB541" s="99"/>
      <c r="AC541" s="99"/>
      <c r="AD541" s="99"/>
    </row>
    <row r="542" spans="1:30" ht="14.25" customHeight="1" x14ac:dyDescent="0.25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  <c r="AB542" s="99"/>
      <c r="AC542" s="99"/>
      <c r="AD542" s="99"/>
    </row>
    <row r="543" spans="1:30" ht="14.25" customHeight="1" x14ac:dyDescent="0.25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  <c r="AB543" s="99"/>
      <c r="AC543" s="99"/>
      <c r="AD543" s="99"/>
    </row>
    <row r="544" spans="1:30" ht="14.25" customHeight="1" x14ac:dyDescent="0.25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  <c r="AA544" s="99"/>
      <c r="AB544" s="99"/>
      <c r="AC544" s="99"/>
      <c r="AD544" s="99"/>
    </row>
    <row r="545" spans="1:30" ht="14.25" customHeight="1" x14ac:dyDescent="0.25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99"/>
      <c r="AB545" s="99"/>
      <c r="AC545" s="99"/>
      <c r="AD545" s="99"/>
    </row>
    <row r="546" spans="1:30" ht="14.25" customHeight="1" x14ac:dyDescent="0.25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  <c r="AB546" s="99"/>
      <c r="AC546" s="99"/>
      <c r="AD546" s="99"/>
    </row>
    <row r="547" spans="1:30" ht="14.25" customHeight="1" x14ac:dyDescent="0.25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99"/>
      <c r="AB547" s="99"/>
      <c r="AC547" s="99"/>
      <c r="AD547" s="99"/>
    </row>
    <row r="548" spans="1:30" ht="14.25" customHeight="1" x14ac:dyDescent="0.25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  <c r="AA548" s="99"/>
      <c r="AB548" s="99"/>
      <c r="AC548" s="99"/>
      <c r="AD548" s="99"/>
    </row>
    <row r="549" spans="1:30" ht="14.25" customHeight="1" x14ac:dyDescent="0.25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  <c r="AA549" s="99"/>
      <c r="AB549" s="99"/>
      <c r="AC549" s="99"/>
      <c r="AD549" s="99"/>
    </row>
    <row r="550" spans="1:30" ht="14.25" customHeight="1" x14ac:dyDescent="0.25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99"/>
      <c r="AB550" s="99"/>
      <c r="AC550" s="99"/>
      <c r="AD550" s="99"/>
    </row>
    <row r="551" spans="1:30" ht="14.25" customHeight="1" x14ac:dyDescent="0.25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  <c r="AA551" s="99"/>
      <c r="AB551" s="99"/>
      <c r="AC551" s="99"/>
      <c r="AD551" s="99"/>
    </row>
    <row r="552" spans="1:30" ht="14.25" customHeight="1" x14ac:dyDescent="0.25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  <c r="AA552" s="99"/>
      <c r="AB552" s="99"/>
      <c r="AC552" s="99"/>
      <c r="AD552" s="99"/>
    </row>
    <row r="553" spans="1:30" ht="14.25" customHeight="1" x14ac:dyDescent="0.25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  <c r="AB553" s="99"/>
      <c r="AC553" s="99"/>
      <c r="AD553" s="99"/>
    </row>
    <row r="554" spans="1:30" ht="14.25" customHeight="1" x14ac:dyDescent="0.25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  <c r="AB554" s="99"/>
      <c r="AC554" s="99"/>
      <c r="AD554" s="99"/>
    </row>
    <row r="555" spans="1:30" ht="14.25" customHeight="1" x14ac:dyDescent="0.25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  <c r="AA555" s="99"/>
      <c r="AB555" s="99"/>
      <c r="AC555" s="99"/>
      <c r="AD555" s="99"/>
    </row>
    <row r="556" spans="1:30" ht="14.25" customHeight="1" x14ac:dyDescent="0.25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  <c r="AB556" s="99"/>
      <c r="AC556" s="99"/>
      <c r="AD556" s="99"/>
    </row>
    <row r="557" spans="1:30" ht="14.25" customHeight="1" x14ac:dyDescent="0.25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  <c r="AB557" s="99"/>
      <c r="AC557" s="99"/>
      <c r="AD557" s="99"/>
    </row>
    <row r="558" spans="1:30" ht="14.25" customHeight="1" x14ac:dyDescent="0.25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99"/>
      <c r="AB558" s="99"/>
      <c r="AC558" s="99"/>
      <c r="AD558" s="99"/>
    </row>
    <row r="559" spans="1:30" ht="14.25" customHeight="1" x14ac:dyDescent="0.25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  <c r="AB559" s="99"/>
      <c r="AC559" s="99"/>
      <c r="AD559" s="99"/>
    </row>
    <row r="560" spans="1:30" ht="14.25" customHeight="1" x14ac:dyDescent="0.25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  <c r="AB560" s="99"/>
      <c r="AC560" s="99"/>
      <c r="AD560" s="99"/>
    </row>
    <row r="561" spans="1:30" ht="14.25" customHeight="1" x14ac:dyDescent="0.25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  <c r="AA561" s="99"/>
      <c r="AB561" s="99"/>
      <c r="AC561" s="99"/>
      <c r="AD561" s="99"/>
    </row>
    <row r="562" spans="1:30" ht="14.25" customHeight="1" x14ac:dyDescent="0.25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99"/>
      <c r="AB562" s="99"/>
      <c r="AC562" s="99"/>
      <c r="AD562" s="99"/>
    </row>
    <row r="563" spans="1:30" ht="14.25" customHeight="1" x14ac:dyDescent="0.25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  <c r="AB563" s="99"/>
      <c r="AC563" s="99"/>
      <c r="AD563" s="99"/>
    </row>
    <row r="564" spans="1:30" ht="14.25" customHeight="1" x14ac:dyDescent="0.25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  <c r="AB564" s="99"/>
      <c r="AC564" s="99"/>
      <c r="AD564" s="99"/>
    </row>
    <row r="565" spans="1:30" ht="14.25" customHeight="1" x14ac:dyDescent="0.25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99"/>
      <c r="AB565" s="99"/>
      <c r="AC565" s="99"/>
      <c r="AD565" s="99"/>
    </row>
    <row r="566" spans="1:30" ht="14.25" customHeight="1" x14ac:dyDescent="0.25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99"/>
    </row>
    <row r="567" spans="1:30" ht="14.25" customHeight="1" x14ac:dyDescent="0.25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99"/>
    </row>
    <row r="568" spans="1:30" ht="14.25" customHeight="1" x14ac:dyDescent="0.25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  <c r="AC568" s="99"/>
      <c r="AD568" s="99"/>
    </row>
    <row r="569" spans="1:30" ht="14.25" customHeight="1" x14ac:dyDescent="0.25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  <c r="AC569" s="99"/>
      <c r="AD569" s="99"/>
    </row>
    <row r="570" spans="1:30" ht="14.25" customHeight="1" x14ac:dyDescent="0.25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99"/>
    </row>
    <row r="571" spans="1:30" ht="14.25" customHeight="1" x14ac:dyDescent="0.25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99"/>
      <c r="AB571" s="99"/>
      <c r="AC571" s="99"/>
      <c r="AD571" s="99"/>
    </row>
    <row r="572" spans="1:30" ht="14.25" customHeight="1" x14ac:dyDescent="0.25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  <c r="AB572" s="99"/>
      <c r="AC572" s="99"/>
      <c r="AD572" s="99"/>
    </row>
    <row r="573" spans="1:30" ht="14.25" customHeight="1" x14ac:dyDescent="0.25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99"/>
      <c r="AB573" s="99"/>
      <c r="AC573" s="99"/>
      <c r="AD573" s="99"/>
    </row>
    <row r="574" spans="1:30" ht="14.25" customHeight="1" x14ac:dyDescent="0.25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  <c r="AB574" s="99"/>
      <c r="AC574" s="99"/>
      <c r="AD574" s="99"/>
    </row>
    <row r="575" spans="1:30" ht="14.25" customHeight="1" x14ac:dyDescent="0.25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  <c r="AB575" s="99"/>
      <c r="AC575" s="99"/>
      <c r="AD575" s="99"/>
    </row>
    <row r="576" spans="1:30" ht="14.25" customHeight="1" x14ac:dyDescent="0.25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  <c r="AA576" s="99"/>
      <c r="AB576" s="99"/>
      <c r="AC576" s="99"/>
      <c r="AD576" s="99"/>
    </row>
    <row r="577" spans="1:30" ht="14.25" customHeight="1" x14ac:dyDescent="0.25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  <c r="AA577" s="99"/>
      <c r="AB577" s="99"/>
      <c r="AC577" s="99"/>
      <c r="AD577" s="99"/>
    </row>
    <row r="578" spans="1:30" ht="14.25" customHeight="1" x14ac:dyDescent="0.25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99"/>
      <c r="AB578" s="99"/>
      <c r="AC578" s="99"/>
      <c r="AD578" s="99"/>
    </row>
    <row r="579" spans="1:30" ht="14.25" customHeight="1" x14ac:dyDescent="0.25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  <c r="AA579" s="99"/>
      <c r="AB579" s="99"/>
      <c r="AC579" s="99"/>
      <c r="AD579" s="99"/>
    </row>
    <row r="580" spans="1:30" ht="14.25" customHeight="1" x14ac:dyDescent="0.25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</row>
    <row r="581" spans="1:30" ht="14.25" customHeight="1" x14ac:dyDescent="0.25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</row>
    <row r="582" spans="1:30" ht="14.25" customHeight="1" x14ac:dyDescent="0.25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</row>
    <row r="583" spans="1:30" ht="14.25" customHeight="1" x14ac:dyDescent="0.25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</row>
    <row r="584" spans="1:30" ht="14.25" customHeight="1" x14ac:dyDescent="0.25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</row>
    <row r="585" spans="1:30" ht="14.25" customHeight="1" x14ac:dyDescent="0.25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99"/>
      <c r="AB585" s="99"/>
      <c r="AC585" s="99"/>
      <c r="AD585" s="99"/>
    </row>
    <row r="586" spans="1:30" ht="14.25" customHeight="1" x14ac:dyDescent="0.25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99"/>
      <c r="AB586" s="99"/>
      <c r="AC586" s="99"/>
      <c r="AD586" s="99"/>
    </row>
    <row r="587" spans="1:30" ht="14.25" customHeight="1" x14ac:dyDescent="0.25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  <c r="AB587" s="99"/>
      <c r="AC587" s="99"/>
      <c r="AD587" s="99"/>
    </row>
    <row r="588" spans="1:30" ht="14.25" customHeight="1" x14ac:dyDescent="0.25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  <c r="AB588" s="99"/>
      <c r="AC588" s="99"/>
      <c r="AD588" s="99"/>
    </row>
    <row r="589" spans="1:30" ht="14.25" customHeight="1" x14ac:dyDescent="0.25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  <c r="AB589" s="99"/>
      <c r="AC589" s="99"/>
      <c r="AD589" s="99"/>
    </row>
    <row r="590" spans="1:30" ht="14.25" customHeight="1" x14ac:dyDescent="0.25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  <c r="AB590" s="99"/>
      <c r="AC590" s="99"/>
      <c r="AD590" s="99"/>
    </row>
    <row r="591" spans="1:30" ht="14.25" customHeight="1" x14ac:dyDescent="0.25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99"/>
      <c r="AB591" s="99"/>
      <c r="AC591" s="99"/>
      <c r="AD591" s="99"/>
    </row>
    <row r="592" spans="1:30" ht="14.25" customHeight="1" x14ac:dyDescent="0.25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  <c r="AC592" s="99"/>
      <c r="AD592" s="99"/>
    </row>
    <row r="593" spans="1:30" ht="14.25" customHeight="1" x14ac:dyDescent="0.25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  <c r="AB593" s="99"/>
      <c r="AC593" s="99"/>
      <c r="AD593" s="99"/>
    </row>
    <row r="594" spans="1:30" ht="14.25" customHeight="1" x14ac:dyDescent="0.25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  <c r="AB594" s="99"/>
      <c r="AC594" s="99"/>
      <c r="AD594" s="99"/>
    </row>
    <row r="595" spans="1:30" ht="14.25" customHeight="1" x14ac:dyDescent="0.25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99"/>
      <c r="AB595" s="99"/>
      <c r="AC595" s="99"/>
      <c r="AD595" s="99"/>
    </row>
    <row r="596" spans="1:30" ht="14.25" customHeight="1" x14ac:dyDescent="0.25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  <c r="AB596" s="99"/>
      <c r="AC596" s="99"/>
      <c r="AD596" s="99"/>
    </row>
    <row r="597" spans="1:30" ht="14.25" customHeight="1" x14ac:dyDescent="0.25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</row>
    <row r="598" spans="1:30" ht="14.25" customHeight="1" x14ac:dyDescent="0.25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</row>
    <row r="599" spans="1:30" ht="14.25" customHeight="1" x14ac:dyDescent="0.25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</row>
    <row r="600" spans="1:30" ht="14.25" customHeight="1" x14ac:dyDescent="0.25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</row>
    <row r="601" spans="1:30" ht="14.25" customHeight="1" x14ac:dyDescent="0.25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</row>
    <row r="602" spans="1:30" ht="14.25" customHeight="1" x14ac:dyDescent="0.25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  <c r="AB602" s="99"/>
      <c r="AC602" s="99"/>
      <c r="AD602" s="99"/>
    </row>
    <row r="603" spans="1:30" ht="14.25" customHeight="1" x14ac:dyDescent="0.25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99"/>
      <c r="AB603" s="99"/>
      <c r="AC603" s="99"/>
      <c r="AD603" s="99"/>
    </row>
    <row r="604" spans="1:30" ht="14.25" customHeight="1" x14ac:dyDescent="0.25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99"/>
      <c r="AB604" s="99"/>
      <c r="AC604" s="99"/>
      <c r="AD604" s="99"/>
    </row>
    <row r="605" spans="1:30" ht="14.25" customHeight="1" x14ac:dyDescent="0.25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  <c r="AB605" s="99"/>
      <c r="AC605" s="99"/>
      <c r="AD605" s="99"/>
    </row>
    <row r="606" spans="1:30" ht="14.25" customHeight="1" x14ac:dyDescent="0.25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  <c r="AB606" s="99"/>
      <c r="AC606" s="99"/>
      <c r="AD606" s="99"/>
    </row>
    <row r="607" spans="1:30" ht="14.25" customHeight="1" x14ac:dyDescent="0.25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  <c r="AB607" s="99"/>
      <c r="AC607" s="99"/>
      <c r="AD607" s="99"/>
    </row>
    <row r="608" spans="1:30" ht="14.25" customHeight="1" x14ac:dyDescent="0.25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99"/>
    </row>
    <row r="609" spans="1:30" ht="14.25" customHeight="1" x14ac:dyDescent="0.25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</row>
    <row r="610" spans="1:30" ht="14.25" customHeight="1" x14ac:dyDescent="0.25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</row>
    <row r="611" spans="1:30" ht="14.25" customHeight="1" x14ac:dyDescent="0.25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</row>
    <row r="612" spans="1:30" ht="14.25" customHeight="1" x14ac:dyDescent="0.25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</row>
    <row r="613" spans="1:30" ht="14.25" customHeight="1" x14ac:dyDescent="0.25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  <c r="AB613" s="99"/>
      <c r="AC613" s="99"/>
      <c r="AD613" s="99"/>
    </row>
    <row r="614" spans="1:30" ht="14.25" customHeight="1" x14ac:dyDescent="0.25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  <c r="AB614" s="99"/>
      <c r="AC614" s="99"/>
      <c r="AD614" s="99"/>
    </row>
    <row r="615" spans="1:30" ht="14.25" customHeight="1" x14ac:dyDescent="0.25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  <c r="AB615" s="99"/>
      <c r="AC615" s="99"/>
      <c r="AD615" s="99"/>
    </row>
    <row r="616" spans="1:30" ht="14.25" customHeight="1" x14ac:dyDescent="0.25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99"/>
      <c r="AB616" s="99"/>
      <c r="AC616" s="99"/>
      <c r="AD616" s="99"/>
    </row>
    <row r="617" spans="1:30" ht="14.25" customHeight="1" x14ac:dyDescent="0.25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  <c r="AB617" s="99"/>
      <c r="AC617" s="99"/>
      <c r="AD617" s="99"/>
    </row>
    <row r="618" spans="1:30" ht="14.25" customHeight="1" x14ac:dyDescent="0.25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  <c r="AB618" s="99"/>
      <c r="AC618" s="99"/>
      <c r="AD618" s="99"/>
    </row>
    <row r="619" spans="1:30" ht="14.25" customHeight="1" x14ac:dyDescent="0.25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  <c r="AB619" s="99"/>
      <c r="AC619" s="99"/>
      <c r="AD619" s="99"/>
    </row>
    <row r="620" spans="1:30" ht="14.25" customHeight="1" x14ac:dyDescent="0.25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  <c r="AB620" s="99"/>
      <c r="AC620" s="99"/>
      <c r="AD620" s="99"/>
    </row>
    <row r="621" spans="1:30" ht="14.25" customHeight="1" x14ac:dyDescent="0.25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99"/>
      <c r="AB621" s="99"/>
      <c r="AC621" s="99"/>
      <c r="AD621" s="99"/>
    </row>
    <row r="622" spans="1:30" ht="14.25" customHeight="1" x14ac:dyDescent="0.25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99"/>
      <c r="AB622" s="99"/>
      <c r="AC622" s="99"/>
      <c r="AD622" s="99"/>
    </row>
    <row r="623" spans="1:30" ht="14.25" customHeight="1" x14ac:dyDescent="0.25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  <c r="AA623" s="99"/>
      <c r="AB623" s="99"/>
      <c r="AC623" s="99"/>
      <c r="AD623" s="99"/>
    </row>
    <row r="624" spans="1:30" ht="14.25" customHeight="1" x14ac:dyDescent="0.25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  <c r="AB624" s="99"/>
      <c r="AC624" s="99"/>
      <c r="AD624" s="99"/>
    </row>
    <row r="625" spans="1:30" ht="14.25" customHeight="1" x14ac:dyDescent="0.25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  <c r="AB625" s="99"/>
      <c r="AC625" s="99"/>
      <c r="AD625" s="99"/>
    </row>
    <row r="626" spans="1:30" ht="14.25" customHeight="1" x14ac:dyDescent="0.25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  <c r="AB626" s="99"/>
      <c r="AC626" s="99"/>
      <c r="AD626" s="99"/>
    </row>
    <row r="627" spans="1:30" ht="14.25" customHeight="1" x14ac:dyDescent="0.25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99"/>
      <c r="AB627" s="99"/>
      <c r="AC627" s="99"/>
      <c r="AD627" s="99"/>
    </row>
    <row r="628" spans="1:30" ht="14.25" customHeight="1" x14ac:dyDescent="0.25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  <c r="AA628" s="99"/>
      <c r="AB628" s="99"/>
      <c r="AC628" s="99"/>
      <c r="AD628" s="99"/>
    </row>
    <row r="629" spans="1:30" ht="14.25" customHeight="1" x14ac:dyDescent="0.25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  <c r="AA629" s="99"/>
      <c r="AB629" s="99"/>
      <c r="AC629" s="99"/>
      <c r="AD629" s="99"/>
    </row>
    <row r="630" spans="1:30" ht="14.25" customHeight="1" x14ac:dyDescent="0.25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99"/>
      <c r="AB630" s="99"/>
      <c r="AC630" s="99"/>
      <c r="AD630" s="99"/>
    </row>
    <row r="631" spans="1:30" ht="14.25" customHeight="1" x14ac:dyDescent="0.25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  <c r="AA631" s="99"/>
      <c r="AB631" s="99"/>
      <c r="AC631" s="99"/>
      <c r="AD631" s="99"/>
    </row>
    <row r="632" spans="1:30" ht="14.25" customHeight="1" x14ac:dyDescent="0.25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99"/>
      <c r="AB632" s="99"/>
      <c r="AC632" s="99"/>
      <c r="AD632" s="99"/>
    </row>
    <row r="633" spans="1:30" ht="14.25" customHeight="1" x14ac:dyDescent="0.25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  <c r="AB633" s="99"/>
      <c r="AC633" s="99"/>
      <c r="AD633" s="99"/>
    </row>
    <row r="634" spans="1:30" ht="14.25" customHeight="1" x14ac:dyDescent="0.25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99"/>
      <c r="AB634" s="99"/>
      <c r="AC634" s="99"/>
      <c r="AD634" s="99"/>
    </row>
    <row r="635" spans="1:30" ht="14.25" customHeight="1" x14ac:dyDescent="0.25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  <c r="AA635" s="99"/>
      <c r="AB635" s="99"/>
      <c r="AC635" s="99"/>
      <c r="AD635" s="99"/>
    </row>
    <row r="636" spans="1:30" ht="14.25" customHeight="1" x14ac:dyDescent="0.25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  <c r="AC636" s="99"/>
      <c r="AD636" s="99"/>
    </row>
    <row r="637" spans="1:30" ht="14.25" customHeight="1" x14ac:dyDescent="0.25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  <c r="AA637" s="99"/>
      <c r="AB637" s="99"/>
      <c r="AC637" s="99"/>
      <c r="AD637" s="99"/>
    </row>
    <row r="638" spans="1:30" ht="14.25" customHeight="1" x14ac:dyDescent="0.25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  <c r="AA638" s="99"/>
      <c r="AB638" s="99"/>
      <c r="AC638" s="99"/>
      <c r="AD638" s="99"/>
    </row>
    <row r="639" spans="1:30" ht="14.25" customHeight="1" x14ac:dyDescent="0.25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  <c r="AC639" s="99"/>
      <c r="AD639" s="99"/>
    </row>
    <row r="640" spans="1:30" ht="14.25" customHeight="1" x14ac:dyDescent="0.25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99"/>
      <c r="AB640" s="99"/>
      <c r="AC640" s="99"/>
      <c r="AD640" s="99"/>
    </row>
    <row r="641" spans="1:30" ht="14.25" customHeight="1" x14ac:dyDescent="0.25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99"/>
      <c r="AB641" s="99"/>
      <c r="AC641" s="99"/>
      <c r="AD641" s="99"/>
    </row>
    <row r="642" spans="1:30" ht="14.25" customHeight="1" x14ac:dyDescent="0.25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  <c r="AC642" s="99"/>
      <c r="AD642" s="99"/>
    </row>
    <row r="643" spans="1:30" ht="14.25" customHeight="1" x14ac:dyDescent="0.25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  <c r="AC643" s="99"/>
      <c r="AD643" s="99"/>
    </row>
    <row r="644" spans="1:30" ht="14.25" customHeight="1" x14ac:dyDescent="0.25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  <c r="AC644" s="99"/>
      <c r="AD644" s="99"/>
    </row>
    <row r="645" spans="1:30" ht="14.25" customHeight="1" x14ac:dyDescent="0.25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  <c r="AA645" s="99"/>
      <c r="AB645" s="99"/>
      <c r="AC645" s="99"/>
      <c r="AD645" s="99"/>
    </row>
    <row r="646" spans="1:30" ht="14.25" customHeight="1" x14ac:dyDescent="0.25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  <c r="AA646" s="99"/>
      <c r="AB646" s="99"/>
      <c r="AC646" s="99"/>
      <c r="AD646" s="99"/>
    </row>
    <row r="647" spans="1:30" ht="14.25" customHeight="1" x14ac:dyDescent="0.25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  <c r="AA647" s="99"/>
      <c r="AB647" s="99"/>
      <c r="AC647" s="99"/>
      <c r="AD647" s="99"/>
    </row>
    <row r="648" spans="1:30" ht="14.25" customHeight="1" x14ac:dyDescent="0.25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  <c r="AA648" s="99"/>
      <c r="AB648" s="99"/>
      <c r="AC648" s="99"/>
      <c r="AD648" s="99"/>
    </row>
    <row r="649" spans="1:30" ht="14.25" customHeight="1" x14ac:dyDescent="0.25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  <c r="AA649" s="99"/>
      <c r="AB649" s="99"/>
      <c r="AC649" s="99"/>
      <c r="AD649" s="99"/>
    </row>
    <row r="650" spans="1:30" ht="14.25" customHeight="1" x14ac:dyDescent="0.25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  <c r="AA650" s="99"/>
      <c r="AB650" s="99"/>
      <c r="AC650" s="99"/>
      <c r="AD650" s="99"/>
    </row>
    <row r="651" spans="1:30" ht="14.25" customHeight="1" x14ac:dyDescent="0.25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  <c r="AB651" s="99"/>
      <c r="AC651" s="99"/>
      <c r="AD651" s="99"/>
    </row>
    <row r="652" spans="1:30" ht="14.25" customHeight="1" x14ac:dyDescent="0.25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  <c r="AA652" s="99"/>
      <c r="AB652" s="99"/>
      <c r="AC652" s="99"/>
      <c r="AD652" s="99"/>
    </row>
    <row r="653" spans="1:30" ht="14.25" customHeight="1" x14ac:dyDescent="0.25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  <c r="AB653" s="99"/>
      <c r="AC653" s="99"/>
      <c r="AD653" s="99"/>
    </row>
    <row r="654" spans="1:30" ht="14.25" customHeight="1" x14ac:dyDescent="0.25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99"/>
      <c r="AB654" s="99"/>
      <c r="AC654" s="99"/>
      <c r="AD654" s="99"/>
    </row>
    <row r="655" spans="1:30" ht="14.25" customHeight="1" x14ac:dyDescent="0.25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  <c r="AA655" s="99"/>
      <c r="AB655" s="99"/>
      <c r="AC655" s="99"/>
      <c r="AD655" s="99"/>
    </row>
    <row r="656" spans="1:30" ht="14.25" customHeight="1" x14ac:dyDescent="0.25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  <c r="AA656" s="99"/>
      <c r="AB656" s="99"/>
      <c r="AC656" s="99"/>
      <c r="AD656" s="99"/>
    </row>
    <row r="657" spans="1:30" ht="14.25" customHeight="1" x14ac:dyDescent="0.25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99"/>
      <c r="AB657" s="99"/>
      <c r="AC657" s="99"/>
      <c r="AD657" s="99"/>
    </row>
    <row r="658" spans="1:30" ht="14.25" customHeight="1" x14ac:dyDescent="0.25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99"/>
      <c r="AD658" s="99"/>
    </row>
    <row r="659" spans="1:30" ht="14.25" customHeight="1" x14ac:dyDescent="0.25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  <c r="AA659" s="99"/>
      <c r="AB659" s="99"/>
      <c r="AC659" s="99"/>
      <c r="AD659" s="99"/>
    </row>
    <row r="660" spans="1:30" ht="14.25" customHeight="1" x14ac:dyDescent="0.25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99"/>
      <c r="AB660" s="99"/>
      <c r="AC660" s="99"/>
      <c r="AD660" s="99"/>
    </row>
    <row r="661" spans="1:30" ht="14.25" customHeight="1" x14ac:dyDescent="0.25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99"/>
      <c r="AB661" s="99"/>
      <c r="AC661" s="99"/>
      <c r="AD661" s="99"/>
    </row>
    <row r="662" spans="1:30" ht="14.25" customHeight="1" x14ac:dyDescent="0.25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  <c r="AA662" s="99"/>
      <c r="AB662" s="99"/>
      <c r="AC662" s="99"/>
      <c r="AD662" s="99"/>
    </row>
    <row r="663" spans="1:30" ht="14.25" customHeight="1" x14ac:dyDescent="0.25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99"/>
      <c r="AB663" s="99"/>
      <c r="AC663" s="99"/>
      <c r="AD663" s="99"/>
    </row>
    <row r="664" spans="1:30" ht="14.25" customHeight="1" x14ac:dyDescent="0.25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99"/>
    </row>
    <row r="665" spans="1:30" ht="14.25" customHeight="1" x14ac:dyDescent="0.25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  <c r="AC665" s="99"/>
      <c r="AD665" s="99"/>
    </row>
    <row r="666" spans="1:30" ht="14.25" customHeight="1" x14ac:dyDescent="0.25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  <c r="AC666" s="99"/>
      <c r="AD666" s="99"/>
    </row>
    <row r="667" spans="1:30" ht="14.25" customHeight="1" x14ac:dyDescent="0.25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  <c r="AC667" s="99"/>
      <c r="AD667" s="99"/>
    </row>
    <row r="668" spans="1:30" ht="14.25" customHeight="1" x14ac:dyDescent="0.25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99"/>
      <c r="AD668" s="99"/>
    </row>
    <row r="669" spans="1:30" ht="14.25" customHeight="1" x14ac:dyDescent="0.25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99"/>
      <c r="AB669" s="99"/>
      <c r="AC669" s="99"/>
      <c r="AD669" s="99"/>
    </row>
    <row r="670" spans="1:30" ht="14.25" customHeight="1" x14ac:dyDescent="0.25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  <c r="AA670" s="99"/>
      <c r="AB670" s="99"/>
      <c r="AC670" s="99"/>
      <c r="AD670" s="99"/>
    </row>
    <row r="671" spans="1:30" ht="14.25" customHeight="1" x14ac:dyDescent="0.25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  <c r="AA671" s="99"/>
      <c r="AB671" s="99"/>
      <c r="AC671" s="99"/>
      <c r="AD671" s="99"/>
    </row>
    <row r="672" spans="1:30" ht="14.25" customHeight="1" x14ac:dyDescent="0.25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  <c r="AA672" s="99"/>
      <c r="AB672" s="99"/>
      <c r="AC672" s="99"/>
      <c r="AD672" s="99"/>
    </row>
    <row r="673" spans="1:30" ht="14.25" customHeight="1" x14ac:dyDescent="0.25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  <c r="AA673" s="99"/>
      <c r="AB673" s="99"/>
      <c r="AC673" s="99"/>
      <c r="AD673" s="99"/>
    </row>
    <row r="674" spans="1:30" ht="14.25" customHeight="1" x14ac:dyDescent="0.25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  <c r="AA674" s="99"/>
      <c r="AB674" s="99"/>
      <c r="AC674" s="99"/>
      <c r="AD674" s="99"/>
    </row>
    <row r="675" spans="1:30" ht="14.25" customHeight="1" x14ac:dyDescent="0.25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  <c r="AA675" s="99"/>
      <c r="AB675" s="99"/>
      <c r="AC675" s="99"/>
      <c r="AD675" s="99"/>
    </row>
    <row r="676" spans="1:30" ht="14.25" customHeight="1" x14ac:dyDescent="0.25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  <c r="AA676" s="99"/>
      <c r="AB676" s="99"/>
      <c r="AC676" s="99"/>
      <c r="AD676" s="99"/>
    </row>
    <row r="677" spans="1:30" ht="14.25" customHeight="1" x14ac:dyDescent="0.25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  <c r="AA677" s="99"/>
      <c r="AB677" s="99"/>
      <c r="AC677" s="99"/>
      <c r="AD677" s="99"/>
    </row>
    <row r="678" spans="1:30" ht="14.25" customHeight="1" x14ac:dyDescent="0.25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</row>
    <row r="679" spans="1:30" ht="14.25" customHeight="1" x14ac:dyDescent="0.25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</row>
    <row r="680" spans="1:30" ht="14.25" customHeight="1" x14ac:dyDescent="0.25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</row>
    <row r="681" spans="1:30" ht="14.25" customHeight="1" x14ac:dyDescent="0.25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</row>
    <row r="682" spans="1:30" ht="14.25" customHeight="1" x14ac:dyDescent="0.25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</row>
    <row r="683" spans="1:30" ht="14.25" customHeight="1" x14ac:dyDescent="0.25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  <c r="AA683" s="99"/>
      <c r="AB683" s="99"/>
      <c r="AC683" s="99"/>
      <c r="AD683" s="99"/>
    </row>
    <row r="684" spans="1:30" ht="14.25" customHeight="1" x14ac:dyDescent="0.25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  <c r="AA684" s="99"/>
      <c r="AB684" s="99"/>
      <c r="AC684" s="99"/>
      <c r="AD684" s="99"/>
    </row>
    <row r="685" spans="1:30" ht="14.25" customHeight="1" x14ac:dyDescent="0.25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  <c r="AA685" s="99"/>
      <c r="AB685" s="99"/>
      <c r="AC685" s="99"/>
      <c r="AD685" s="99"/>
    </row>
    <row r="686" spans="1:30" ht="14.25" customHeight="1" x14ac:dyDescent="0.25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99"/>
    </row>
    <row r="687" spans="1:30" ht="14.25" customHeight="1" x14ac:dyDescent="0.25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99"/>
    </row>
    <row r="688" spans="1:30" ht="14.25" customHeight="1" x14ac:dyDescent="0.25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</row>
    <row r="689" spans="1:30" ht="14.25" customHeight="1" x14ac:dyDescent="0.25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99"/>
    </row>
    <row r="690" spans="1:30" ht="14.25" customHeight="1" x14ac:dyDescent="0.25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99"/>
    </row>
    <row r="691" spans="1:30" ht="14.25" customHeight="1" x14ac:dyDescent="0.25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  <c r="AA691" s="99"/>
      <c r="AB691" s="99"/>
      <c r="AC691" s="99"/>
      <c r="AD691" s="99"/>
    </row>
    <row r="692" spans="1:30" ht="14.25" customHeight="1" x14ac:dyDescent="0.25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  <c r="AA692" s="99"/>
      <c r="AB692" s="99"/>
      <c r="AC692" s="99"/>
      <c r="AD692" s="99"/>
    </row>
    <row r="693" spans="1:30" ht="14.25" customHeight="1" x14ac:dyDescent="0.25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  <c r="AA693" s="99"/>
      <c r="AB693" s="99"/>
      <c r="AC693" s="99"/>
      <c r="AD693" s="99"/>
    </row>
    <row r="694" spans="1:30" ht="14.25" customHeight="1" x14ac:dyDescent="0.25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99"/>
      <c r="AB694" s="99"/>
      <c r="AC694" s="99"/>
      <c r="AD694" s="99"/>
    </row>
    <row r="695" spans="1:30" ht="14.25" customHeight="1" x14ac:dyDescent="0.25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  <c r="AA695" s="99"/>
      <c r="AB695" s="99"/>
      <c r="AC695" s="99"/>
      <c r="AD695" s="99"/>
    </row>
    <row r="696" spans="1:30" ht="14.25" customHeight="1" x14ac:dyDescent="0.25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  <c r="AA696" s="99"/>
      <c r="AB696" s="99"/>
      <c r="AC696" s="99"/>
      <c r="AD696" s="99"/>
    </row>
    <row r="697" spans="1:30" ht="14.25" customHeight="1" x14ac:dyDescent="0.25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  <c r="AA697" s="99"/>
      <c r="AB697" s="99"/>
      <c r="AC697" s="99"/>
      <c r="AD697" s="99"/>
    </row>
    <row r="698" spans="1:30" ht="14.25" customHeight="1" x14ac:dyDescent="0.25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  <c r="AA698" s="99"/>
      <c r="AB698" s="99"/>
      <c r="AC698" s="99"/>
      <c r="AD698" s="99"/>
    </row>
    <row r="699" spans="1:30" ht="14.25" customHeight="1" x14ac:dyDescent="0.25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99"/>
      <c r="AB699" s="99"/>
      <c r="AC699" s="99"/>
      <c r="AD699" s="99"/>
    </row>
    <row r="700" spans="1:30" ht="14.25" customHeight="1" x14ac:dyDescent="0.25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  <c r="AB700" s="99"/>
      <c r="AC700" s="99"/>
      <c r="AD700" s="99"/>
    </row>
    <row r="701" spans="1:30" ht="14.25" customHeight="1" x14ac:dyDescent="0.25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99"/>
      <c r="AB701" s="99"/>
      <c r="AC701" s="99"/>
      <c r="AD701" s="99"/>
    </row>
    <row r="702" spans="1:30" ht="14.25" customHeight="1" x14ac:dyDescent="0.25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  <c r="AA702" s="99"/>
      <c r="AB702" s="99"/>
      <c r="AC702" s="99"/>
      <c r="AD702" s="99"/>
    </row>
    <row r="703" spans="1:30" ht="14.25" customHeight="1" x14ac:dyDescent="0.25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  <c r="AA703" s="99"/>
      <c r="AB703" s="99"/>
      <c r="AC703" s="99"/>
      <c r="AD703" s="99"/>
    </row>
    <row r="704" spans="1:30" ht="14.25" customHeight="1" x14ac:dyDescent="0.25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  <c r="AA704" s="99"/>
      <c r="AB704" s="99"/>
      <c r="AC704" s="99"/>
      <c r="AD704" s="99"/>
    </row>
    <row r="705" spans="1:30" ht="14.25" customHeight="1" x14ac:dyDescent="0.25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  <c r="AB705" s="99"/>
      <c r="AC705" s="99"/>
      <c r="AD705" s="99"/>
    </row>
    <row r="706" spans="1:30" ht="14.25" customHeight="1" x14ac:dyDescent="0.25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  <c r="AA706" s="99"/>
      <c r="AB706" s="99"/>
      <c r="AC706" s="99"/>
      <c r="AD706" s="99"/>
    </row>
    <row r="707" spans="1:30" ht="14.25" customHeight="1" x14ac:dyDescent="0.25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  <c r="AB707" s="99"/>
      <c r="AC707" s="99"/>
      <c r="AD707" s="99"/>
    </row>
    <row r="708" spans="1:30" ht="14.25" customHeight="1" x14ac:dyDescent="0.25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  <c r="AA708" s="99"/>
      <c r="AB708" s="99"/>
      <c r="AC708" s="99"/>
      <c r="AD708" s="99"/>
    </row>
    <row r="709" spans="1:30" ht="14.25" customHeight="1" x14ac:dyDescent="0.25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  <c r="AA709" s="99"/>
      <c r="AB709" s="99"/>
      <c r="AC709" s="99"/>
      <c r="AD709" s="99"/>
    </row>
    <row r="710" spans="1:30" ht="14.25" customHeight="1" x14ac:dyDescent="0.25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  <c r="AA710" s="99"/>
      <c r="AB710" s="99"/>
      <c r="AC710" s="99"/>
      <c r="AD710" s="99"/>
    </row>
    <row r="711" spans="1:30" ht="14.25" customHeight="1" x14ac:dyDescent="0.25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  <c r="AA711" s="99"/>
      <c r="AB711" s="99"/>
      <c r="AC711" s="99"/>
      <c r="AD711" s="99"/>
    </row>
    <row r="712" spans="1:30" ht="14.25" customHeight="1" x14ac:dyDescent="0.25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  <c r="AA712" s="99"/>
      <c r="AB712" s="99"/>
      <c r="AC712" s="99"/>
      <c r="AD712" s="99"/>
    </row>
    <row r="713" spans="1:30" ht="14.25" customHeight="1" x14ac:dyDescent="0.25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  <c r="AB713" s="99"/>
      <c r="AC713" s="99"/>
      <c r="AD713" s="99"/>
    </row>
    <row r="714" spans="1:30" ht="14.25" customHeight="1" x14ac:dyDescent="0.25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  <c r="AA714" s="99"/>
      <c r="AB714" s="99"/>
      <c r="AC714" s="99"/>
      <c r="AD714" s="99"/>
    </row>
    <row r="715" spans="1:30" ht="14.25" customHeight="1" x14ac:dyDescent="0.25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  <c r="AA715" s="99"/>
      <c r="AB715" s="99"/>
      <c r="AC715" s="99"/>
      <c r="AD715" s="99"/>
    </row>
    <row r="716" spans="1:30" ht="14.25" customHeight="1" x14ac:dyDescent="0.25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  <c r="AA716" s="99"/>
      <c r="AB716" s="99"/>
      <c r="AC716" s="99"/>
      <c r="AD716" s="99"/>
    </row>
    <row r="717" spans="1:30" ht="14.25" customHeight="1" x14ac:dyDescent="0.25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  <c r="AA717" s="99"/>
      <c r="AB717" s="99"/>
      <c r="AC717" s="99"/>
      <c r="AD717" s="99"/>
    </row>
    <row r="718" spans="1:30" ht="14.25" customHeight="1" x14ac:dyDescent="0.25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  <c r="AA718" s="99"/>
      <c r="AB718" s="99"/>
      <c r="AC718" s="99"/>
      <c r="AD718" s="99"/>
    </row>
    <row r="719" spans="1:30" ht="14.25" customHeight="1" x14ac:dyDescent="0.25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  <c r="AA719" s="99"/>
      <c r="AB719" s="99"/>
      <c r="AC719" s="99"/>
      <c r="AD719" s="99"/>
    </row>
    <row r="720" spans="1:30" ht="14.25" customHeight="1" x14ac:dyDescent="0.25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  <c r="AA720" s="99"/>
      <c r="AB720" s="99"/>
      <c r="AC720" s="99"/>
      <c r="AD720" s="99"/>
    </row>
    <row r="721" spans="1:30" ht="14.25" customHeight="1" x14ac:dyDescent="0.25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  <c r="AA721" s="99"/>
      <c r="AB721" s="99"/>
      <c r="AC721" s="99"/>
      <c r="AD721" s="99"/>
    </row>
    <row r="722" spans="1:30" ht="14.25" customHeight="1" x14ac:dyDescent="0.25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  <c r="AA722" s="99"/>
      <c r="AB722" s="99"/>
      <c r="AC722" s="99"/>
      <c r="AD722" s="99"/>
    </row>
    <row r="723" spans="1:30" ht="14.25" customHeight="1" x14ac:dyDescent="0.25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  <c r="AA723" s="99"/>
      <c r="AB723" s="99"/>
      <c r="AC723" s="99"/>
      <c r="AD723" s="99"/>
    </row>
    <row r="724" spans="1:30" ht="14.25" customHeight="1" x14ac:dyDescent="0.25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  <c r="AA724" s="99"/>
      <c r="AB724" s="99"/>
      <c r="AC724" s="99"/>
      <c r="AD724" s="99"/>
    </row>
    <row r="725" spans="1:30" ht="14.25" customHeight="1" x14ac:dyDescent="0.25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  <c r="AA725" s="99"/>
      <c r="AB725" s="99"/>
      <c r="AC725" s="99"/>
      <c r="AD725" s="99"/>
    </row>
    <row r="726" spans="1:30" ht="14.25" customHeight="1" x14ac:dyDescent="0.25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  <c r="AA726" s="99"/>
      <c r="AB726" s="99"/>
      <c r="AC726" s="99"/>
      <c r="AD726" s="99"/>
    </row>
    <row r="727" spans="1:30" ht="14.25" customHeight="1" x14ac:dyDescent="0.25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  <c r="AA727" s="99"/>
      <c r="AB727" s="99"/>
      <c r="AC727" s="99"/>
      <c r="AD727" s="99"/>
    </row>
    <row r="728" spans="1:30" ht="14.25" customHeight="1" x14ac:dyDescent="0.25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  <c r="AA728" s="99"/>
      <c r="AB728" s="99"/>
      <c r="AC728" s="99"/>
      <c r="AD728" s="99"/>
    </row>
    <row r="729" spans="1:30" ht="14.25" customHeight="1" x14ac:dyDescent="0.25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  <c r="AA729" s="99"/>
      <c r="AB729" s="99"/>
      <c r="AC729" s="99"/>
      <c r="AD729" s="99"/>
    </row>
    <row r="730" spans="1:30" ht="14.25" customHeight="1" x14ac:dyDescent="0.25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  <c r="AA730" s="99"/>
      <c r="AB730" s="99"/>
      <c r="AC730" s="99"/>
      <c r="AD730" s="99"/>
    </row>
    <row r="731" spans="1:30" ht="14.25" customHeight="1" x14ac:dyDescent="0.25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</row>
    <row r="732" spans="1:30" ht="14.25" customHeight="1" x14ac:dyDescent="0.25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  <c r="AA732" s="99"/>
      <c r="AB732" s="99"/>
      <c r="AC732" s="99"/>
      <c r="AD732" s="99"/>
    </row>
    <row r="733" spans="1:30" ht="14.25" customHeight="1" x14ac:dyDescent="0.25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99"/>
      <c r="AB733" s="99"/>
      <c r="AC733" s="99"/>
      <c r="AD733" s="99"/>
    </row>
    <row r="734" spans="1:30" ht="14.25" customHeight="1" x14ac:dyDescent="0.25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99"/>
      <c r="AB734" s="99"/>
      <c r="AC734" s="99"/>
      <c r="AD734" s="99"/>
    </row>
    <row r="735" spans="1:30" ht="14.25" customHeight="1" x14ac:dyDescent="0.25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  <c r="AA735" s="99"/>
      <c r="AB735" s="99"/>
      <c r="AC735" s="99"/>
      <c r="AD735" s="99"/>
    </row>
    <row r="736" spans="1:30" ht="14.25" customHeight="1" x14ac:dyDescent="0.25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  <c r="AA736" s="99"/>
      <c r="AB736" s="99"/>
      <c r="AC736" s="99"/>
      <c r="AD736" s="99"/>
    </row>
    <row r="737" spans="1:30" ht="14.25" customHeight="1" x14ac:dyDescent="0.25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  <c r="AA737" s="99"/>
      <c r="AB737" s="99"/>
      <c r="AC737" s="99"/>
      <c r="AD737" s="99"/>
    </row>
    <row r="738" spans="1:30" ht="14.25" customHeight="1" x14ac:dyDescent="0.25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  <c r="AA738" s="99"/>
      <c r="AB738" s="99"/>
      <c r="AC738" s="99"/>
      <c r="AD738" s="99"/>
    </row>
    <row r="739" spans="1:30" ht="14.25" customHeight="1" x14ac:dyDescent="0.25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  <c r="AA739" s="99"/>
      <c r="AB739" s="99"/>
      <c r="AC739" s="99"/>
      <c r="AD739" s="99"/>
    </row>
    <row r="740" spans="1:30" ht="14.25" customHeight="1" x14ac:dyDescent="0.25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  <c r="AA740" s="99"/>
      <c r="AB740" s="99"/>
      <c r="AC740" s="99"/>
      <c r="AD740" s="99"/>
    </row>
    <row r="741" spans="1:30" ht="14.25" customHeight="1" x14ac:dyDescent="0.25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  <c r="AA741" s="99"/>
      <c r="AB741" s="99"/>
      <c r="AC741" s="99"/>
      <c r="AD741" s="99"/>
    </row>
    <row r="742" spans="1:30" ht="14.25" customHeight="1" x14ac:dyDescent="0.25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</row>
    <row r="743" spans="1:30" ht="14.25" customHeight="1" x14ac:dyDescent="0.25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  <c r="AA743" s="99"/>
      <c r="AB743" s="99"/>
      <c r="AC743" s="99"/>
      <c r="AD743" s="99"/>
    </row>
    <row r="744" spans="1:30" ht="14.25" customHeight="1" x14ac:dyDescent="0.25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  <c r="AA744" s="99"/>
      <c r="AB744" s="99"/>
      <c r="AC744" s="99"/>
      <c r="AD744" s="99"/>
    </row>
    <row r="745" spans="1:30" ht="14.25" customHeight="1" x14ac:dyDescent="0.25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  <c r="AA745" s="99"/>
      <c r="AB745" s="99"/>
      <c r="AC745" s="99"/>
      <c r="AD745" s="99"/>
    </row>
    <row r="746" spans="1:30" ht="14.25" customHeight="1" x14ac:dyDescent="0.25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  <c r="AA746" s="99"/>
      <c r="AB746" s="99"/>
      <c r="AC746" s="99"/>
      <c r="AD746" s="99"/>
    </row>
    <row r="747" spans="1:30" ht="14.25" customHeight="1" x14ac:dyDescent="0.25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  <c r="AA747" s="99"/>
      <c r="AB747" s="99"/>
      <c r="AC747" s="99"/>
      <c r="AD747" s="99"/>
    </row>
    <row r="748" spans="1:30" ht="14.25" customHeight="1" x14ac:dyDescent="0.25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  <c r="AA748" s="99"/>
      <c r="AB748" s="99"/>
      <c r="AC748" s="99"/>
      <c r="AD748" s="99"/>
    </row>
    <row r="749" spans="1:30" ht="14.25" customHeight="1" x14ac:dyDescent="0.25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  <c r="AA749" s="99"/>
      <c r="AB749" s="99"/>
      <c r="AC749" s="99"/>
      <c r="AD749" s="99"/>
    </row>
    <row r="750" spans="1:30" ht="14.25" customHeight="1" x14ac:dyDescent="0.25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  <c r="AA750" s="99"/>
      <c r="AB750" s="99"/>
      <c r="AC750" s="99"/>
      <c r="AD750" s="99"/>
    </row>
    <row r="751" spans="1:30" ht="14.25" customHeight="1" x14ac:dyDescent="0.25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  <c r="AA751" s="99"/>
      <c r="AB751" s="99"/>
      <c r="AC751" s="99"/>
      <c r="AD751" s="99"/>
    </row>
    <row r="752" spans="1:30" ht="14.25" customHeight="1" x14ac:dyDescent="0.25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  <c r="AA752" s="99"/>
      <c r="AB752" s="99"/>
      <c r="AC752" s="99"/>
      <c r="AD752" s="99"/>
    </row>
    <row r="753" spans="1:30" ht="14.25" customHeight="1" x14ac:dyDescent="0.25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</row>
    <row r="754" spans="1:30" ht="14.25" customHeight="1" x14ac:dyDescent="0.25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  <c r="AA754" s="99"/>
      <c r="AB754" s="99"/>
      <c r="AC754" s="99"/>
      <c r="AD754" s="99"/>
    </row>
    <row r="755" spans="1:30" ht="14.25" customHeight="1" x14ac:dyDescent="0.25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  <c r="AA755" s="99"/>
      <c r="AB755" s="99"/>
      <c r="AC755" s="99"/>
      <c r="AD755" s="99"/>
    </row>
    <row r="756" spans="1:30" ht="14.25" customHeight="1" x14ac:dyDescent="0.25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  <c r="AA756" s="99"/>
      <c r="AB756" s="99"/>
      <c r="AC756" s="99"/>
      <c r="AD756" s="99"/>
    </row>
    <row r="757" spans="1:30" ht="14.25" customHeight="1" x14ac:dyDescent="0.25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  <c r="AA757" s="99"/>
      <c r="AB757" s="99"/>
      <c r="AC757" s="99"/>
      <c r="AD757" s="99"/>
    </row>
    <row r="758" spans="1:30" ht="14.25" customHeight="1" x14ac:dyDescent="0.25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  <c r="AA758" s="99"/>
      <c r="AB758" s="99"/>
      <c r="AC758" s="99"/>
      <c r="AD758" s="99"/>
    </row>
    <row r="759" spans="1:30" ht="14.25" customHeight="1" x14ac:dyDescent="0.25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  <c r="AA759" s="99"/>
      <c r="AB759" s="99"/>
      <c r="AC759" s="99"/>
      <c r="AD759" s="99"/>
    </row>
    <row r="760" spans="1:30" ht="14.25" customHeight="1" x14ac:dyDescent="0.25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  <c r="AA760" s="99"/>
      <c r="AB760" s="99"/>
      <c r="AC760" s="99"/>
      <c r="AD760" s="99"/>
    </row>
    <row r="761" spans="1:30" ht="14.25" customHeight="1" x14ac:dyDescent="0.25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  <c r="AA761" s="99"/>
      <c r="AB761" s="99"/>
      <c r="AC761" s="99"/>
      <c r="AD761" s="99"/>
    </row>
    <row r="762" spans="1:30" ht="14.25" customHeight="1" x14ac:dyDescent="0.25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  <c r="AA762" s="99"/>
      <c r="AB762" s="99"/>
      <c r="AC762" s="99"/>
      <c r="AD762" s="99"/>
    </row>
    <row r="763" spans="1:30" ht="14.25" customHeight="1" x14ac:dyDescent="0.25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  <c r="AA763" s="99"/>
      <c r="AB763" s="99"/>
      <c r="AC763" s="99"/>
      <c r="AD763" s="99"/>
    </row>
    <row r="764" spans="1:30" ht="14.25" customHeight="1" x14ac:dyDescent="0.25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</row>
    <row r="765" spans="1:30" ht="14.25" customHeight="1" x14ac:dyDescent="0.25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  <c r="AA765" s="99"/>
      <c r="AB765" s="99"/>
      <c r="AC765" s="99"/>
      <c r="AD765" s="99"/>
    </row>
    <row r="766" spans="1:30" ht="14.25" customHeight="1" x14ac:dyDescent="0.25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  <c r="AA766" s="99"/>
      <c r="AB766" s="99"/>
      <c r="AC766" s="99"/>
      <c r="AD766" s="99"/>
    </row>
    <row r="767" spans="1:30" ht="14.25" customHeight="1" x14ac:dyDescent="0.25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  <c r="AA767" s="99"/>
      <c r="AB767" s="99"/>
      <c r="AC767" s="99"/>
      <c r="AD767" s="99"/>
    </row>
    <row r="768" spans="1:30" ht="14.25" customHeight="1" x14ac:dyDescent="0.25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  <c r="AA768" s="99"/>
      <c r="AB768" s="99"/>
      <c r="AC768" s="99"/>
      <c r="AD768" s="99"/>
    </row>
    <row r="769" spans="1:30" ht="14.25" customHeight="1" x14ac:dyDescent="0.25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  <c r="AA769" s="99"/>
      <c r="AB769" s="99"/>
      <c r="AC769" s="99"/>
      <c r="AD769" s="99"/>
    </row>
    <row r="770" spans="1:30" ht="14.25" customHeight="1" x14ac:dyDescent="0.25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  <c r="AA770" s="99"/>
      <c r="AB770" s="99"/>
      <c r="AC770" s="99"/>
      <c r="AD770" s="99"/>
    </row>
    <row r="771" spans="1:30" ht="14.25" customHeight="1" x14ac:dyDescent="0.25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  <c r="AA771" s="99"/>
      <c r="AB771" s="99"/>
      <c r="AC771" s="99"/>
      <c r="AD771" s="99"/>
    </row>
    <row r="772" spans="1:30" ht="14.25" customHeight="1" x14ac:dyDescent="0.25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  <c r="AA772" s="99"/>
      <c r="AB772" s="99"/>
      <c r="AC772" s="99"/>
      <c r="AD772" s="99"/>
    </row>
    <row r="773" spans="1:30" ht="14.25" customHeight="1" x14ac:dyDescent="0.25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  <c r="AA773" s="99"/>
      <c r="AB773" s="99"/>
      <c r="AC773" s="99"/>
      <c r="AD773" s="99"/>
    </row>
    <row r="774" spans="1:30" ht="14.25" customHeight="1" x14ac:dyDescent="0.25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  <c r="AA774" s="99"/>
      <c r="AB774" s="99"/>
      <c r="AC774" s="99"/>
      <c r="AD774" s="99"/>
    </row>
    <row r="775" spans="1:30" ht="14.25" customHeight="1" x14ac:dyDescent="0.25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</row>
    <row r="776" spans="1:30" ht="14.25" customHeight="1" x14ac:dyDescent="0.25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  <c r="AA776" s="99"/>
      <c r="AB776" s="99"/>
      <c r="AC776" s="99"/>
      <c r="AD776" s="99"/>
    </row>
    <row r="777" spans="1:30" ht="14.25" customHeight="1" x14ac:dyDescent="0.25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  <c r="AA777" s="99"/>
      <c r="AB777" s="99"/>
      <c r="AC777" s="99"/>
      <c r="AD777" s="99"/>
    </row>
    <row r="778" spans="1:30" ht="14.25" customHeight="1" x14ac:dyDescent="0.25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99"/>
      <c r="AB778" s="99"/>
      <c r="AC778" s="99"/>
      <c r="AD778" s="99"/>
    </row>
    <row r="779" spans="1:30" ht="14.25" customHeight="1" x14ac:dyDescent="0.25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  <c r="AA779" s="99"/>
      <c r="AB779" s="99"/>
      <c r="AC779" s="99"/>
      <c r="AD779" s="99"/>
    </row>
    <row r="780" spans="1:30" ht="14.25" customHeight="1" x14ac:dyDescent="0.25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99"/>
      <c r="AB780" s="99"/>
      <c r="AC780" s="99"/>
      <c r="AD780" s="99"/>
    </row>
    <row r="781" spans="1:30" ht="14.25" customHeight="1" x14ac:dyDescent="0.25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  <c r="AA781" s="99"/>
      <c r="AB781" s="99"/>
      <c r="AC781" s="99"/>
      <c r="AD781" s="99"/>
    </row>
    <row r="782" spans="1:30" ht="14.25" customHeight="1" x14ac:dyDescent="0.25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  <c r="AA782" s="99"/>
      <c r="AB782" s="99"/>
      <c r="AC782" s="99"/>
      <c r="AD782" s="99"/>
    </row>
    <row r="783" spans="1:30" ht="14.25" customHeight="1" x14ac:dyDescent="0.25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  <c r="AA783" s="99"/>
      <c r="AB783" s="99"/>
      <c r="AC783" s="99"/>
      <c r="AD783" s="99"/>
    </row>
    <row r="784" spans="1:30" ht="14.25" customHeight="1" x14ac:dyDescent="0.25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99"/>
      <c r="AB784" s="99"/>
      <c r="AC784" s="99"/>
      <c r="AD784" s="99"/>
    </row>
    <row r="785" spans="1:30" ht="14.25" customHeight="1" x14ac:dyDescent="0.25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  <c r="AA785" s="99"/>
      <c r="AB785" s="99"/>
      <c r="AC785" s="99"/>
      <c r="AD785" s="99"/>
    </row>
    <row r="786" spans="1:30" ht="14.25" customHeight="1" x14ac:dyDescent="0.25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99"/>
      <c r="AB786" s="99"/>
      <c r="AC786" s="99"/>
      <c r="AD786" s="99"/>
    </row>
    <row r="787" spans="1:30" ht="14.25" customHeight="1" x14ac:dyDescent="0.25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  <c r="AA787" s="99"/>
      <c r="AB787" s="99"/>
      <c r="AC787" s="99"/>
      <c r="AD787" s="99"/>
    </row>
    <row r="788" spans="1:30" ht="14.25" customHeight="1" x14ac:dyDescent="0.25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  <c r="AA788" s="99"/>
      <c r="AB788" s="99"/>
      <c r="AC788" s="99"/>
      <c r="AD788" s="99"/>
    </row>
    <row r="789" spans="1:30" ht="14.25" customHeight="1" x14ac:dyDescent="0.25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  <c r="AA789" s="99"/>
      <c r="AB789" s="99"/>
      <c r="AC789" s="99"/>
      <c r="AD789" s="99"/>
    </row>
    <row r="790" spans="1:30" ht="14.25" customHeight="1" x14ac:dyDescent="0.25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  <c r="AA790" s="99"/>
      <c r="AB790" s="99"/>
      <c r="AC790" s="99"/>
      <c r="AD790" s="99"/>
    </row>
    <row r="791" spans="1:30" ht="14.25" customHeight="1" x14ac:dyDescent="0.25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  <c r="AA791" s="99"/>
      <c r="AB791" s="99"/>
      <c r="AC791" s="99"/>
      <c r="AD791" s="99"/>
    </row>
    <row r="792" spans="1:30" ht="14.25" customHeight="1" x14ac:dyDescent="0.25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  <c r="AA792" s="99"/>
      <c r="AB792" s="99"/>
      <c r="AC792" s="99"/>
      <c r="AD792" s="99"/>
    </row>
    <row r="793" spans="1:30" ht="14.25" customHeight="1" x14ac:dyDescent="0.25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  <c r="AA793" s="99"/>
      <c r="AB793" s="99"/>
      <c r="AC793" s="99"/>
      <c r="AD793" s="99"/>
    </row>
    <row r="794" spans="1:30" ht="14.25" customHeight="1" x14ac:dyDescent="0.25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  <c r="AA794" s="99"/>
      <c r="AB794" s="99"/>
      <c r="AC794" s="99"/>
      <c r="AD794" s="99"/>
    </row>
    <row r="795" spans="1:30" ht="14.25" customHeight="1" x14ac:dyDescent="0.25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  <c r="AA795" s="99"/>
      <c r="AB795" s="99"/>
      <c r="AC795" s="99"/>
      <c r="AD795" s="99"/>
    </row>
    <row r="796" spans="1:30" ht="14.25" customHeight="1" x14ac:dyDescent="0.25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  <c r="AA796" s="99"/>
      <c r="AB796" s="99"/>
      <c r="AC796" s="99"/>
      <c r="AD796" s="99"/>
    </row>
    <row r="797" spans="1:30" ht="14.25" customHeight="1" x14ac:dyDescent="0.25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  <c r="AA797" s="99"/>
      <c r="AB797" s="99"/>
      <c r="AC797" s="99"/>
      <c r="AD797" s="99"/>
    </row>
    <row r="798" spans="1:30" ht="14.25" customHeight="1" x14ac:dyDescent="0.25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  <c r="AA798" s="99"/>
      <c r="AB798" s="99"/>
      <c r="AC798" s="99"/>
      <c r="AD798" s="99"/>
    </row>
    <row r="799" spans="1:30" ht="14.25" customHeight="1" x14ac:dyDescent="0.25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99"/>
      <c r="AB799" s="99"/>
      <c r="AC799" s="99"/>
      <c r="AD799" s="99"/>
    </row>
    <row r="800" spans="1:30" ht="14.25" customHeight="1" x14ac:dyDescent="0.25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  <c r="AA800" s="99"/>
      <c r="AB800" s="99"/>
      <c r="AC800" s="99"/>
      <c r="AD800" s="99"/>
    </row>
    <row r="801" spans="1:30" ht="14.25" customHeight="1" x14ac:dyDescent="0.25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  <c r="AB801" s="99"/>
      <c r="AC801" s="99"/>
      <c r="AD801" s="99"/>
    </row>
    <row r="802" spans="1:30" ht="14.25" customHeight="1" x14ac:dyDescent="0.25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  <c r="AA802" s="99"/>
      <c r="AB802" s="99"/>
      <c r="AC802" s="99"/>
      <c r="AD802" s="99"/>
    </row>
    <row r="803" spans="1:30" ht="14.25" customHeight="1" x14ac:dyDescent="0.25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  <c r="AA803" s="99"/>
      <c r="AB803" s="99"/>
      <c r="AC803" s="99"/>
      <c r="AD803" s="99"/>
    </row>
    <row r="804" spans="1:30" ht="14.25" customHeight="1" x14ac:dyDescent="0.25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  <c r="AA804" s="99"/>
      <c r="AB804" s="99"/>
      <c r="AC804" s="99"/>
      <c r="AD804" s="99"/>
    </row>
    <row r="805" spans="1:30" ht="14.25" customHeight="1" x14ac:dyDescent="0.25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  <c r="AA805" s="99"/>
      <c r="AB805" s="99"/>
      <c r="AC805" s="99"/>
      <c r="AD805" s="99"/>
    </row>
    <row r="806" spans="1:30" ht="14.25" customHeight="1" x14ac:dyDescent="0.25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  <c r="AA806" s="99"/>
      <c r="AB806" s="99"/>
      <c r="AC806" s="99"/>
      <c r="AD806" s="99"/>
    </row>
    <row r="807" spans="1:30" ht="14.25" customHeight="1" x14ac:dyDescent="0.25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  <c r="AA807" s="99"/>
      <c r="AB807" s="99"/>
      <c r="AC807" s="99"/>
      <c r="AD807" s="99"/>
    </row>
    <row r="808" spans="1:30" ht="14.25" customHeight="1" x14ac:dyDescent="0.25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  <c r="AA808" s="99"/>
      <c r="AB808" s="99"/>
      <c r="AC808" s="99"/>
      <c r="AD808" s="99"/>
    </row>
    <row r="809" spans="1:30" ht="14.25" customHeight="1" x14ac:dyDescent="0.25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  <c r="AA809" s="99"/>
      <c r="AB809" s="99"/>
      <c r="AC809" s="99"/>
      <c r="AD809" s="99"/>
    </row>
    <row r="810" spans="1:30" ht="14.25" customHeight="1" x14ac:dyDescent="0.25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  <c r="AA810" s="99"/>
      <c r="AB810" s="99"/>
      <c r="AC810" s="99"/>
      <c r="AD810" s="99"/>
    </row>
    <row r="811" spans="1:30" ht="14.25" customHeight="1" x14ac:dyDescent="0.25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99"/>
      <c r="AB811" s="99"/>
      <c r="AC811" s="99"/>
      <c r="AD811" s="99"/>
    </row>
    <row r="812" spans="1:30" ht="14.25" customHeight="1" x14ac:dyDescent="0.25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  <c r="AA812" s="99"/>
      <c r="AB812" s="99"/>
      <c r="AC812" s="99"/>
      <c r="AD812" s="99"/>
    </row>
    <row r="813" spans="1:30" ht="14.25" customHeight="1" x14ac:dyDescent="0.25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  <c r="AA813" s="99"/>
      <c r="AB813" s="99"/>
      <c r="AC813" s="99"/>
      <c r="AD813" s="99"/>
    </row>
    <row r="814" spans="1:30" ht="14.25" customHeight="1" x14ac:dyDescent="0.25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  <c r="AA814" s="99"/>
      <c r="AB814" s="99"/>
      <c r="AC814" s="99"/>
      <c r="AD814" s="99"/>
    </row>
    <row r="815" spans="1:30" ht="14.25" customHeight="1" x14ac:dyDescent="0.25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  <c r="AA815" s="99"/>
      <c r="AB815" s="99"/>
      <c r="AC815" s="99"/>
      <c r="AD815" s="99"/>
    </row>
    <row r="816" spans="1:30" ht="14.25" customHeight="1" x14ac:dyDescent="0.25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  <c r="AA816" s="99"/>
      <c r="AB816" s="99"/>
      <c r="AC816" s="99"/>
      <c r="AD816" s="99"/>
    </row>
    <row r="817" spans="1:30" ht="14.25" customHeight="1" x14ac:dyDescent="0.25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  <c r="AA817" s="99"/>
      <c r="AB817" s="99"/>
      <c r="AC817" s="99"/>
      <c r="AD817" s="99"/>
    </row>
    <row r="818" spans="1:30" ht="14.25" customHeight="1" x14ac:dyDescent="0.25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  <c r="AA818" s="99"/>
      <c r="AB818" s="99"/>
      <c r="AC818" s="99"/>
      <c r="AD818" s="99"/>
    </row>
    <row r="819" spans="1:30" ht="14.25" customHeight="1" x14ac:dyDescent="0.25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  <c r="AA819" s="99"/>
      <c r="AB819" s="99"/>
      <c r="AC819" s="99"/>
      <c r="AD819" s="99"/>
    </row>
    <row r="820" spans="1:30" ht="14.25" customHeight="1" x14ac:dyDescent="0.25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99"/>
      <c r="AB820" s="99"/>
      <c r="AC820" s="99"/>
      <c r="AD820" s="99"/>
    </row>
    <row r="821" spans="1:30" ht="14.25" customHeight="1" x14ac:dyDescent="0.25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  <c r="AA821" s="99"/>
      <c r="AB821" s="99"/>
      <c r="AC821" s="99"/>
      <c r="AD821" s="99"/>
    </row>
    <row r="822" spans="1:30" ht="14.25" customHeight="1" x14ac:dyDescent="0.25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  <c r="AA822" s="99"/>
      <c r="AB822" s="99"/>
      <c r="AC822" s="99"/>
      <c r="AD822" s="99"/>
    </row>
    <row r="823" spans="1:30" ht="14.25" customHeight="1" x14ac:dyDescent="0.25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99"/>
      <c r="AB823" s="99"/>
      <c r="AC823" s="99"/>
      <c r="AD823" s="99"/>
    </row>
    <row r="824" spans="1:30" ht="14.25" customHeight="1" x14ac:dyDescent="0.25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  <c r="AA824" s="99"/>
      <c r="AB824" s="99"/>
      <c r="AC824" s="99"/>
      <c r="AD824" s="99"/>
    </row>
    <row r="825" spans="1:30" ht="14.25" customHeight="1" x14ac:dyDescent="0.25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  <c r="AA825" s="99"/>
      <c r="AB825" s="99"/>
      <c r="AC825" s="99"/>
      <c r="AD825" s="99"/>
    </row>
    <row r="826" spans="1:30" ht="14.25" customHeight="1" x14ac:dyDescent="0.25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  <c r="AA826" s="99"/>
      <c r="AB826" s="99"/>
      <c r="AC826" s="99"/>
      <c r="AD826" s="99"/>
    </row>
    <row r="827" spans="1:30" ht="14.25" customHeight="1" x14ac:dyDescent="0.25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  <c r="AA827" s="99"/>
      <c r="AB827" s="99"/>
      <c r="AC827" s="99"/>
      <c r="AD827" s="99"/>
    </row>
    <row r="828" spans="1:30" ht="14.25" customHeight="1" x14ac:dyDescent="0.25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  <c r="AA828" s="99"/>
      <c r="AB828" s="99"/>
      <c r="AC828" s="99"/>
      <c r="AD828" s="99"/>
    </row>
    <row r="829" spans="1:30" ht="14.25" customHeight="1" x14ac:dyDescent="0.25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  <c r="AA829" s="99"/>
      <c r="AB829" s="99"/>
      <c r="AC829" s="99"/>
      <c r="AD829" s="99"/>
    </row>
    <row r="830" spans="1:30" ht="14.25" customHeight="1" x14ac:dyDescent="0.25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  <c r="AA830" s="99"/>
      <c r="AB830" s="99"/>
      <c r="AC830" s="99"/>
      <c r="AD830" s="99"/>
    </row>
    <row r="831" spans="1:30" ht="14.25" customHeight="1" x14ac:dyDescent="0.25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  <c r="AA831" s="99"/>
      <c r="AB831" s="99"/>
      <c r="AC831" s="99"/>
      <c r="AD831" s="99"/>
    </row>
    <row r="832" spans="1:30" ht="14.25" customHeight="1" x14ac:dyDescent="0.25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  <c r="AA832" s="99"/>
      <c r="AB832" s="99"/>
      <c r="AC832" s="99"/>
      <c r="AD832" s="99"/>
    </row>
    <row r="833" spans="1:30" ht="14.25" customHeight="1" x14ac:dyDescent="0.25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  <c r="AA833" s="99"/>
      <c r="AB833" s="99"/>
      <c r="AC833" s="99"/>
      <c r="AD833" s="99"/>
    </row>
    <row r="834" spans="1:30" ht="14.25" customHeight="1" x14ac:dyDescent="0.25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  <c r="AA834" s="99"/>
      <c r="AB834" s="99"/>
      <c r="AC834" s="99"/>
      <c r="AD834" s="99"/>
    </row>
    <row r="835" spans="1:30" ht="14.25" customHeight="1" x14ac:dyDescent="0.25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  <c r="AA835" s="99"/>
      <c r="AB835" s="99"/>
      <c r="AC835" s="99"/>
      <c r="AD835" s="99"/>
    </row>
    <row r="836" spans="1:30" ht="14.25" customHeight="1" x14ac:dyDescent="0.25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  <c r="AA836" s="99"/>
      <c r="AB836" s="99"/>
      <c r="AC836" s="99"/>
      <c r="AD836" s="99"/>
    </row>
    <row r="837" spans="1:30" ht="14.25" customHeight="1" x14ac:dyDescent="0.25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  <c r="AA837" s="99"/>
      <c r="AB837" s="99"/>
      <c r="AC837" s="99"/>
      <c r="AD837" s="99"/>
    </row>
    <row r="838" spans="1:30" ht="14.25" customHeight="1" x14ac:dyDescent="0.25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  <c r="AA838" s="99"/>
      <c r="AB838" s="99"/>
      <c r="AC838" s="99"/>
      <c r="AD838" s="99"/>
    </row>
    <row r="839" spans="1:30" ht="14.25" customHeight="1" x14ac:dyDescent="0.25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  <c r="AA839" s="99"/>
      <c r="AB839" s="99"/>
      <c r="AC839" s="99"/>
      <c r="AD839" s="99"/>
    </row>
    <row r="840" spans="1:30" ht="14.25" customHeight="1" x14ac:dyDescent="0.25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  <c r="AA840" s="99"/>
      <c r="AB840" s="99"/>
      <c r="AC840" s="99"/>
      <c r="AD840" s="99"/>
    </row>
    <row r="841" spans="1:30" ht="14.25" customHeight="1" x14ac:dyDescent="0.25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  <c r="AA841" s="99"/>
      <c r="AB841" s="99"/>
      <c r="AC841" s="99"/>
      <c r="AD841" s="99"/>
    </row>
    <row r="842" spans="1:30" ht="14.25" customHeight="1" x14ac:dyDescent="0.25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  <c r="AA842" s="99"/>
      <c r="AB842" s="99"/>
      <c r="AC842" s="99"/>
      <c r="AD842" s="99"/>
    </row>
    <row r="843" spans="1:30" ht="14.25" customHeight="1" x14ac:dyDescent="0.25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  <c r="AA843" s="99"/>
      <c r="AB843" s="99"/>
      <c r="AC843" s="99"/>
      <c r="AD843" s="99"/>
    </row>
    <row r="844" spans="1:30" ht="14.25" customHeight="1" x14ac:dyDescent="0.25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  <c r="AA844" s="99"/>
      <c r="AB844" s="99"/>
      <c r="AC844" s="99"/>
      <c r="AD844" s="99"/>
    </row>
    <row r="845" spans="1:30" ht="14.25" customHeight="1" x14ac:dyDescent="0.25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  <c r="AA845" s="99"/>
      <c r="AB845" s="99"/>
      <c r="AC845" s="99"/>
      <c r="AD845" s="99"/>
    </row>
    <row r="846" spans="1:30" ht="14.25" customHeight="1" x14ac:dyDescent="0.25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  <c r="AA846" s="99"/>
      <c r="AB846" s="99"/>
      <c r="AC846" s="99"/>
      <c r="AD846" s="99"/>
    </row>
    <row r="847" spans="1:30" ht="14.25" customHeight="1" x14ac:dyDescent="0.25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99"/>
      <c r="AB847" s="99"/>
      <c r="AC847" s="99"/>
      <c r="AD847" s="99"/>
    </row>
    <row r="848" spans="1:30" ht="14.25" customHeight="1" x14ac:dyDescent="0.25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  <c r="AA848" s="99"/>
      <c r="AB848" s="99"/>
      <c r="AC848" s="99"/>
      <c r="AD848" s="99"/>
    </row>
    <row r="849" spans="1:30" ht="14.25" customHeight="1" x14ac:dyDescent="0.25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  <c r="AA849" s="99"/>
      <c r="AB849" s="99"/>
      <c r="AC849" s="99"/>
      <c r="AD849" s="99"/>
    </row>
    <row r="850" spans="1:30" ht="14.25" customHeight="1" x14ac:dyDescent="0.25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  <c r="AA850" s="99"/>
      <c r="AB850" s="99"/>
      <c r="AC850" s="99"/>
      <c r="AD850" s="99"/>
    </row>
    <row r="851" spans="1:30" ht="14.25" customHeight="1" x14ac:dyDescent="0.25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  <c r="AA851" s="99"/>
      <c r="AB851" s="99"/>
      <c r="AC851" s="99"/>
      <c r="AD851" s="99"/>
    </row>
    <row r="852" spans="1:30" ht="14.25" customHeight="1" x14ac:dyDescent="0.25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  <c r="AA852" s="99"/>
      <c r="AB852" s="99"/>
      <c r="AC852" s="99"/>
      <c r="AD852" s="99"/>
    </row>
    <row r="853" spans="1:30" ht="14.25" customHeight="1" x14ac:dyDescent="0.25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  <c r="AA853" s="99"/>
      <c r="AB853" s="99"/>
      <c r="AC853" s="99"/>
      <c r="AD853" s="99"/>
    </row>
    <row r="854" spans="1:30" ht="14.25" customHeight="1" x14ac:dyDescent="0.25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  <c r="AA854" s="99"/>
      <c r="AB854" s="99"/>
      <c r="AC854" s="99"/>
      <c r="AD854" s="99"/>
    </row>
    <row r="855" spans="1:30" ht="14.25" customHeight="1" x14ac:dyDescent="0.25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  <c r="AA855" s="99"/>
      <c r="AB855" s="99"/>
      <c r="AC855" s="99"/>
      <c r="AD855" s="99"/>
    </row>
    <row r="856" spans="1:30" ht="14.25" customHeight="1" x14ac:dyDescent="0.25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99"/>
      <c r="AB856" s="99"/>
      <c r="AC856" s="99"/>
      <c r="AD856" s="99"/>
    </row>
    <row r="857" spans="1:30" ht="14.25" customHeight="1" x14ac:dyDescent="0.25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  <c r="AA857" s="99"/>
      <c r="AB857" s="99"/>
      <c r="AC857" s="99"/>
      <c r="AD857" s="99"/>
    </row>
    <row r="858" spans="1:30" ht="14.25" customHeight="1" x14ac:dyDescent="0.25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  <c r="AA858" s="99"/>
      <c r="AB858" s="99"/>
      <c r="AC858" s="99"/>
      <c r="AD858" s="99"/>
    </row>
    <row r="859" spans="1:30" ht="14.25" customHeight="1" x14ac:dyDescent="0.25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  <c r="AA859" s="99"/>
      <c r="AB859" s="99"/>
      <c r="AC859" s="99"/>
      <c r="AD859" s="99"/>
    </row>
    <row r="860" spans="1:30" ht="14.25" customHeight="1" x14ac:dyDescent="0.25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  <c r="AA860" s="99"/>
      <c r="AB860" s="99"/>
      <c r="AC860" s="99"/>
      <c r="AD860" s="99"/>
    </row>
    <row r="861" spans="1:30" ht="14.25" customHeight="1" x14ac:dyDescent="0.25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  <c r="AA861" s="99"/>
      <c r="AB861" s="99"/>
      <c r="AC861" s="99"/>
      <c r="AD861" s="99"/>
    </row>
    <row r="862" spans="1:30" ht="14.25" customHeight="1" x14ac:dyDescent="0.25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  <c r="AA862" s="99"/>
      <c r="AB862" s="99"/>
      <c r="AC862" s="99"/>
      <c r="AD862" s="99"/>
    </row>
    <row r="863" spans="1:30" ht="14.25" customHeight="1" x14ac:dyDescent="0.25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  <c r="AA863" s="99"/>
      <c r="AB863" s="99"/>
      <c r="AC863" s="99"/>
      <c r="AD863" s="99"/>
    </row>
    <row r="864" spans="1:30" ht="14.25" customHeight="1" x14ac:dyDescent="0.25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  <c r="AA864" s="99"/>
      <c r="AB864" s="99"/>
      <c r="AC864" s="99"/>
      <c r="AD864" s="99"/>
    </row>
    <row r="865" spans="1:30" ht="14.25" customHeight="1" x14ac:dyDescent="0.25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  <c r="AA865" s="99"/>
      <c r="AB865" s="99"/>
      <c r="AC865" s="99"/>
      <c r="AD865" s="99"/>
    </row>
    <row r="866" spans="1:30" ht="14.25" customHeight="1" x14ac:dyDescent="0.25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  <c r="AA866" s="99"/>
      <c r="AB866" s="99"/>
      <c r="AC866" s="99"/>
      <c r="AD866" s="99"/>
    </row>
    <row r="867" spans="1:30" ht="14.25" customHeight="1" x14ac:dyDescent="0.25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  <c r="AA867" s="99"/>
      <c r="AB867" s="99"/>
      <c r="AC867" s="99"/>
      <c r="AD867" s="99"/>
    </row>
    <row r="868" spans="1:30" ht="14.25" customHeight="1" x14ac:dyDescent="0.25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99"/>
      <c r="AB868" s="99"/>
      <c r="AC868" s="99"/>
      <c r="AD868" s="99"/>
    </row>
    <row r="869" spans="1:30" ht="14.25" customHeight="1" x14ac:dyDescent="0.25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  <c r="AA869" s="99"/>
      <c r="AB869" s="99"/>
      <c r="AC869" s="99"/>
      <c r="AD869" s="99"/>
    </row>
    <row r="870" spans="1:30" ht="14.25" customHeight="1" x14ac:dyDescent="0.25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  <c r="AA870" s="99"/>
      <c r="AB870" s="99"/>
      <c r="AC870" s="99"/>
      <c r="AD870" s="99"/>
    </row>
    <row r="871" spans="1:30" ht="14.25" customHeight="1" x14ac:dyDescent="0.25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  <c r="AA871" s="99"/>
      <c r="AB871" s="99"/>
      <c r="AC871" s="99"/>
      <c r="AD871" s="99"/>
    </row>
    <row r="872" spans="1:30" ht="14.25" customHeight="1" x14ac:dyDescent="0.25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  <c r="AA872" s="99"/>
      <c r="AB872" s="99"/>
      <c r="AC872" s="99"/>
      <c r="AD872" s="99"/>
    </row>
    <row r="873" spans="1:30" ht="14.25" customHeight="1" x14ac:dyDescent="0.25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  <c r="AA873" s="99"/>
      <c r="AB873" s="99"/>
      <c r="AC873" s="99"/>
      <c r="AD873" s="99"/>
    </row>
    <row r="874" spans="1:30" ht="14.25" customHeight="1" x14ac:dyDescent="0.25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99"/>
      <c r="AB874" s="99"/>
      <c r="AC874" s="99"/>
      <c r="AD874" s="99"/>
    </row>
    <row r="875" spans="1:30" ht="14.25" customHeight="1" x14ac:dyDescent="0.25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  <c r="AA875" s="99"/>
      <c r="AB875" s="99"/>
      <c r="AC875" s="99"/>
      <c r="AD875" s="99"/>
    </row>
    <row r="876" spans="1:30" ht="14.25" customHeight="1" x14ac:dyDescent="0.25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  <c r="AA876" s="99"/>
      <c r="AB876" s="99"/>
      <c r="AC876" s="99"/>
      <c r="AD876" s="99"/>
    </row>
    <row r="877" spans="1:30" ht="14.25" customHeight="1" x14ac:dyDescent="0.25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  <c r="AA877" s="99"/>
      <c r="AB877" s="99"/>
      <c r="AC877" s="99"/>
      <c r="AD877" s="99"/>
    </row>
    <row r="878" spans="1:30" ht="14.25" customHeight="1" x14ac:dyDescent="0.25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  <c r="AA878" s="99"/>
      <c r="AB878" s="99"/>
      <c r="AC878" s="99"/>
      <c r="AD878" s="99"/>
    </row>
    <row r="879" spans="1:30" ht="14.25" customHeight="1" x14ac:dyDescent="0.25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  <c r="AA879" s="99"/>
      <c r="AB879" s="99"/>
      <c r="AC879" s="99"/>
      <c r="AD879" s="99"/>
    </row>
    <row r="880" spans="1:30" ht="14.25" customHeight="1" x14ac:dyDescent="0.25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  <c r="AA880" s="99"/>
      <c r="AB880" s="99"/>
      <c r="AC880" s="99"/>
      <c r="AD880" s="99"/>
    </row>
    <row r="881" spans="1:30" ht="14.25" customHeight="1" x14ac:dyDescent="0.25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  <c r="AA881" s="99"/>
      <c r="AB881" s="99"/>
      <c r="AC881" s="99"/>
      <c r="AD881" s="99"/>
    </row>
    <row r="882" spans="1:30" ht="14.25" customHeight="1" x14ac:dyDescent="0.25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  <c r="AA882" s="99"/>
      <c r="AB882" s="99"/>
      <c r="AC882" s="99"/>
      <c r="AD882" s="99"/>
    </row>
    <row r="883" spans="1:30" ht="14.25" customHeight="1" x14ac:dyDescent="0.25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  <c r="AA883" s="99"/>
      <c r="AB883" s="99"/>
      <c r="AC883" s="99"/>
      <c r="AD883" s="99"/>
    </row>
    <row r="884" spans="1:30" ht="14.25" customHeight="1" x14ac:dyDescent="0.25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  <c r="AA884" s="99"/>
      <c r="AB884" s="99"/>
      <c r="AC884" s="99"/>
      <c r="AD884" s="99"/>
    </row>
    <row r="885" spans="1:30" ht="14.25" customHeight="1" x14ac:dyDescent="0.25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  <c r="AA885" s="99"/>
      <c r="AB885" s="99"/>
      <c r="AC885" s="99"/>
      <c r="AD885" s="99"/>
    </row>
    <row r="886" spans="1:30" ht="14.25" customHeight="1" x14ac:dyDescent="0.25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  <c r="AA886" s="99"/>
      <c r="AB886" s="99"/>
      <c r="AC886" s="99"/>
      <c r="AD886" s="99"/>
    </row>
    <row r="887" spans="1:30" ht="14.25" customHeight="1" x14ac:dyDescent="0.25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  <c r="AA887" s="99"/>
      <c r="AB887" s="99"/>
      <c r="AC887" s="99"/>
      <c r="AD887" s="99"/>
    </row>
    <row r="888" spans="1:30" ht="14.25" customHeight="1" x14ac:dyDescent="0.25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  <c r="AA888" s="99"/>
      <c r="AB888" s="99"/>
      <c r="AC888" s="99"/>
      <c r="AD888" s="99"/>
    </row>
    <row r="889" spans="1:30" ht="14.25" customHeight="1" x14ac:dyDescent="0.25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  <c r="AA889" s="99"/>
      <c r="AB889" s="99"/>
      <c r="AC889" s="99"/>
      <c r="AD889" s="99"/>
    </row>
    <row r="890" spans="1:30" ht="14.25" customHeight="1" x14ac:dyDescent="0.25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  <c r="AA890" s="99"/>
      <c r="AB890" s="99"/>
      <c r="AC890" s="99"/>
      <c r="AD890" s="99"/>
    </row>
    <row r="891" spans="1:30" ht="14.25" customHeight="1" x14ac:dyDescent="0.25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  <c r="AA891" s="99"/>
      <c r="AB891" s="99"/>
      <c r="AC891" s="99"/>
      <c r="AD891" s="99"/>
    </row>
    <row r="892" spans="1:30" ht="14.25" customHeight="1" x14ac:dyDescent="0.25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  <c r="AA892" s="99"/>
      <c r="AB892" s="99"/>
      <c r="AC892" s="99"/>
      <c r="AD892" s="99"/>
    </row>
    <row r="893" spans="1:30" ht="14.25" customHeight="1" x14ac:dyDescent="0.25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  <c r="AA893" s="99"/>
      <c r="AB893" s="99"/>
      <c r="AC893" s="99"/>
      <c r="AD893" s="99"/>
    </row>
    <row r="894" spans="1:30" ht="14.25" customHeight="1" x14ac:dyDescent="0.25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  <c r="AA894" s="99"/>
      <c r="AB894" s="99"/>
      <c r="AC894" s="99"/>
      <c r="AD894" s="99"/>
    </row>
    <row r="895" spans="1:30" ht="14.25" customHeight="1" x14ac:dyDescent="0.25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  <c r="AA895" s="99"/>
      <c r="AB895" s="99"/>
      <c r="AC895" s="99"/>
      <c r="AD895" s="99"/>
    </row>
    <row r="896" spans="1:30" ht="14.25" customHeight="1" x14ac:dyDescent="0.25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  <c r="AB896" s="99"/>
      <c r="AC896" s="99"/>
      <c r="AD896" s="99"/>
    </row>
    <row r="897" spans="1:30" ht="14.25" customHeight="1" x14ac:dyDescent="0.25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  <c r="AA897" s="99"/>
      <c r="AB897" s="99"/>
      <c r="AC897" s="99"/>
      <c r="AD897" s="99"/>
    </row>
    <row r="898" spans="1:30" ht="14.25" customHeight="1" x14ac:dyDescent="0.25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  <c r="AA898" s="99"/>
      <c r="AB898" s="99"/>
      <c r="AC898" s="99"/>
      <c r="AD898" s="99"/>
    </row>
    <row r="899" spans="1:30" ht="14.25" customHeight="1" x14ac:dyDescent="0.25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  <c r="AA899" s="99"/>
      <c r="AB899" s="99"/>
      <c r="AC899" s="99"/>
      <c r="AD899" s="99"/>
    </row>
    <row r="900" spans="1:30" ht="14.25" customHeight="1" x14ac:dyDescent="0.25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  <c r="AA900" s="99"/>
      <c r="AB900" s="99"/>
      <c r="AC900" s="99"/>
      <c r="AD900" s="99"/>
    </row>
    <row r="901" spans="1:30" ht="14.25" customHeight="1" x14ac:dyDescent="0.25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  <c r="AA901" s="99"/>
      <c r="AB901" s="99"/>
      <c r="AC901" s="99"/>
      <c r="AD901" s="99"/>
    </row>
    <row r="902" spans="1:30" ht="14.25" customHeight="1" x14ac:dyDescent="0.25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  <c r="AA902" s="99"/>
      <c r="AB902" s="99"/>
      <c r="AC902" s="99"/>
      <c r="AD902" s="99"/>
    </row>
    <row r="903" spans="1:30" ht="14.25" customHeight="1" x14ac:dyDescent="0.25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  <c r="AB903" s="99"/>
      <c r="AC903" s="99"/>
      <c r="AD903" s="99"/>
    </row>
    <row r="904" spans="1:30" ht="14.25" customHeight="1" x14ac:dyDescent="0.25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  <c r="AA904" s="99"/>
      <c r="AB904" s="99"/>
      <c r="AC904" s="99"/>
      <c r="AD904" s="99"/>
    </row>
    <row r="905" spans="1:30" ht="14.25" customHeight="1" x14ac:dyDescent="0.25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  <c r="AA905" s="99"/>
      <c r="AB905" s="99"/>
      <c r="AC905" s="99"/>
      <c r="AD905" s="99"/>
    </row>
    <row r="906" spans="1:30" ht="14.25" customHeight="1" x14ac:dyDescent="0.25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  <c r="AA906" s="99"/>
      <c r="AB906" s="99"/>
      <c r="AC906" s="99"/>
      <c r="AD906" s="99"/>
    </row>
    <row r="907" spans="1:30" ht="14.25" customHeight="1" x14ac:dyDescent="0.25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  <c r="AA907" s="99"/>
      <c r="AB907" s="99"/>
      <c r="AC907" s="99"/>
      <c r="AD907" s="99"/>
    </row>
    <row r="908" spans="1:30" ht="14.25" customHeight="1" x14ac:dyDescent="0.25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  <c r="AA908" s="99"/>
      <c r="AB908" s="99"/>
      <c r="AC908" s="99"/>
      <c r="AD908" s="99"/>
    </row>
    <row r="909" spans="1:30" ht="14.25" customHeight="1" x14ac:dyDescent="0.25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  <c r="AA909" s="99"/>
      <c r="AB909" s="99"/>
      <c r="AC909" s="99"/>
      <c r="AD909" s="99"/>
    </row>
    <row r="910" spans="1:30" ht="14.25" customHeight="1" x14ac:dyDescent="0.25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  <c r="AA910" s="99"/>
      <c r="AB910" s="99"/>
      <c r="AC910" s="99"/>
      <c r="AD910" s="99"/>
    </row>
    <row r="911" spans="1:30" ht="14.25" customHeight="1" x14ac:dyDescent="0.25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  <c r="AA911" s="99"/>
      <c r="AB911" s="99"/>
      <c r="AC911" s="99"/>
      <c r="AD911" s="99"/>
    </row>
    <row r="912" spans="1:30" ht="14.25" customHeight="1" x14ac:dyDescent="0.25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  <c r="AA912" s="99"/>
      <c r="AB912" s="99"/>
      <c r="AC912" s="99"/>
      <c r="AD912" s="99"/>
    </row>
    <row r="913" spans="1:30" ht="14.25" customHeight="1" x14ac:dyDescent="0.25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  <c r="AA913" s="99"/>
      <c r="AB913" s="99"/>
      <c r="AC913" s="99"/>
      <c r="AD913" s="99"/>
    </row>
    <row r="914" spans="1:30" ht="14.25" customHeight="1" x14ac:dyDescent="0.25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  <c r="AA914" s="99"/>
      <c r="AB914" s="99"/>
      <c r="AC914" s="99"/>
      <c r="AD914" s="99"/>
    </row>
    <row r="915" spans="1:30" ht="14.25" customHeight="1" x14ac:dyDescent="0.25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  <c r="AA915" s="99"/>
      <c r="AB915" s="99"/>
      <c r="AC915" s="99"/>
      <c r="AD915" s="99"/>
    </row>
    <row r="916" spans="1:30" ht="14.25" customHeight="1" x14ac:dyDescent="0.25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  <c r="AA916" s="99"/>
      <c r="AB916" s="99"/>
      <c r="AC916" s="99"/>
      <c r="AD916" s="99"/>
    </row>
    <row r="917" spans="1:30" ht="14.25" customHeight="1" x14ac:dyDescent="0.25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  <c r="AA917" s="99"/>
      <c r="AB917" s="99"/>
      <c r="AC917" s="99"/>
      <c r="AD917" s="99"/>
    </row>
    <row r="918" spans="1:30" ht="14.25" customHeight="1" x14ac:dyDescent="0.25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  <c r="AA918" s="99"/>
      <c r="AB918" s="99"/>
      <c r="AC918" s="99"/>
      <c r="AD918" s="99"/>
    </row>
    <row r="919" spans="1:30" ht="14.25" customHeight="1" x14ac:dyDescent="0.25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  <c r="AA919" s="99"/>
      <c r="AB919" s="99"/>
      <c r="AC919" s="99"/>
      <c r="AD919" s="99"/>
    </row>
    <row r="920" spans="1:30" ht="14.25" customHeight="1" x14ac:dyDescent="0.25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  <c r="AA920" s="99"/>
      <c r="AB920" s="99"/>
      <c r="AC920" s="99"/>
      <c r="AD920" s="99"/>
    </row>
    <row r="921" spans="1:30" ht="14.25" customHeight="1" x14ac:dyDescent="0.25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  <c r="AA921" s="99"/>
      <c r="AB921" s="99"/>
      <c r="AC921" s="99"/>
      <c r="AD921" s="99"/>
    </row>
    <row r="922" spans="1:30" ht="14.25" customHeight="1" x14ac:dyDescent="0.25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  <c r="AA922" s="99"/>
      <c r="AB922" s="99"/>
      <c r="AC922" s="99"/>
      <c r="AD922" s="99"/>
    </row>
    <row r="923" spans="1:30" ht="14.25" customHeight="1" x14ac:dyDescent="0.25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  <c r="AA923" s="99"/>
      <c r="AB923" s="99"/>
      <c r="AC923" s="99"/>
      <c r="AD923" s="99"/>
    </row>
    <row r="924" spans="1:30" ht="14.25" customHeight="1" x14ac:dyDescent="0.25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  <c r="AA924" s="99"/>
      <c r="AB924" s="99"/>
      <c r="AC924" s="99"/>
      <c r="AD924" s="99"/>
    </row>
    <row r="925" spans="1:30" ht="14.25" customHeight="1" x14ac:dyDescent="0.25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  <c r="AA925" s="99"/>
      <c r="AB925" s="99"/>
      <c r="AC925" s="99"/>
      <c r="AD925" s="99"/>
    </row>
    <row r="926" spans="1:30" ht="14.25" customHeight="1" x14ac:dyDescent="0.25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  <c r="AA926" s="99"/>
      <c r="AB926" s="99"/>
      <c r="AC926" s="99"/>
      <c r="AD926" s="99"/>
    </row>
    <row r="927" spans="1:30" ht="14.25" customHeight="1" x14ac:dyDescent="0.25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  <c r="AA927" s="99"/>
      <c r="AB927" s="99"/>
      <c r="AC927" s="99"/>
      <c r="AD927" s="99"/>
    </row>
    <row r="928" spans="1:30" ht="14.25" customHeight="1" x14ac:dyDescent="0.25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  <c r="AA928" s="99"/>
      <c r="AB928" s="99"/>
      <c r="AC928" s="99"/>
      <c r="AD928" s="99"/>
    </row>
    <row r="929" spans="1:30" ht="14.25" customHeight="1" x14ac:dyDescent="0.25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  <c r="AA929" s="99"/>
      <c r="AB929" s="99"/>
      <c r="AC929" s="99"/>
      <c r="AD929" s="99"/>
    </row>
    <row r="930" spans="1:30" ht="14.25" customHeight="1" x14ac:dyDescent="0.25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  <c r="AA930" s="99"/>
      <c r="AB930" s="99"/>
      <c r="AC930" s="99"/>
      <c r="AD930" s="99"/>
    </row>
    <row r="931" spans="1:30" ht="14.25" customHeight="1" x14ac:dyDescent="0.25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  <c r="AA931" s="99"/>
      <c r="AB931" s="99"/>
      <c r="AC931" s="99"/>
      <c r="AD931" s="99"/>
    </row>
    <row r="932" spans="1:30" ht="14.25" customHeight="1" x14ac:dyDescent="0.25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  <c r="AA932" s="99"/>
      <c r="AB932" s="99"/>
      <c r="AC932" s="99"/>
      <c r="AD932" s="99"/>
    </row>
    <row r="933" spans="1:30" ht="14.25" customHeight="1" x14ac:dyDescent="0.25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  <c r="AA933" s="99"/>
      <c r="AB933" s="99"/>
      <c r="AC933" s="99"/>
      <c r="AD933" s="99"/>
    </row>
    <row r="934" spans="1:30" ht="14.25" customHeight="1" x14ac:dyDescent="0.25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  <c r="AA934" s="99"/>
      <c r="AB934" s="99"/>
      <c r="AC934" s="99"/>
      <c r="AD934" s="99"/>
    </row>
    <row r="935" spans="1:30" ht="14.25" customHeight="1" x14ac:dyDescent="0.25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  <c r="AA935" s="99"/>
      <c r="AB935" s="99"/>
      <c r="AC935" s="99"/>
      <c r="AD935" s="99"/>
    </row>
    <row r="936" spans="1:30" ht="14.25" customHeight="1" x14ac:dyDescent="0.25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  <c r="AA936" s="99"/>
      <c r="AB936" s="99"/>
      <c r="AC936" s="99"/>
      <c r="AD936" s="99"/>
    </row>
    <row r="937" spans="1:30" ht="14.25" customHeight="1" x14ac:dyDescent="0.25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  <c r="AA937" s="99"/>
      <c r="AB937" s="99"/>
      <c r="AC937" s="99"/>
      <c r="AD937" s="99"/>
    </row>
    <row r="938" spans="1:30" ht="14.25" customHeight="1" x14ac:dyDescent="0.25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  <c r="AA938" s="99"/>
      <c r="AB938" s="99"/>
      <c r="AC938" s="99"/>
      <c r="AD938" s="99"/>
    </row>
    <row r="939" spans="1:30" ht="14.25" customHeight="1" x14ac:dyDescent="0.25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  <c r="AA939" s="99"/>
      <c r="AB939" s="99"/>
      <c r="AC939" s="99"/>
      <c r="AD939" s="99"/>
    </row>
    <row r="940" spans="1:30" ht="14.25" customHeight="1" x14ac:dyDescent="0.25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  <c r="AA940" s="99"/>
      <c r="AB940" s="99"/>
      <c r="AC940" s="99"/>
      <c r="AD940" s="99"/>
    </row>
    <row r="941" spans="1:30" ht="14.25" customHeight="1" x14ac:dyDescent="0.25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  <c r="AA941" s="99"/>
      <c r="AB941" s="99"/>
      <c r="AC941" s="99"/>
      <c r="AD941" s="99"/>
    </row>
    <row r="942" spans="1:30" ht="14.25" customHeight="1" x14ac:dyDescent="0.25">
      <c r="A942" s="92"/>
      <c r="B942" s="92"/>
      <c r="C942" s="92"/>
      <c r="D942" s="92"/>
      <c r="E942" s="92"/>
      <c r="F942" s="102"/>
      <c r="G942" s="102"/>
      <c r="H942" s="92"/>
      <c r="I942" s="92"/>
      <c r="J942" s="92"/>
      <c r="K942" s="92"/>
      <c r="L942" s="92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  <c r="AA942" s="99"/>
      <c r="AB942" s="99"/>
      <c r="AC942" s="99"/>
      <c r="AD942" s="99"/>
    </row>
    <row r="943" spans="1:30" ht="14.25" customHeight="1" x14ac:dyDescent="0.25">
      <c r="A943" s="92"/>
      <c r="B943" s="92"/>
      <c r="C943" s="92"/>
      <c r="D943" s="92"/>
      <c r="E943" s="92"/>
      <c r="F943" s="102"/>
      <c r="G943" s="102"/>
      <c r="H943" s="92"/>
      <c r="I943" s="92"/>
      <c r="J943" s="92"/>
      <c r="K943" s="92"/>
      <c r="L943" s="92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  <c r="AA943" s="99"/>
      <c r="AB943" s="99"/>
      <c r="AC943" s="99"/>
      <c r="AD943" s="99"/>
    </row>
    <row r="944" spans="1:30" ht="14.25" customHeight="1" x14ac:dyDescent="0.25">
      <c r="A944" s="92"/>
      <c r="B944" s="92"/>
      <c r="C944" s="92"/>
      <c r="D944" s="92"/>
      <c r="E944" s="92"/>
      <c r="F944" s="102"/>
      <c r="G944" s="102"/>
      <c r="H944" s="92"/>
      <c r="I944" s="92"/>
      <c r="J944" s="92"/>
      <c r="K944" s="92"/>
      <c r="L944" s="92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  <c r="AA944" s="99"/>
      <c r="AB944" s="99"/>
      <c r="AC944" s="99"/>
      <c r="AD944" s="99"/>
    </row>
    <row r="945" spans="1:30" ht="14.25" customHeight="1" x14ac:dyDescent="0.25">
      <c r="A945" s="92"/>
      <c r="B945" s="92"/>
      <c r="C945" s="92"/>
      <c r="D945" s="92"/>
      <c r="E945" s="92"/>
      <c r="F945" s="102"/>
      <c r="G945" s="102"/>
      <c r="H945" s="92"/>
      <c r="I945" s="92"/>
      <c r="J945" s="92"/>
      <c r="K945" s="92"/>
      <c r="L945" s="92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  <c r="AA945" s="99"/>
      <c r="AB945" s="99"/>
      <c r="AC945" s="99"/>
      <c r="AD945" s="99"/>
    </row>
    <row r="946" spans="1:30" ht="14.25" customHeight="1" x14ac:dyDescent="0.25">
      <c r="A946" s="92"/>
      <c r="B946" s="92"/>
      <c r="C946" s="92"/>
      <c r="D946" s="92"/>
      <c r="E946" s="92"/>
      <c r="F946" s="102"/>
      <c r="G946" s="102"/>
      <c r="H946" s="92"/>
      <c r="I946" s="92"/>
      <c r="J946" s="92"/>
      <c r="K946" s="92"/>
      <c r="L946" s="92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  <c r="AA946" s="99"/>
      <c r="AB946" s="99"/>
      <c r="AC946" s="99"/>
      <c r="AD946" s="99"/>
    </row>
    <row r="947" spans="1:30" ht="14.25" customHeight="1" x14ac:dyDescent="0.25">
      <c r="A947" s="92"/>
      <c r="B947" s="92"/>
      <c r="C947" s="92"/>
      <c r="D947" s="92"/>
      <c r="E947" s="92"/>
      <c r="F947" s="102"/>
      <c r="G947" s="102"/>
      <c r="H947" s="92"/>
      <c r="I947" s="92"/>
      <c r="J947" s="92"/>
      <c r="K947" s="92"/>
      <c r="L947" s="92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  <c r="AA947" s="99"/>
      <c r="AB947" s="99"/>
      <c r="AC947" s="99"/>
      <c r="AD947" s="99"/>
    </row>
    <row r="948" spans="1:30" ht="14.25" customHeight="1" x14ac:dyDescent="0.25">
      <c r="A948" s="92"/>
      <c r="B948" s="92"/>
      <c r="C948" s="92"/>
      <c r="D948" s="92"/>
      <c r="E948" s="92"/>
      <c r="F948" s="102"/>
      <c r="G948" s="102"/>
      <c r="H948" s="92"/>
      <c r="I948" s="92"/>
      <c r="J948" s="92"/>
      <c r="K948" s="92"/>
      <c r="L948" s="92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  <c r="AA948" s="99"/>
      <c r="AB948" s="99"/>
      <c r="AC948" s="99"/>
      <c r="AD948" s="99"/>
    </row>
    <row r="949" spans="1:30" ht="14.25" customHeight="1" x14ac:dyDescent="0.25">
      <c r="A949" s="92"/>
      <c r="B949" s="92"/>
      <c r="C949" s="92"/>
      <c r="D949" s="92"/>
      <c r="E949" s="92"/>
      <c r="F949" s="102"/>
      <c r="G949" s="102"/>
      <c r="H949" s="92"/>
      <c r="I949" s="92"/>
      <c r="J949" s="92"/>
      <c r="K949" s="92"/>
      <c r="L949" s="92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  <c r="AA949" s="99"/>
      <c r="AB949" s="99"/>
      <c r="AC949" s="99"/>
      <c r="AD949" s="99"/>
    </row>
    <row r="950" spans="1:30" ht="14.25" customHeight="1" x14ac:dyDescent="0.25">
      <c r="A950" s="92"/>
      <c r="B950" s="92"/>
      <c r="C950" s="92"/>
      <c r="D950" s="92"/>
      <c r="E950" s="92"/>
      <c r="F950" s="102"/>
      <c r="G950" s="102"/>
      <c r="H950" s="92"/>
      <c r="I950" s="92"/>
      <c r="J950" s="92"/>
      <c r="K950" s="92"/>
      <c r="L950" s="92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  <c r="AA950" s="99"/>
      <c r="AB950" s="99"/>
      <c r="AC950" s="99"/>
      <c r="AD950" s="99"/>
    </row>
    <row r="951" spans="1:30" ht="14.25" customHeight="1" x14ac:dyDescent="0.25">
      <c r="A951" s="92"/>
      <c r="B951" s="92"/>
      <c r="C951" s="92"/>
      <c r="D951" s="92"/>
      <c r="E951" s="92"/>
      <c r="F951" s="102"/>
      <c r="G951" s="102"/>
      <c r="H951" s="92"/>
      <c r="I951" s="92"/>
      <c r="J951" s="92"/>
      <c r="K951" s="92"/>
      <c r="L951" s="92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  <c r="AA951" s="99"/>
      <c r="AB951" s="99"/>
      <c r="AC951" s="99"/>
      <c r="AD951" s="99"/>
    </row>
    <row r="952" spans="1:30" ht="14.25" customHeight="1" x14ac:dyDescent="0.25">
      <c r="A952" s="92"/>
      <c r="B952" s="92"/>
      <c r="C952" s="92"/>
      <c r="D952" s="92"/>
      <c r="E952" s="92"/>
      <c r="F952" s="102"/>
      <c r="G952" s="102"/>
      <c r="H952" s="92"/>
      <c r="I952" s="92"/>
      <c r="J952" s="92"/>
      <c r="K952" s="92"/>
      <c r="L952" s="92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  <c r="AA952" s="99"/>
      <c r="AB952" s="99"/>
      <c r="AC952" s="99"/>
      <c r="AD952" s="99"/>
    </row>
    <row r="953" spans="1:30" ht="14.25" customHeight="1" x14ac:dyDescent="0.25">
      <c r="A953" s="92"/>
      <c r="B953" s="92"/>
      <c r="C953" s="92"/>
      <c r="D953" s="92"/>
      <c r="E953" s="92"/>
      <c r="F953" s="102"/>
      <c r="G953" s="102"/>
      <c r="H953" s="92"/>
      <c r="I953" s="92"/>
      <c r="J953" s="92"/>
      <c r="K953" s="92"/>
      <c r="L953" s="92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  <c r="AA953" s="99"/>
      <c r="AB953" s="99"/>
      <c r="AC953" s="99"/>
      <c r="AD953" s="99"/>
    </row>
    <row r="954" spans="1:30" ht="14.25" customHeight="1" x14ac:dyDescent="0.25">
      <c r="A954" s="92"/>
      <c r="B954" s="92"/>
      <c r="C954" s="92"/>
      <c r="D954" s="92"/>
      <c r="E954" s="92"/>
      <c r="F954" s="102"/>
      <c r="G954" s="102"/>
      <c r="H954" s="92"/>
      <c r="I954" s="92"/>
      <c r="J954" s="92"/>
      <c r="K954" s="92"/>
      <c r="L954" s="92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  <c r="AA954" s="99"/>
      <c r="AB954" s="99"/>
      <c r="AC954" s="99"/>
      <c r="AD954" s="99"/>
    </row>
    <row r="955" spans="1:30" ht="14.25" customHeight="1" x14ac:dyDescent="0.25">
      <c r="A955" s="92"/>
      <c r="B955" s="92"/>
      <c r="C955" s="102"/>
      <c r="D955" s="102"/>
      <c r="E955" s="102"/>
      <c r="F955" s="102"/>
      <c r="G955" s="102"/>
      <c r="H955" s="92"/>
      <c r="I955" s="92"/>
      <c r="J955" s="92"/>
      <c r="K955" s="92"/>
      <c r="L955" s="92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  <c r="AA955" s="99"/>
      <c r="AB955" s="99"/>
      <c r="AC955" s="99"/>
      <c r="AD955" s="99"/>
    </row>
    <row r="956" spans="1:30" ht="14.25" customHeight="1" x14ac:dyDescent="0.25">
      <c r="A956" s="92"/>
      <c r="B956" s="92"/>
      <c r="C956" s="102"/>
      <c r="D956" s="102"/>
      <c r="E956" s="102"/>
      <c r="F956" s="102"/>
      <c r="G956" s="102"/>
      <c r="H956" s="92"/>
      <c r="I956" s="92"/>
      <c r="J956" s="92"/>
      <c r="K956" s="92"/>
      <c r="L956" s="92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  <c r="AA956" s="99"/>
      <c r="AB956" s="99"/>
      <c r="AC956" s="99"/>
      <c r="AD956" s="99"/>
    </row>
    <row r="957" spans="1:30" ht="14.25" customHeight="1" x14ac:dyDescent="0.25">
      <c r="A957" s="92"/>
      <c r="B957" s="92"/>
      <c r="C957" s="102"/>
      <c r="D957" s="102"/>
      <c r="E957" s="102"/>
      <c r="F957" s="102"/>
      <c r="G957" s="102"/>
      <c r="H957" s="92"/>
      <c r="I957" s="92"/>
      <c r="J957" s="92"/>
      <c r="K957" s="92"/>
      <c r="L957" s="92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  <c r="AA957" s="99"/>
      <c r="AB957" s="99"/>
      <c r="AC957" s="99"/>
      <c r="AD957" s="99"/>
    </row>
    <row r="958" spans="1:30" ht="14.25" customHeight="1" x14ac:dyDescent="0.25">
      <c r="A958" s="92"/>
      <c r="B958" s="92"/>
      <c r="C958" s="102"/>
      <c r="D958" s="102"/>
      <c r="E958" s="102"/>
      <c r="F958" s="102"/>
      <c r="G958" s="102"/>
      <c r="H958" s="92"/>
      <c r="I958" s="92"/>
      <c r="J958" s="92"/>
      <c r="K958" s="92"/>
      <c r="L958" s="92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  <c r="AA958" s="99"/>
      <c r="AB958" s="99"/>
      <c r="AC958" s="99"/>
      <c r="AD958" s="99"/>
    </row>
    <row r="959" spans="1:30" ht="14.25" customHeight="1" x14ac:dyDescent="0.25">
      <c r="A959" s="92"/>
      <c r="B959" s="92"/>
      <c r="C959" s="102"/>
      <c r="D959" s="102"/>
      <c r="E959" s="102"/>
      <c r="F959" s="102"/>
      <c r="G959" s="102"/>
      <c r="H959" s="92"/>
      <c r="I959" s="102"/>
      <c r="J959" s="102"/>
      <c r="K959" s="92"/>
      <c r="L959" s="92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  <c r="AA959" s="99"/>
      <c r="AB959" s="99"/>
      <c r="AC959" s="99"/>
      <c r="AD959" s="99"/>
    </row>
    <row r="960" spans="1:30" ht="14.25" customHeight="1" x14ac:dyDescent="0.25">
      <c r="A960" s="92"/>
      <c r="B960" s="92"/>
      <c r="C960" s="102"/>
      <c r="D960" s="102"/>
      <c r="E960" s="102"/>
      <c r="F960" s="102"/>
      <c r="G960" s="102"/>
      <c r="H960" s="92"/>
      <c r="I960" s="102"/>
      <c r="J960" s="102"/>
      <c r="K960" s="92"/>
      <c r="L960" s="92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  <c r="AA960" s="99"/>
      <c r="AB960" s="99"/>
      <c r="AC960" s="99"/>
      <c r="AD960" s="99"/>
    </row>
    <row r="961" spans="1:30" ht="14.25" customHeight="1" x14ac:dyDescent="0.25">
      <c r="A961" s="92"/>
      <c r="B961" s="92"/>
      <c r="C961" s="102"/>
      <c r="D961" s="102"/>
      <c r="E961" s="102"/>
      <c r="F961" s="102"/>
      <c r="G961" s="102"/>
      <c r="H961" s="92"/>
      <c r="I961" s="102"/>
      <c r="J961" s="102"/>
      <c r="K961" s="92"/>
      <c r="L961" s="92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  <c r="AA961" s="99"/>
      <c r="AB961" s="99"/>
      <c r="AC961" s="99"/>
      <c r="AD961" s="99"/>
    </row>
    <row r="962" spans="1:30" ht="14.25" customHeight="1" x14ac:dyDescent="0.25">
      <c r="A962" s="92"/>
      <c r="B962" s="92"/>
      <c r="C962" s="102"/>
      <c r="D962" s="102"/>
      <c r="E962" s="102"/>
      <c r="F962" s="102"/>
      <c r="G962" s="102"/>
      <c r="H962" s="92"/>
      <c r="I962" s="102"/>
      <c r="J962" s="102"/>
      <c r="K962" s="92"/>
      <c r="L962" s="92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  <c r="AA962" s="99"/>
      <c r="AB962" s="99"/>
      <c r="AC962" s="99"/>
      <c r="AD962" s="99"/>
    </row>
    <row r="963" spans="1:30" ht="14.25" customHeight="1" x14ac:dyDescent="0.25">
      <c r="A963" s="92"/>
      <c r="B963" s="92"/>
      <c r="C963" s="102"/>
      <c r="D963" s="102"/>
      <c r="E963" s="102"/>
      <c r="F963" s="102"/>
      <c r="G963" s="102"/>
      <c r="H963" s="92"/>
      <c r="I963" s="102"/>
      <c r="J963" s="102"/>
      <c r="K963" s="92"/>
      <c r="L963" s="92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  <c r="AA963" s="99"/>
      <c r="AB963" s="99"/>
      <c r="AC963" s="99"/>
      <c r="AD963" s="99"/>
    </row>
    <row r="964" spans="1:30" ht="14.25" customHeight="1" x14ac:dyDescent="0.25">
      <c r="A964" s="92"/>
      <c r="B964" s="92"/>
      <c r="C964" s="102"/>
      <c r="D964" s="102"/>
      <c r="E964" s="102"/>
      <c r="F964" s="102"/>
      <c r="G964" s="102"/>
      <c r="H964" s="92"/>
      <c r="I964" s="102"/>
      <c r="J964" s="102"/>
      <c r="K964" s="92"/>
      <c r="L964" s="92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  <c r="AA964" s="99"/>
      <c r="AB964" s="99"/>
      <c r="AC964" s="99"/>
      <c r="AD964" s="99"/>
    </row>
    <row r="965" spans="1:30" ht="14.25" customHeight="1" x14ac:dyDescent="0.25">
      <c r="A965" s="92"/>
      <c r="B965" s="92"/>
      <c r="C965" s="102"/>
      <c r="D965" s="102"/>
      <c r="E965" s="102"/>
      <c r="F965" s="102"/>
      <c r="G965" s="102"/>
      <c r="H965" s="92"/>
      <c r="I965" s="102"/>
      <c r="J965" s="102"/>
      <c r="K965" s="92"/>
      <c r="L965" s="92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  <c r="AA965" s="99"/>
      <c r="AB965" s="99"/>
      <c r="AC965" s="99"/>
      <c r="AD965" s="99"/>
    </row>
    <row r="966" spans="1:30" ht="14.25" customHeight="1" x14ac:dyDescent="0.25">
      <c r="A966" s="92"/>
      <c r="B966" s="92"/>
      <c r="C966" s="102"/>
      <c r="D966" s="102"/>
      <c r="E966" s="102"/>
      <c r="F966" s="102"/>
      <c r="G966" s="102"/>
      <c r="H966" s="92"/>
      <c r="I966" s="102"/>
      <c r="J966" s="102"/>
      <c r="K966" s="92"/>
      <c r="L966" s="92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  <c r="AA966" s="99"/>
      <c r="AB966" s="99"/>
      <c r="AC966" s="99"/>
      <c r="AD966" s="99"/>
    </row>
    <row r="967" spans="1:30" ht="14.25" customHeight="1" x14ac:dyDescent="0.25">
      <c r="A967" s="92"/>
      <c r="B967" s="92"/>
      <c r="C967" s="102"/>
      <c r="D967" s="102"/>
      <c r="E967" s="102"/>
      <c r="F967" s="102"/>
      <c r="G967" s="102"/>
      <c r="H967" s="92"/>
      <c r="I967" s="102"/>
      <c r="J967" s="102"/>
      <c r="K967" s="92"/>
      <c r="L967" s="92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  <c r="AA967" s="99"/>
      <c r="AB967" s="99"/>
      <c r="AC967" s="99"/>
      <c r="AD967" s="99"/>
    </row>
    <row r="968" spans="1:30" ht="14.25" customHeight="1" x14ac:dyDescent="0.25">
      <c r="A968" s="92"/>
      <c r="B968" s="92"/>
      <c r="C968" s="102"/>
      <c r="D968" s="102"/>
      <c r="E968" s="102"/>
      <c r="F968" s="102"/>
      <c r="G968" s="102"/>
      <c r="H968" s="92"/>
      <c r="I968" s="102"/>
      <c r="J968" s="102"/>
      <c r="K968" s="92"/>
      <c r="L968" s="92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  <c r="AA968" s="99"/>
      <c r="AB968" s="99"/>
      <c r="AC968" s="99"/>
      <c r="AD968" s="99"/>
    </row>
    <row r="969" spans="1:30" ht="14.25" customHeight="1" x14ac:dyDescent="0.25">
      <c r="A969" s="92"/>
      <c r="B969" s="92"/>
      <c r="H969" s="92"/>
      <c r="I969" s="102"/>
      <c r="J969" s="102"/>
      <c r="K969" s="92"/>
      <c r="L969" s="92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  <c r="AA969" s="99"/>
      <c r="AB969" s="99"/>
      <c r="AC969" s="99"/>
      <c r="AD969" s="99"/>
    </row>
    <row r="970" spans="1:30" ht="14.25" customHeight="1" x14ac:dyDescent="0.25">
      <c r="A970" s="92"/>
      <c r="B970" s="92"/>
      <c r="H970" s="102"/>
      <c r="I970" s="102"/>
      <c r="J970" s="102"/>
      <c r="K970" s="92"/>
      <c r="L970" s="92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  <c r="AA970" s="99"/>
      <c r="AB970" s="99"/>
      <c r="AC970" s="99"/>
      <c r="AD970" s="99"/>
    </row>
    <row r="971" spans="1:30" ht="14.25" customHeight="1" x14ac:dyDescent="0.25">
      <c r="A971" s="92"/>
      <c r="B971" s="92"/>
      <c r="H971" s="102"/>
      <c r="I971" s="102"/>
      <c r="J971" s="102"/>
      <c r="K971" s="92"/>
      <c r="L971" s="92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  <c r="AA971" s="99"/>
      <c r="AB971" s="99"/>
      <c r="AC971" s="99"/>
      <c r="AD971" s="99"/>
    </row>
    <row r="972" spans="1:30" ht="14.25" customHeight="1" x14ac:dyDescent="0.25">
      <c r="A972" s="92"/>
      <c r="B972" s="92"/>
      <c r="H972" s="102"/>
      <c r="I972" s="102"/>
      <c r="J972" s="102"/>
      <c r="K972" s="102"/>
      <c r="L972" s="92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  <c r="AA972" s="99"/>
      <c r="AB972" s="99"/>
      <c r="AC972" s="99"/>
      <c r="AD972" s="99"/>
    </row>
    <row r="973" spans="1:30" ht="14.25" customHeight="1" x14ac:dyDescent="0.25">
      <c r="A973" s="92"/>
      <c r="B973" s="92"/>
      <c r="H973" s="102"/>
      <c r="I973" s="102"/>
      <c r="J973" s="102"/>
      <c r="K973" s="102"/>
      <c r="L973" s="92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  <c r="AA973" s="99"/>
      <c r="AB973" s="99"/>
      <c r="AC973" s="99"/>
      <c r="AD973" s="99"/>
    </row>
    <row r="974" spans="1:30" ht="14.25" customHeight="1" x14ac:dyDescent="0.25">
      <c r="A974" s="92"/>
      <c r="B974" s="92"/>
      <c r="H974" s="102"/>
      <c r="I974" s="102"/>
      <c r="J974" s="102"/>
      <c r="K974" s="102"/>
      <c r="L974" s="92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  <c r="AA974" s="99"/>
      <c r="AB974" s="99"/>
      <c r="AC974" s="99"/>
      <c r="AD974" s="99"/>
    </row>
    <row r="975" spans="1:30" ht="14.25" customHeight="1" x14ac:dyDescent="0.25">
      <c r="A975" s="92"/>
      <c r="B975" s="92"/>
      <c r="H975" s="102"/>
      <c r="I975" s="102"/>
      <c r="J975" s="102"/>
      <c r="K975" s="102"/>
      <c r="L975" s="92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  <c r="AA975" s="99"/>
      <c r="AB975" s="99"/>
      <c r="AC975" s="99"/>
      <c r="AD975" s="99"/>
    </row>
    <row r="976" spans="1:30" ht="14.25" customHeight="1" x14ac:dyDescent="0.25">
      <c r="A976" s="92"/>
      <c r="B976" s="92"/>
      <c r="H976" s="102"/>
      <c r="I976" s="102"/>
      <c r="J976" s="102"/>
      <c r="K976" s="102"/>
      <c r="L976" s="92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  <c r="AA976" s="99"/>
      <c r="AB976" s="99"/>
      <c r="AC976" s="99"/>
      <c r="AD976" s="99"/>
    </row>
    <row r="977" spans="1:30" ht="14.25" customHeight="1" x14ac:dyDescent="0.25">
      <c r="A977" s="92"/>
      <c r="B977" s="92"/>
      <c r="H977" s="102"/>
      <c r="I977" s="102"/>
      <c r="J977" s="102"/>
      <c r="K977" s="102"/>
      <c r="L977" s="92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  <c r="AA977" s="99"/>
      <c r="AB977" s="99"/>
      <c r="AC977" s="99"/>
      <c r="AD977" s="99"/>
    </row>
    <row r="978" spans="1:30" ht="14.25" customHeight="1" x14ac:dyDescent="0.25">
      <c r="A978" s="92"/>
      <c r="B978" s="92"/>
      <c r="H978" s="102"/>
      <c r="I978" s="102"/>
      <c r="J978" s="102"/>
      <c r="K978" s="102"/>
      <c r="L978" s="92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  <c r="AA978" s="99"/>
      <c r="AB978" s="99"/>
      <c r="AC978" s="99"/>
      <c r="AD978" s="99"/>
    </row>
    <row r="979" spans="1:30" ht="14.25" customHeight="1" x14ac:dyDescent="0.25">
      <c r="H979" s="102"/>
      <c r="I979" s="102"/>
      <c r="J979" s="102"/>
      <c r="K979" s="102"/>
      <c r="L979" s="92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  <c r="AA979" s="99"/>
      <c r="AB979" s="99"/>
      <c r="AC979" s="99"/>
      <c r="AD979" s="99"/>
    </row>
    <row r="980" spans="1:30" ht="14.25" customHeight="1" x14ac:dyDescent="0.25">
      <c r="H980" s="102"/>
      <c r="I980" s="102"/>
      <c r="J980" s="102"/>
      <c r="K980" s="102"/>
      <c r="L980" s="92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  <c r="AA980" s="99"/>
      <c r="AB980" s="99"/>
      <c r="AC980" s="99"/>
      <c r="AD980" s="99"/>
    </row>
    <row r="981" spans="1:30" ht="14.25" customHeight="1" x14ac:dyDescent="0.25">
      <c r="H981" s="102"/>
      <c r="I981" s="102"/>
      <c r="J981" s="102"/>
      <c r="K981" s="102"/>
      <c r="L981" s="92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  <c r="AA981" s="99"/>
      <c r="AB981" s="99"/>
      <c r="AC981" s="99"/>
      <c r="AD981" s="99"/>
    </row>
    <row r="982" spans="1:30" ht="14.25" customHeight="1" x14ac:dyDescent="0.25">
      <c r="H982" s="102"/>
      <c r="I982" s="102"/>
      <c r="J982" s="102"/>
      <c r="K982" s="102"/>
      <c r="L982" s="92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  <c r="AA982" s="99"/>
      <c r="AB982" s="99"/>
      <c r="AC982" s="99"/>
      <c r="AD982" s="99"/>
    </row>
    <row r="983" spans="1:30" ht="14.25" customHeight="1" x14ac:dyDescent="0.25">
      <c r="H983" s="102"/>
      <c r="I983" s="102"/>
      <c r="J983" s="102"/>
      <c r="K983" s="102"/>
      <c r="L983" s="92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  <c r="AA983" s="99"/>
      <c r="AB983" s="99"/>
      <c r="AC983" s="99"/>
      <c r="AD983" s="99"/>
    </row>
    <row r="984" spans="1:30" ht="14.25" customHeight="1" x14ac:dyDescent="0.25">
      <c r="H984" s="102"/>
      <c r="I984" s="102"/>
      <c r="J984" s="102"/>
      <c r="K984" s="102"/>
      <c r="L984" s="92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  <c r="AA984" s="99"/>
      <c r="AB984" s="99"/>
      <c r="AC984" s="99"/>
      <c r="AD984" s="99"/>
    </row>
    <row r="985" spans="1:30" ht="14.25" customHeight="1" x14ac:dyDescent="0.25">
      <c r="H985" s="102"/>
      <c r="I985" s="102"/>
      <c r="J985" s="102"/>
      <c r="L985" s="92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  <c r="AA985" s="99"/>
      <c r="AB985" s="99"/>
      <c r="AC985" s="99"/>
      <c r="AD985" s="99"/>
    </row>
    <row r="986" spans="1:30" ht="14.25" customHeight="1" x14ac:dyDescent="0.25">
      <c r="H986" s="102"/>
      <c r="L986" s="92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  <c r="AA986" s="99"/>
      <c r="AB986" s="99"/>
      <c r="AC986" s="99"/>
      <c r="AD986" s="99"/>
    </row>
    <row r="987" spans="1:30" ht="14.25" customHeight="1" x14ac:dyDescent="0.25">
      <c r="H987" s="102"/>
      <c r="L987" s="92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  <c r="AA987" s="99"/>
      <c r="AB987" s="99"/>
      <c r="AC987" s="99"/>
      <c r="AD987" s="99"/>
    </row>
    <row r="988" spans="1:30" ht="14.25" customHeight="1" x14ac:dyDescent="0.25">
      <c r="H988" s="102"/>
      <c r="L988" s="92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  <c r="AA988" s="99"/>
      <c r="AB988" s="99"/>
      <c r="AC988" s="99"/>
      <c r="AD988" s="99"/>
    </row>
    <row r="989" spans="1:30" ht="14.25" customHeight="1" x14ac:dyDescent="0.25">
      <c r="H989" s="102"/>
      <c r="L989" s="92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  <c r="AA989" s="99"/>
      <c r="AB989" s="99"/>
      <c r="AC989" s="99"/>
      <c r="AD989" s="99"/>
    </row>
    <row r="990" spans="1:30" ht="14.25" customHeight="1" x14ac:dyDescent="0.25">
      <c r="H990" s="102"/>
      <c r="L990" s="92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  <c r="AA990" s="99"/>
      <c r="AB990" s="99"/>
      <c r="AC990" s="99"/>
      <c r="AD990" s="99"/>
    </row>
    <row r="991" spans="1:30" ht="14.25" customHeight="1" x14ac:dyDescent="0.25">
      <c r="H991" s="102"/>
      <c r="L991" s="92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  <c r="AA991" s="99"/>
      <c r="AB991" s="99"/>
      <c r="AC991" s="99"/>
      <c r="AD991" s="99"/>
    </row>
    <row r="992" spans="1:30" ht="14.25" customHeight="1" x14ac:dyDescent="0.25">
      <c r="H992" s="102"/>
      <c r="L992" s="92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  <c r="AA992" s="99"/>
      <c r="AB992" s="99"/>
      <c r="AC992" s="99"/>
      <c r="AD992" s="99"/>
    </row>
    <row r="993" spans="8:30" ht="14.25" customHeight="1" x14ac:dyDescent="0.25">
      <c r="H993" s="102"/>
      <c r="L993" s="92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  <c r="AA993" s="99"/>
      <c r="AB993" s="99"/>
      <c r="AC993" s="99"/>
      <c r="AD993" s="99"/>
    </row>
    <row r="994" spans="8:30" ht="14.25" customHeight="1" x14ac:dyDescent="0.25">
      <c r="H994" s="102"/>
      <c r="L994" s="92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  <c r="AA994" s="99"/>
      <c r="AB994" s="99"/>
      <c r="AC994" s="99"/>
      <c r="AD994" s="99"/>
    </row>
    <row r="995" spans="8:30" ht="14.25" customHeight="1" x14ac:dyDescent="0.25">
      <c r="H995" s="102"/>
      <c r="L995" s="92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  <c r="AA995" s="99"/>
      <c r="AB995" s="99"/>
      <c r="AC995" s="99"/>
      <c r="AD995" s="99"/>
    </row>
    <row r="996" spans="8:30" ht="14.25" customHeight="1" x14ac:dyDescent="0.25">
      <c r="H996" s="102"/>
      <c r="L996" s="92"/>
      <c r="M996" s="99"/>
      <c r="N996" s="99"/>
      <c r="O996" s="99"/>
      <c r="P996" s="99"/>
      <c r="Q996" s="99"/>
      <c r="R996" s="99"/>
      <c r="S996" s="99"/>
      <c r="T996" s="99"/>
      <c r="U996" s="99"/>
      <c r="V996" s="99"/>
      <c r="W996" s="99"/>
      <c r="X996" s="99"/>
      <c r="Y996" s="99"/>
      <c r="Z996" s="99"/>
      <c r="AA996" s="99"/>
      <c r="AB996" s="99"/>
      <c r="AC996" s="99"/>
      <c r="AD996" s="99"/>
    </row>
  </sheetData>
  <mergeCells count="32">
    <mergeCell ref="C37:C45"/>
    <mergeCell ref="D37:D45"/>
    <mergeCell ref="F44:G44"/>
    <mergeCell ref="B4:B5"/>
    <mergeCell ref="C4:C5"/>
    <mergeCell ref="B6:B7"/>
    <mergeCell ref="C6:C7"/>
    <mergeCell ref="B10:B11"/>
    <mergeCell ref="C10:C11"/>
    <mergeCell ref="B12:B13"/>
    <mergeCell ref="C12:D12"/>
    <mergeCell ref="C13:D13"/>
    <mergeCell ref="F13:H13"/>
    <mergeCell ref="D15:E15"/>
    <mergeCell ref="H16:I16"/>
    <mergeCell ref="G2:G3"/>
    <mergeCell ref="H2:J2"/>
    <mergeCell ref="L10:L11"/>
    <mergeCell ref="M10:M11"/>
    <mergeCell ref="S30:V30"/>
    <mergeCell ref="K2:K3"/>
    <mergeCell ref="L2:L3"/>
    <mergeCell ref="M2:M3"/>
    <mergeCell ref="L4:L5"/>
    <mergeCell ref="M4:M5"/>
    <mergeCell ref="L6:L7"/>
    <mergeCell ref="M6:M7"/>
    <mergeCell ref="B2:B3"/>
    <mergeCell ref="C2:C3"/>
    <mergeCell ref="D2:D3"/>
    <mergeCell ref="E2:E3"/>
    <mergeCell ref="F2:F3"/>
  </mergeCell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000"/>
  <sheetViews>
    <sheetView workbookViewId="0"/>
  </sheetViews>
  <sheetFormatPr defaultColWidth="14.42578125" defaultRowHeight="15" customHeight="1" x14ac:dyDescent="0.25"/>
  <cols>
    <col min="1" max="1" width="10.7109375" customWidth="1"/>
    <col min="2" max="2" width="8.42578125" customWidth="1"/>
    <col min="3" max="3" width="6.85546875" customWidth="1"/>
    <col min="4" max="4" width="8.85546875" customWidth="1"/>
    <col min="5" max="5" width="18.5703125" customWidth="1"/>
    <col min="6" max="6" width="8" customWidth="1"/>
    <col min="7" max="7" width="5" customWidth="1"/>
    <col min="8" max="8" width="10.7109375" customWidth="1"/>
    <col min="9" max="9" width="20.5703125" customWidth="1"/>
    <col min="10" max="10" width="20.28515625" customWidth="1"/>
    <col min="11" max="11" width="19.7109375" customWidth="1"/>
    <col min="12" max="12" width="11.42578125" customWidth="1"/>
    <col min="13" max="14" width="10.7109375" customWidth="1"/>
    <col min="15" max="15" width="16.42578125" customWidth="1"/>
    <col min="16" max="16" width="10.7109375" customWidth="1"/>
    <col min="17" max="17" width="19.42578125" customWidth="1"/>
    <col min="18" max="18" width="18.140625" customWidth="1"/>
    <col min="19" max="19" width="12.28515625" customWidth="1"/>
    <col min="20" max="26" width="10.7109375" customWidth="1"/>
  </cols>
  <sheetData>
    <row r="1" spans="1:26" ht="14.25" customHeight="1" x14ac:dyDescent="0.25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>
        <f>82-15</f>
        <v>67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spans="1:26" ht="14.25" customHeight="1" x14ac:dyDescent="0.25">
      <c r="A2" s="99"/>
      <c r="B2" s="266" t="s">
        <v>232</v>
      </c>
      <c r="C2" s="243"/>
      <c r="D2" s="243"/>
      <c r="E2" s="243"/>
      <c r="F2" s="243"/>
      <c r="G2" s="244"/>
      <c r="H2" s="99"/>
      <c r="I2" s="255" t="s">
        <v>159</v>
      </c>
      <c r="J2" s="232"/>
      <c r="K2" s="103"/>
      <c r="L2" s="103"/>
      <c r="M2" s="99"/>
      <c r="N2" s="99" t="s">
        <v>233</v>
      </c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spans="1:26" ht="14.25" customHeight="1" x14ac:dyDescent="0.25">
      <c r="A3" s="99"/>
      <c r="B3" s="180" t="s">
        <v>189</v>
      </c>
      <c r="C3" s="180" t="s">
        <v>234</v>
      </c>
      <c r="D3" s="180" t="s">
        <v>235</v>
      </c>
      <c r="E3" s="180" t="s">
        <v>236</v>
      </c>
      <c r="F3" s="180" t="s">
        <v>18</v>
      </c>
      <c r="G3" s="180" t="s">
        <v>45</v>
      </c>
      <c r="I3" s="135" t="s">
        <v>55</v>
      </c>
      <c r="J3" s="135">
        <v>5262</v>
      </c>
      <c r="K3" s="99">
        <f>J3+400</f>
        <v>5662</v>
      </c>
      <c r="L3" s="99"/>
      <c r="M3" s="99"/>
      <c r="N3" s="148"/>
      <c r="O3" s="148"/>
      <c r="P3" s="143" t="s">
        <v>167</v>
      </c>
      <c r="Q3" s="143" t="s">
        <v>168</v>
      </c>
      <c r="R3" s="143" t="s">
        <v>199</v>
      </c>
      <c r="S3" s="99"/>
      <c r="T3" s="99"/>
      <c r="U3" s="99"/>
      <c r="V3" s="99"/>
      <c r="W3" s="99"/>
      <c r="X3" s="99"/>
      <c r="Y3" s="99"/>
      <c r="Z3" s="99"/>
    </row>
    <row r="4" spans="1:26" ht="14.25" customHeight="1" x14ac:dyDescent="0.25">
      <c r="A4" s="99"/>
      <c r="B4" s="265">
        <v>1</v>
      </c>
      <c r="C4" s="251">
        <v>12000</v>
      </c>
      <c r="D4" s="181" t="s">
        <v>237</v>
      </c>
      <c r="E4" s="182">
        <v>7538</v>
      </c>
      <c r="F4" s="265">
        <f>E4+E5</f>
        <v>12000</v>
      </c>
      <c r="G4" s="252">
        <f>(E4+E5)/C4</f>
        <v>1</v>
      </c>
      <c r="I4" s="135" t="s">
        <v>238</v>
      </c>
      <c r="J4" s="135">
        <v>32160</v>
      </c>
      <c r="K4" s="99"/>
      <c r="L4" s="99"/>
      <c r="M4" s="99"/>
      <c r="N4" s="258" t="s">
        <v>239</v>
      </c>
      <c r="O4" s="259">
        <v>3214</v>
      </c>
      <c r="P4" s="148">
        <v>400</v>
      </c>
      <c r="Q4" s="148" t="s">
        <v>55</v>
      </c>
      <c r="R4" s="148" t="s">
        <v>240</v>
      </c>
      <c r="S4" s="99"/>
      <c r="T4" s="99">
        <f>322+52+160+150</f>
        <v>684</v>
      </c>
      <c r="U4" s="99"/>
      <c r="V4" s="99"/>
      <c r="W4" s="99"/>
      <c r="X4" s="99"/>
      <c r="Y4" s="99"/>
      <c r="Z4" s="99"/>
    </row>
    <row r="5" spans="1:26" ht="14.25" customHeight="1" x14ac:dyDescent="0.25">
      <c r="A5" s="99"/>
      <c r="B5" s="240"/>
      <c r="C5" s="240"/>
      <c r="D5" s="181" t="s">
        <v>55</v>
      </c>
      <c r="E5" s="183">
        <v>4462</v>
      </c>
      <c r="F5" s="240"/>
      <c r="G5" s="240"/>
      <c r="H5" s="184" t="s">
        <v>241</v>
      </c>
      <c r="I5" s="135" t="s">
        <v>164</v>
      </c>
      <c r="J5" s="135">
        <v>1750</v>
      </c>
      <c r="K5" s="111" t="s">
        <v>242</v>
      </c>
      <c r="L5" s="99"/>
      <c r="M5" s="99"/>
      <c r="N5" s="224"/>
      <c r="O5" s="224"/>
      <c r="P5" s="148">
        <v>100</v>
      </c>
      <c r="Q5" s="148" t="s">
        <v>243</v>
      </c>
      <c r="R5" s="148" t="s">
        <v>240</v>
      </c>
      <c r="S5" s="99"/>
      <c r="T5" s="99">
        <f>795+32</f>
        <v>827</v>
      </c>
      <c r="U5" s="99"/>
      <c r="V5" s="99"/>
      <c r="W5" s="99"/>
      <c r="X5" s="99"/>
      <c r="Y5" s="99"/>
      <c r="Z5" s="99"/>
    </row>
    <row r="6" spans="1:26" ht="14.25" customHeight="1" x14ac:dyDescent="0.25">
      <c r="A6" s="99"/>
      <c r="B6" s="265">
        <v>2</v>
      </c>
      <c r="C6" s="251">
        <v>4000</v>
      </c>
      <c r="D6" s="181" t="s">
        <v>237</v>
      </c>
      <c r="E6" s="183">
        <v>3272</v>
      </c>
      <c r="F6" s="265">
        <f>E6+E7</f>
        <v>4072</v>
      </c>
      <c r="G6" s="252">
        <f>(E7+E6)/C6</f>
        <v>1.018</v>
      </c>
      <c r="H6" s="129">
        <f>F6+J6</f>
        <v>5144</v>
      </c>
      <c r="I6" s="135" t="s">
        <v>165</v>
      </c>
      <c r="J6" s="135">
        <v>1072</v>
      </c>
      <c r="K6" s="99"/>
      <c r="L6" s="111"/>
      <c r="M6" s="99"/>
      <c r="N6" s="224"/>
      <c r="O6" s="224"/>
      <c r="P6" s="148"/>
      <c r="Q6" s="148"/>
      <c r="R6" s="148" t="s">
        <v>244</v>
      </c>
      <c r="S6" s="99"/>
      <c r="T6" s="99">
        <f>T5-T4</f>
        <v>143</v>
      </c>
      <c r="U6" s="99"/>
      <c r="V6" s="99"/>
      <c r="W6" s="99"/>
      <c r="X6" s="99"/>
      <c r="Y6" s="99"/>
      <c r="Z6" s="99"/>
    </row>
    <row r="7" spans="1:26" ht="14.25" customHeight="1" x14ac:dyDescent="0.25">
      <c r="A7" s="99"/>
      <c r="B7" s="240"/>
      <c r="C7" s="240"/>
      <c r="D7" s="181" t="s">
        <v>55</v>
      </c>
      <c r="E7" s="183">
        <v>800</v>
      </c>
      <c r="F7" s="240"/>
      <c r="G7" s="240"/>
      <c r="H7" s="185">
        <f>H6/C6</f>
        <v>1.286</v>
      </c>
      <c r="I7" s="135" t="s">
        <v>18</v>
      </c>
      <c r="J7" s="135">
        <f>SUM(J3:J6)</f>
        <v>40244</v>
      </c>
      <c r="K7" s="99"/>
      <c r="L7" s="99"/>
      <c r="M7" s="99"/>
      <c r="N7" s="224"/>
      <c r="O7" s="224"/>
      <c r="P7" s="148"/>
      <c r="Q7" s="148"/>
      <c r="R7" s="148" t="s">
        <v>240</v>
      </c>
      <c r="S7" s="99"/>
      <c r="T7" s="99"/>
      <c r="U7" s="99"/>
      <c r="V7" s="99"/>
      <c r="W7" s="99"/>
      <c r="X7" s="99"/>
      <c r="Y7" s="99"/>
      <c r="Z7" s="99"/>
    </row>
    <row r="8" spans="1:26" ht="14.25" customHeight="1" x14ac:dyDescent="0.25">
      <c r="A8" s="99"/>
      <c r="B8" s="265">
        <v>3</v>
      </c>
      <c r="C8" s="265">
        <v>14700</v>
      </c>
      <c r="D8" s="181" t="s">
        <v>237</v>
      </c>
      <c r="E8" s="182">
        <v>12500</v>
      </c>
      <c r="F8" s="265">
        <f>E8+E9</f>
        <v>14700</v>
      </c>
      <c r="G8" s="270">
        <f>(E8+E9)/C8</f>
        <v>1</v>
      </c>
      <c r="H8" s="99">
        <f>C6-F6</f>
        <v>-72</v>
      </c>
      <c r="I8" s="135" t="s">
        <v>169</v>
      </c>
      <c r="J8" s="135">
        <f>J4+J3+J6+E9</f>
        <v>40694</v>
      </c>
      <c r="K8" s="99"/>
      <c r="L8" s="99">
        <f>733+150</f>
        <v>883</v>
      </c>
      <c r="M8" s="99"/>
      <c r="N8" s="224"/>
      <c r="O8" s="224"/>
      <c r="P8" s="143">
        <f>SUM(P4:P7)</f>
        <v>500</v>
      </c>
      <c r="Q8" s="260" t="s">
        <v>220</v>
      </c>
      <c r="R8" s="261"/>
      <c r="S8" s="99"/>
      <c r="T8" s="99"/>
      <c r="U8" s="99"/>
      <c r="V8" s="99"/>
      <c r="W8" s="99"/>
      <c r="X8" s="99"/>
      <c r="Y8" s="99"/>
      <c r="Z8" s="99"/>
    </row>
    <row r="9" spans="1:26" ht="14.25" customHeight="1" x14ac:dyDescent="0.25">
      <c r="A9" s="99"/>
      <c r="B9" s="240"/>
      <c r="C9" s="240"/>
      <c r="D9" s="181" t="s">
        <v>245</v>
      </c>
      <c r="E9" s="182">
        <v>2200</v>
      </c>
      <c r="F9" s="240"/>
      <c r="G9" s="240"/>
      <c r="H9" s="99"/>
      <c r="I9" s="135" t="s">
        <v>171</v>
      </c>
      <c r="J9" s="135">
        <f>J4+J3</f>
        <v>37422</v>
      </c>
      <c r="K9" s="99"/>
      <c r="L9" s="99">
        <f>L8-167</f>
        <v>716</v>
      </c>
      <c r="M9" s="99"/>
      <c r="N9" s="225"/>
      <c r="O9" s="225"/>
      <c r="P9" s="148">
        <f>O4-P8</f>
        <v>2714</v>
      </c>
      <c r="Q9" s="148" t="s">
        <v>222</v>
      </c>
      <c r="R9" s="148" t="s">
        <v>223</v>
      </c>
      <c r="S9" s="99"/>
      <c r="T9" s="99"/>
      <c r="U9" s="99"/>
      <c r="V9" s="99"/>
      <c r="W9" s="99"/>
      <c r="X9" s="99"/>
      <c r="Y9" s="99"/>
      <c r="Z9" s="99"/>
    </row>
    <row r="10" spans="1:26" ht="14.25" customHeight="1" x14ac:dyDescent="0.25">
      <c r="A10" s="99"/>
      <c r="B10" s="182">
        <v>4</v>
      </c>
      <c r="C10" s="183">
        <v>6000</v>
      </c>
      <c r="D10" s="181" t="s">
        <v>237</v>
      </c>
      <c r="E10" s="183">
        <v>6000</v>
      </c>
      <c r="F10" s="182">
        <f t="shared" ref="F10:F12" si="0">E10</f>
        <v>6000</v>
      </c>
      <c r="G10" s="186">
        <f t="shared" ref="G10:G13" si="1">E10/C10</f>
        <v>1</v>
      </c>
      <c r="H10" s="99"/>
      <c r="I10" s="135" t="s">
        <v>173</v>
      </c>
      <c r="J10" s="135">
        <f>J3+J4+J5</f>
        <v>39172</v>
      </c>
      <c r="K10" s="99"/>
      <c r="L10" s="99">
        <f>933-L9</f>
        <v>217</v>
      </c>
      <c r="M10" s="99"/>
      <c r="N10" s="177" t="s">
        <v>225</v>
      </c>
      <c r="O10" s="178" t="s">
        <v>226</v>
      </c>
      <c r="P10" s="148">
        <v>400</v>
      </c>
      <c r="Q10" s="148" t="s">
        <v>222</v>
      </c>
      <c r="R10" s="179" t="s">
        <v>227</v>
      </c>
      <c r="S10" s="99"/>
      <c r="T10" s="99"/>
      <c r="U10" s="99"/>
      <c r="V10" s="99"/>
      <c r="W10" s="99"/>
      <c r="X10" s="99"/>
      <c r="Y10" s="99"/>
      <c r="Z10" s="99"/>
    </row>
    <row r="11" spans="1:26" ht="14.25" customHeight="1" x14ac:dyDescent="0.25">
      <c r="A11" s="99"/>
      <c r="B11" s="182">
        <v>5</v>
      </c>
      <c r="C11" s="183">
        <v>2800</v>
      </c>
      <c r="D11" s="181" t="s">
        <v>237</v>
      </c>
      <c r="E11" s="183">
        <v>2800</v>
      </c>
      <c r="F11" s="182">
        <f t="shared" si="0"/>
        <v>2800</v>
      </c>
      <c r="G11" s="186">
        <f t="shared" si="1"/>
        <v>1</v>
      </c>
      <c r="H11" s="99"/>
      <c r="I11" s="135" t="s">
        <v>176</v>
      </c>
      <c r="J11" s="135">
        <f>J4+J3+E9</f>
        <v>39622</v>
      </c>
      <c r="K11" s="99"/>
      <c r="L11" s="99"/>
      <c r="M11" s="99"/>
      <c r="N11" s="99"/>
      <c r="O11" s="187" t="s">
        <v>228</v>
      </c>
      <c r="P11" s="187">
        <f>P10+P9</f>
        <v>3114</v>
      </c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spans="1:26" ht="14.25" customHeight="1" x14ac:dyDescent="0.25">
      <c r="A12" s="99"/>
      <c r="B12" s="182">
        <v>6</v>
      </c>
      <c r="C12" s="183">
        <v>30000</v>
      </c>
      <c r="D12" s="181" t="s">
        <v>237</v>
      </c>
      <c r="E12" s="183">
        <v>0</v>
      </c>
      <c r="F12" s="182">
        <f t="shared" si="0"/>
        <v>0</v>
      </c>
      <c r="G12" s="186">
        <f t="shared" si="1"/>
        <v>0</v>
      </c>
      <c r="H12" s="184" t="s">
        <v>246</v>
      </c>
      <c r="I12" s="135" t="s">
        <v>247</v>
      </c>
      <c r="J12" s="135">
        <v>1195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 spans="1:26" ht="14.25" customHeight="1" x14ac:dyDescent="0.25">
      <c r="A13" s="99"/>
      <c r="B13" s="182" t="s">
        <v>18</v>
      </c>
      <c r="C13" s="183">
        <f>SUM(C4:C12)</f>
        <v>69500</v>
      </c>
      <c r="D13" s="183" t="s">
        <v>248</v>
      </c>
      <c r="E13" s="183">
        <f t="shared" ref="E13:F13" si="2">SUM(E4:E12)</f>
        <v>39572</v>
      </c>
      <c r="F13" s="182">
        <f t="shared" si="2"/>
        <v>39572</v>
      </c>
      <c r="G13" s="186">
        <f t="shared" si="1"/>
        <v>0.56938129496402878</v>
      </c>
      <c r="H13" s="129">
        <f>E12+J5</f>
        <v>1750</v>
      </c>
      <c r="I13" s="135" t="s">
        <v>185</v>
      </c>
      <c r="J13" s="135">
        <v>341</v>
      </c>
      <c r="K13" s="111" t="s">
        <v>249</v>
      </c>
      <c r="L13" s="99"/>
      <c r="M13" s="99"/>
      <c r="N13" s="148"/>
      <c r="O13" s="148"/>
      <c r="P13" s="143" t="s">
        <v>167</v>
      </c>
      <c r="Q13" s="143" t="s">
        <v>168</v>
      </c>
      <c r="R13" s="143" t="s">
        <v>199</v>
      </c>
      <c r="S13" s="99"/>
      <c r="T13" s="99"/>
      <c r="U13" s="99"/>
      <c r="V13" s="99"/>
      <c r="W13" s="99"/>
      <c r="X13" s="99"/>
      <c r="Y13" s="99"/>
      <c r="Z13" s="99"/>
    </row>
    <row r="14" spans="1:26" ht="14.25" customHeight="1" x14ac:dyDescent="0.25">
      <c r="A14" s="99"/>
      <c r="B14" s="99"/>
      <c r="C14" s="188">
        <f>C6/C13</f>
        <v>5.7553956834532377E-2</v>
      </c>
      <c r="D14" s="99"/>
      <c r="E14" s="99"/>
      <c r="F14" s="99"/>
      <c r="G14" s="189"/>
      <c r="H14" s="185">
        <f>H13/C12</f>
        <v>5.8333333333333334E-2</v>
      </c>
      <c r="I14" s="99"/>
      <c r="J14" s="99"/>
      <c r="K14" s="99"/>
      <c r="L14" s="111"/>
      <c r="M14" s="99"/>
      <c r="N14" s="258" t="s">
        <v>250</v>
      </c>
      <c r="O14" s="259">
        <v>1511</v>
      </c>
      <c r="P14" s="148">
        <v>733</v>
      </c>
      <c r="Q14" s="148" t="s">
        <v>251</v>
      </c>
      <c r="R14" s="148" t="s">
        <v>240</v>
      </c>
      <c r="S14" s="134">
        <f>P14+P16+P17</f>
        <v>983</v>
      </c>
      <c r="T14" s="99"/>
      <c r="U14" s="99"/>
      <c r="V14" s="99"/>
      <c r="W14" s="99"/>
      <c r="X14" s="99"/>
      <c r="Y14" s="99"/>
      <c r="Z14" s="99"/>
    </row>
    <row r="15" spans="1:26" ht="14.25" customHeight="1" x14ac:dyDescent="0.25">
      <c r="A15" s="99"/>
      <c r="B15" s="99"/>
      <c r="C15" s="99"/>
      <c r="D15" s="99"/>
      <c r="E15" s="190" t="s">
        <v>252</v>
      </c>
      <c r="F15" s="190">
        <f>E12+E11+E10+E8+E6+E4</f>
        <v>32110</v>
      </c>
      <c r="G15" s="99"/>
      <c r="H15" s="99"/>
      <c r="I15" s="157" t="s">
        <v>193</v>
      </c>
      <c r="J15" s="157">
        <f>F13+J6</f>
        <v>40644</v>
      </c>
      <c r="K15" s="99"/>
      <c r="L15" s="99"/>
      <c r="M15" s="99"/>
      <c r="N15" s="224"/>
      <c r="O15" s="224"/>
      <c r="P15" s="148">
        <v>400</v>
      </c>
      <c r="Q15" s="148" t="s">
        <v>55</v>
      </c>
      <c r="R15" s="148" t="s">
        <v>240</v>
      </c>
      <c r="S15" s="99"/>
      <c r="T15" s="99"/>
      <c r="U15" s="99"/>
      <c r="V15" s="99"/>
      <c r="W15" s="99"/>
      <c r="X15" s="99"/>
      <c r="Y15" s="99"/>
      <c r="Z15" s="99"/>
    </row>
    <row r="16" spans="1:26" ht="14.25" customHeight="1" x14ac:dyDescent="0.25">
      <c r="A16" s="99"/>
      <c r="B16" s="99"/>
      <c r="C16" s="99"/>
      <c r="D16" s="99"/>
      <c r="E16" s="190" t="s">
        <v>157</v>
      </c>
      <c r="F16" s="190">
        <f>J4-F15</f>
        <v>50</v>
      </c>
      <c r="G16" s="99"/>
      <c r="H16" s="99"/>
      <c r="I16" s="99"/>
      <c r="J16" s="99"/>
      <c r="K16" s="99"/>
      <c r="L16" s="99"/>
      <c r="M16" s="99"/>
      <c r="N16" s="224"/>
      <c r="O16" s="224"/>
      <c r="P16" s="148">
        <v>100</v>
      </c>
      <c r="Q16" s="148" t="s">
        <v>253</v>
      </c>
      <c r="R16" s="148" t="s">
        <v>240</v>
      </c>
      <c r="S16" s="99"/>
      <c r="T16" s="99"/>
      <c r="U16" s="99"/>
      <c r="V16" s="99"/>
      <c r="W16" s="99"/>
      <c r="X16" s="99"/>
      <c r="Y16" s="99"/>
      <c r="Z16" s="99"/>
    </row>
    <row r="17" spans="1:26" ht="14.25" customHeight="1" x14ac:dyDescent="0.25">
      <c r="A17" s="99"/>
      <c r="B17" s="99"/>
      <c r="C17" s="99"/>
      <c r="D17" s="99"/>
      <c r="E17" s="99"/>
      <c r="F17" s="99"/>
      <c r="G17" s="99"/>
      <c r="H17" s="99">
        <f>F16+E6</f>
        <v>3322</v>
      </c>
      <c r="I17" s="99"/>
      <c r="J17" s="99"/>
      <c r="K17" s="99"/>
      <c r="L17" s="99"/>
      <c r="M17" s="99"/>
      <c r="N17" s="224"/>
      <c r="O17" s="224"/>
      <c r="P17" s="148">
        <v>150</v>
      </c>
      <c r="Q17" s="148" t="s">
        <v>254</v>
      </c>
      <c r="R17" s="148" t="s">
        <v>240</v>
      </c>
      <c r="S17" s="99"/>
      <c r="T17" s="99"/>
      <c r="U17" s="99"/>
      <c r="V17" s="99"/>
      <c r="W17" s="99"/>
      <c r="X17" s="99"/>
      <c r="Y17" s="99"/>
      <c r="Z17" s="99"/>
    </row>
    <row r="18" spans="1:26" ht="14.25" customHeight="1" x14ac:dyDescent="0.25">
      <c r="A18" s="99"/>
      <c r="B18" s="191"/>
      <c r="C18" s="99"/>
      <c r="D18" s="99"/>
      <c r="E18" s="190" t="s">
        <v>255</v>
      </c>
      <c r="F18" s="190">
        <f>E7+E5</f>
        <v>5262</v>
      </c>
      <c r="G18" s="99"/>
      <c r="H18" s="99"/>
      <c r="I18" s="271" t="s">
        <v>256</v>
      </c>
      <c r="J18" s="272"/>
      <c r="K18" s="272"/>
      <c r="L18" s="273"/>
      <c r="M18" s="99"/>
      <c r="N18" s="224"/>
      <c r="O18" s="224"/>
      <c r="P18" s="143">
        <f>SUM(P14:P17)</f>
        <v>1383</v>
      </c>
      <c r="Q18" s="260" t="s">
        <v>220</v>
      </c>
      <c r="R18" s="261"/>
      <c r="S18" s="99"/>
      <c r="T18" s="99"/>
      <c r="U18" s="99"/>
      <c r="V18" s="99"/>
      <c r="W18" s="99"/>
      <c r="X18" s="99"/>
      <c r="Y18" s="99"/>
      <c r="Z18" s="99"/>
    </row>
    <row r="19" spans="1:26" ht="14.25" customHeight="1" x14ac:dyDescent="0.25">
      <c r="A19" s="99"/>
      <c r="B19" s="191"/>
      <c r="C19" s="99"/>
      <c r="D19" s="99"/>
      <c r="E19" s="190" t="s">
        <v>158</v>
      </c>
      <c r="F19" s="190">
        <f>J3-F18</f>
        <v>0</v>
      </c>
      <c r="G19" s="99"/>
      <c r="H19" s="99"/>
      <c r="I19" s="192" t="s">
        <v>189</v>
      </c>
      <c r="J19" s="192" t="s">
        <v>257</v>
      </c>
      <c r="K19" s="192" t="s">
        <v>258</v>
      </c>
      <c r="L19" s="192" t="s">
        <v>45</v>
      </c>
      <c r="M19" s="99"/>
      <c r="N19" s="225"/>
      <c r="O19" s="225"/>
      <c r="P19" s="148">
        <f>O14-P18</f>
        <v>128</v>
      </c>
      <c r="Q19" s="148" t="s">
        <v>222</v>
      </c>
      <c r="R19" s="148" t="s">
        <v>223</v>
      </c>
      <c r="S19" s="99"/>
      <c r="T19" s="99"/>
      <c r="U19" s="99"/>
      <c r="V19" s="99"/>
      <c r="W19" s="99"/>
      <c r="X19" s="99"/>
      <c r="Y19" s="99"/>
      <c r="Z19" s="99"/>
    </row>
    <row r="20" spans="1:26" ht="14.25" customHeight="1" x14ac:dyDescent="0.25">
      <c r="A20" s="99"/>
      <c r="B20" s="191"/>
      <c r="C20" s="99"/>
      <c r="D20" s="99"/>
      <c r="E20" s="99"/>
      <c r="F20" s="99"/>
      <c r="G20" s="99"/>
      <c r="H20" s="99"/>
      <c r="I20" s="267" t="s">
        <v>185</v>
      </c>
      <c r="J20" s="192" t="s">
        <v>259</v>
      </c>
      <c r="K20" s="192">
        <v>187</v>
      </c>
      <c r="L20" s="193">
        <f t="shared" ref="L20:L23" si="3">K20/$K$24</f>
        <v>0.70566037735849052</v>
      </c>
      <c r="M20" s="150"/>
      <c r="N20" s="177" t="s">
        <v>225</v>
      </c>
      <c r="O20" s="178" t="s">
        <v>226</v>
      </c>
      <c r="P20" s="148">
        <v>400</v>
      </c>
      <c r="Q20" s="148" t="s">
        <v>222</v>
      </c>
      <c r="R20" s="179" t="s">
        <v>227</v>
      </c>
      <c r="S20" s="99"/>
      <c r="T20" s="99"/>
      <c r="U20" s="99"/>
      <c r="V20" s="99"/>
      <c r="W20" s="99"/>
      <c r="X20" s="99"/>
      <c r="Y20" s="99"/>
      <c r="Z20" s="99"/>
    </row>
    <row r="21" spans="1:26" ht="14.25" customHeight="1" x14ac:dyDescent="0.25">
      <c r="A21" s="99"/>
      <c r="B21" s="191"/>
      <c r="C21" s="99"/>
      <c r="D21" s="99"/>
      <c r="E21" s="190" t="s">
        <v>260</v>
      </c>
      <c r="F21" s="190">
        <f>F18+F15</f>
        <v>37372</v>
      </c>
      <c r="G21" s="99"/>
      <c r="H21" s="99"/>
      <c r="I21" s="268"/>
      <c r="J21" s="192" t="s">
        <v>195</v>
      </c>
      <c r="K21" s="192">
        <v>0</v>
      </c>
      <c r="L21" s="193">
        <f t="shared" si="3"/>
        <v>0</v>
      </c>
      <c r="M21" s="99"/>
      <c r="N21" s="99"/>
      <c r="O21" s="99" t="s">
        <v>228</v>
      </c>
      <c r="P21" s="99">
        <f>P20+P19</f>
        <v>528</v>
      </c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 spans="1:26" ht="14.25" customHeight="1" x14ac:dyDescent="0.25">
      <c r="A22" s="99"/>
      <c r="B22" s="191"/>
      <c r="C22" s="191"/>
      <c r="D22" s="191"/>
      <c r="E22" s="190" t="s">
        <v>261</v>
      </c>
      <c r="F22" s="190">
        <f>J9-F21</f>
        <v>50</v>
      </c>
      <c r="G22" s="99"/>
      <c r="H22" s="99"/>
      <c r="I22" s="268"/>
      <c r="J22" s="192" t="s">
        <v>196</v>
      </c>
      <c r="K22" s="192">
        <v>78</v>
      </c>
      <c r="L22" s="193">
        <f t="shared" si="3"/>
        <v>0.29433962264150942</v>
      </c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</row>
    <row r="23" spans="1:26" ht="14.25" customHeight="1" x14ac:dyDescent="0.25">
      <c r="A23" s="99"/>
      <c r="B23" s="99"/>
      <c r="C23" s="99"/>
      <c r="D23" s="99"/>
      <c r="E23" s="191"/>
      <c r="F23" s="191"/>
      <c r="G23" s="99"/>
      <c r="H23" s="99"/>
      <c r="I23" s="268"/>
      <c r="J23" s="192" t="s">
        <v>198</v>
      </c>
      <c r="K23" s="192">
        <v>0</v>
      </c>
      <c r="L23" s="193">
        <f t="shared" si="3"/>
        <v>0</v>
      </c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</row>
    <row r="24" spans="1:26" ht="14.25" customHeight="1" x14ac:dyDescent="0.25">
      <c r="A24" s="99"/>
      <c r="B24" s="99"/>
      <c r="C24" s="99"/>
      <c r="D24" s="99"/>
      <c r="E24" s="194">
        <f>E11+E10+E8+E6+E4+E5+E7+E12</f>
        <v>37372</v>
      </c>
      <c r="F24" s="194" t="s">
        <v>262</v>
      </c>
      <c r="G24" s="99"/>
      <c r="H24" s="99"/>
      <c r="I24" s="269"/>
      <c r="J24" s="195" t="s">
        <v>18</v>
      </c>
      <c r="K24" s="195">
        <f>SUM(K20:K23)</f>
        <v>265</v>
      </c>
      <c r="L24" s="196">
        <f>K24/J13</f>
        <v>0.77712609970674484</v>
      </c>
      <c r="M24" s="134">
        <f>J13-K24</f>
        <v>76</v>
      </c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 spans="1:26" ht="14.25" customHeight="1" x14ac:dyDescent="0.25">
      <c r="A25" s="99"/>
      <c r="B25" s="99"/>
      <c r="C25" s="99"/>
      <c r="D25" s="99"/>
      <c r="E25" s="191"/>
      <c r="F25" s="191"/>
      <c r="G25" s="99"/>
      <c r="H25" s="99"/>
      <c r="I25" s="267" t="s">
        <v>178</v>
      </c>
      <c r="J25" s="192" t="s">
        <v>263</v>
      </c>
      <c r="K25" s="192">
        <v>584</v>
      </c>
      <c r="L25" s="193">
        <f t="shared" ref="L25:L30" si="4">K25/$K$31</f>
        <v>1</v>
      </c>
      <c r="M25" s="150" t="s">
        <v>181</v>
      </c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</row>
    <row r="26" spans="1:26" ht="14.25" customHeight="1" x14ac:dyDescent="0.25">
      <c r="A26" s="99"/>
      <c r="B26" s="99"/>
      <c r="C26" s="99"/>
      <c r="D26" s="99"/>
      <c r="E26" s="191"/>
      <c r="F26" s="191"/>
      <c r="G26" s="99"/>
      <c r="H26" s="99"/>
      <c r="I26" s="268"/>
      <c r="J26" s="192" t="s">
        <v>264</v>
      </c>
      <c r="K26" s="192">
        <v>0</v>
      </c>
      <c r="L26" s="193">
        <f t="shared" si="4"/>
        <v>0</v>
      </c>
      <c r="M26" s="150" t="s">
        <v>184</v>
      </c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</row>
    <row r="27" spans="1:26" ht="14.25" customHeight="1" x14ac:dyDescent="0.25">
      <c r="A27" s="99"/>
      <c r="B27" s="99"/>
      <c r="C27" s="99"/>
      <c r="D27" s="99"/>
      <c r="E27" s="191"/>
      <c r="F27" s="191"/>
      <c r="G27" s="99"/>
      <c r="H27" s="99"/>
      <c r="I27" s="268"/>
      <c r="J27" s="192" t="s">
        <v>55</v>
      </c>
      <c r="K27" s="192">
        <v>0</v>
      </c>
      <c r="L27" s="193">
        <f t="shared" si="4"/>
        <v>0</v>
      </c>
      <c r="M27" s="99"/>
      <c r="N27" s="99"/>
      <c r="O27" s="247" t="s">
        <v>185</v>
      </c>
      <c r="P27" s="248"/>
      <c r="Q27" s="248"/>
      <c r="R27" s="249"/>
      <c r="S27" s="99"/>
      <c r="T27" s="99"/>
      <c r="U27" s="99"/>
      <c r="V27" s="99"/>
      <c r="W27" s="99"/>
      <c r="X27" s="99"/>
      <c r="Y27" s="99"/>
      <c r="Z27" s="99"/>
    </row>
    <row r="28" spans="1:26" ht="14.25" customHeight="1" x14ac:dyDescent="0.25">
      <c r="A28" s="99"/>
      <c r="B28" s="197"/>
      <c r="C28" s="99"/>
      <c r="D28" s="99"/>
      <c r="E28" s="197"/>
      <c r="F28" s="197"/>
      <c r="G28" s="99"/>
      <c r="H28" s="99"/>
      <c r="I28" s="268"/>
      <c r="J28" s="192" t="s">
        <v>265</v>
      </c>
      <c r="K28" s="192">
        <v>0</v>
      </c>
      <c r="L28" s="193">
        <f t="shared" si="4"/>
        <v>0</v>
      </c>
      <c r="M28" s="99"/>
      <c r="N28" s="155" t="s">
        <v>188</v>
      </c>
      <c r="O28" s="156" t="s">
        <v>189</v>
      </c>
      <c r="P28" s="156" t="s">
        <v>190</v>
      </c>
      <c r="Q28" s="156" t="s">
        <v>191</v>
      </c>
      <c r="R28" s="156" t="s">
        <v>192</v>
      </c>
      <c r="S28" s="99"/>
      <c r="T28" s="99"/>
      <c r="U28" s="99"/>
      <c r="V28" s="99"/>
      <c r="W28" s="99"/>
      <c r="X28" s="99"/>
      <c r="Y28" s="99"/>
      <c r="Z28" s="99"/>
    </row>
    <row r="29" spans="1:26" ht="14.25" customHeight="1" x14ac:dyDescent="0.25">
      <c r="A29" s="99"/>
      <c r="B29" s="111"/>
      <c r="C29" s="111"/>
      <c r="D29" s="111"/>
      <c r="E29" s="111"/>
      <c r="F29" s="111"/>
      <c r="G29" s="99"/>
      <c r="H29" s="99"/>
      <c r="I29" s="268"/>
      <c r="J29" s="192" t="s">
        <v>266</v>
      </c>
      <c r="K29" s="192">
        <v>0</v>
      </c>
      <c r="L29" s="193">
        <f t="shared" si="4"/>
        <v>0</v>
      </c>
      <c r="M29" s="99"/>
      <c r="N29" s="159">
        <f t="shared" ref="N29:N34" si="5">P29-Q29</f>
        <v>0</v>
      </c>
      <c r="O29" s="160" t="s">
        <v>194</v>
      </c>
      <c r="P29" s="160">
        <v>187</v>
      </c>
      <c r="Q29" s="160">
        <v>187</v>
      </c>
      <c r="R29" s="161">
        <f t="shared" ref="R29:R34" si="6">Q29/P29</f>
        <v>1</v>
      </c>
      <c r="S29" s="159"/>
      <c r="T29" s="99"/>
      <c r="U29" s="99"/>
      <c r="V29" s="99"/>
      <c r="W29" s="99"/>
      <c r="X29" s="99"/>
      <c r="Y29" s="99"/>
      <c r="Z29" s="99"/>
    </row>
    <row r="30" spans="1:26" ht="14.25" customHeight="1" x14ac:dyDescent="0.25">
      <c r="A30" s="99"/>
      <c r="B30" s="99"/>
      <c r="C30" s="99"/>
      <c r="D30" s="99"/>
      <c r="E30" s="99"/>
      <c r="F30" s="99"/>
      <c r="G30" s="99"/>
      <c r="H30" s="99"/>
      <c r="I30" s="268"/>
      <c r="J30" s="192" t="s">
        <v>267</v>
      </c>
      <c r="K30" s="192">
        <v>0</v>
      </c>
      <c r="L30" s="193">
        <f t="shared" si="4"/>
        <v>0</v>
      </c>
      <c r="M30" s="99"/>
      <c r="N30" s="159">
        <f t="shared" si="5"/>
        <v>1000</v>
      </c>
      <c r="O30" s="160" t="s">
        <v>195</v>
      </c>
      <c r="P30" s="160">
        <v>1000</v>
      </c>
      <c r="Q30" s="160">
        <f t="shared" ref="Q30:Q31" si="7">K21</f>
        <v>0</v>
      </c>
      <c r="R30" s="161">
        <f t="shared" si="6"/>
        <v>0</v>
      </c>
      <c r="S30" s="99"/>
      <c r="T30" s="99"/>
      <c r="U30" s="99"/>
      <c r="V30" s="99"/>
      <c r="W30" s="99"/>
      <c r="X30" s="99"/>
      <c r="Y30" s="99"/>
      <c r="Z30" s="99"/>
    </row>
    <row r="31" spans="1:26" ht="14.25" customHeight="1" x14ac:dyDescent="0.25">
      <c r="A31" s="99"/>
      <c r="B31" s="99"/>
      <c r="C31" s="99"/>
      <c r="D31" s="99"/>
      <c r="E31" s="191"/>
      <c r="F31" s="191"/>
      <c r="G31" s="99"/>
      <c r="H31" s="99"/>
      <c r="I31" s="269"/>
      <c r="J31" s="195" t="s">
        <v>18</v>
      </c>
      <c r="K31" s="195">
        <f>SUM(K25:K30)</f>
        <v>584</v>
      </c>
      <c r="L31" s="196">
        <f>K31/J12</f>
        <v>0.48870292887029287</v>
      </c>
      <c r="M31" s="198">
        <f>J12-K31</f>
        <v>611</v>
      </c>
      <c r="N31" s="159">
        <f t="shared" si="5"/>
        <v>472</v>
      </c>
      <c r="O31" s="160" t="s">
        <v>196</v>
      </c>
      <c r="P31" s="160">
        <v>550</v>
      </c>
      <c r="Q31" s="160">
        <f t="shared" si="7"/>
        <v>78</v>
      </c>
      <c r="R31" s="161">
        <f t="shared" si="6"/>
        <v>0.14181818181818182</v>
      </c>
      <c r="S31" s="159" t="s">
        <v>197</v>
      </c>
      <c r="T31" s="99"/>
      <c r="U31" s="99"/>
      <c r="V31" s="99"/>
      <c r="W31" s="99"/>
      <c r="X31" s="99"/>
      <c r="Y31" s="99"/>
      <c r="Z31" s="99"/>
    </row>
    <row r="32" spans="1:26" ht="14.25" customHeight="1" x14ac:dyDescent="0.25">
      <c r="A32" s="99"/>
      <c r="B32" s="99"/>
      <c r="C32" s="99"/>
      <c r="D32" s="99"/>
      <c r="E32" s="191"/>
      <c r="F32" s="191"/>
      <c r="G32" s="99"/>
      <c r="H32" s="99"/>
      <c r="I32" s="99"/>
      <c r="J32" s="99"/>
      <c r="K32" s="99"/>
      <c r="L32" s="99"/>
      <c r="M32" s="99"/>
      <c r="N32" s="159">
        <f t="shared" si="5"/>
        <v>500</v>
      </c>
      <c r="O32" s="160" t="s">
        <v>198</v>
      </c>
      <c r="P32" s="160">
        <v>500</v>
      </c>
      <c r="Q32" s="160">
        <v>0</v>
      </c>
      <c r="R32" s="161">
        <f t="shared" si="6"/>
        <v>0</v>
      </c>
      <c r="S32" s="99"/>
      <c r="T32" s="99"/>
      <c r="U32" s="99"/>
      <c r="V32" s="99"/>
      <c r="W32" s="99"/>
      <c r="X32" s="99"/>
      <c r="Y32" s="99"/>
      <c r="Z32" s="99"/>
    </row>
    <row r="33" spans="1:26" ht="14.25" customHeight="1" x14ac:dyDescent="0.25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59">
        <f t="shared" si="5"/>
        <v>1</v>
      </c>
      <c r="O33" s="166" t="s">
        <v>200</v>
      </c>
      <c r="P33" s="166">
        <v>1</v>
      </c>
      <c r="Q33" s="166">
        <v>0</v>
      </c>
      <c r="R33" s="167">
        <f t="shared" si="6"/>
        <v>0</v>
      </c>
      <c r="S33" s="99"/>
      <c r="T33" s="99"/>
      <c r="U33" s="99"/>
      <c r="V33" s="99"/>
      <c r="W33" s="99"/>
      <c r="X33" s="99"/>
      <c r="Y33" s="99"/>
      <c r="Z33" s="99"/>
    </row>
    <row r="34" spans="1:26" ht="14.25" customHeight="1" x14ac:dyDescent="0.25">
      <c r="A34" s="99"/>
      <c r="B34" s="99"/>
      <c r="C34" s="99"/>
      <c r="D34" s="99"/>
      <c r="E34" s="99"/>
      <c r="F34" s="99"/>
      <c r="G34" s="99"/>
      <c r="H34" s="99"/>
      <c r="I34" s="172" t="s">
        <v>205</v>
      </c>
      <c r="J34" s="172" t="s">
        <v>204</v>
      </c>
      <c r="K34" s="172" t="s">
        <v>206</v>
      </c>
      <c r="L34" s="172" t="s">
        <v>207</v>
      </c>
      <c r="M34" s="173" t="s">
        <v>208</v>
      </c>
      <c r="N34" s="99">
        <f t="shared" si="5"/>
        <v>1973</v>
      </c>
      <c r="O34" s="156" t="s">
        <v>18</v>
      </c>
      <c r="P34" s="160">
        <f t="shared" ref="P34:Q34" si="8">SUM(P29:P33)</f>
        <v>2238</v>
      </c>
      <c r="Q34" s="160">
        <f t="shared" si="8"/>
        <v>265</v>
      </c>
      <c r="R34" s="161">
        <f t="shared" si="6"/>
        <v>0.11840929401251117</v>
      </c>
      <c r="S34" s="99"/>
      <c r="T34" s="99"/>
      <c r="U34" s="99"/>
      <c r="V34" s="99"/>
      <c r="W34" s="99"/>
      <c r="X34" s="99"/>
      <c r="Y34" s="99"/>
      <c r="Z34" s="99"/>
    </row>
    <row r="35" spans="1:26" ht="14.25" customHeight="1" x14ac:dyDescent="0.25">
      <c r="A35" s="99"/>
      <c r="B35" s="99"/>
      <c r="C35" s="99"/>
      <c r="D35" s="99"/>
      <c r="E35" s="99"/>
      <c r="F35" s="99"/>
      <c r="G35" s="99"/>
      <c r="H35" s="99">
        <f>L35+L36+L37+L38+L39+L40+25</f>
        <v>658</v>
      </c>
      <c r="I35" s="172" t="s">
        <v>210</v>
      </c>
      <c r="J35" s="172">
        <v>200</v>
      </c>
      <c r="K35" s="172">
        <v>0</v>
      </c>
      <c r="L35" s="172">
        <v>150</v>
      </c>
      <c r="M35" s="99">
        <v>120</v>
      </c>
      <c r="N35" s="99"/>
      <c r="O35" s="99"/>
      <c r="P35" s="99"/>
      <c r="Q35" s="99" t="s">
        <v>211</v>
      </c>
      <c r="R35" s="99"/>
      <c r="S35" s="99"/>
      <c r="T35" s="99"/>
      <c r="U35" s="99"/>
      <c r="V35" s="99"/>
      <c r="W35" s="99"/>
      <c r="X35" s="99"/>
      <c r="Y35" s="99"/>
      <c r="Z35" s="99"/>
    </row>
    <row r="36" spans="1:26" ht="14.25" customHeight="1" x14ac:dyDescent="0.25">
      <c r="A36" s="99"/>
      <c r="B36" s="99"/>
      <c r="C36" s="99"/>
      <c r="D36" s="99"/>
      <c r="E36" s="99"/>
      <c r="F36" s="99"/>
      <c r="G36" s="99"/>
      <c r="H36" s="99"/>
      <c r="I36" s="172" t="s">
        <v>214</v>
      </c>
      <c r="J36" s="172">
        <v>122</v>
      </c>
      <c r="K36" s="172">
        <v>0</v>
      </c>
      <c r="L36" s="172">
        <v>122</v>
      </c>
      <c r="M36" s="99">
        <v>70</v>
      </c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</row>
    <row r="37" spans="1:26" ht="14.25" customHeight="1" x14ac:dyDescent="0.25">
      <c r="A37" s="99"/>
      <c r="B37" s="99"/>
      <c r="C37" s="99"/>
      <c r="D37" s="99"/>
      <c r="E37" s="99"/>
      <c r="F37" s="99"/>
      <c r="G37" s="99"/>
      <c r="H37" s="99"/>
      <c r="I37" s="172" t="s">
        <v>217</v>
      </c>
      <c r="J37" s="172">
        <v>170</v>
      </c>
      <c r="K37" s="172">
        <v>0</v>
      </c>
      <c r="L37" s="172">
        <v>170</v>
      </c>
      <c r="M37" s="99">
        <v>100</v>
      </c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</row>
    <row r="38" spans="1:26" ht="14.25" customHeight="1" x14ac:dyDescent="0.25">
      <c r="A38" s="99"/>
      <c r="B38" s="99"/>
      <c r="C38" s="99"/>
      <c r="D38" s="99"/>
      <c r="E38" s="99"/>
      <c r="F38" s="99"/>
      <c r="G38" s="99"/>
      <c r="H38" s="99"/>
      <c r="I38" s="172" t="s">
        <v>218</v>
      </c>
      <c r="J38" s="172">
        <v>110</v>
      </c>
      <c r="K38" s="172">
        <v>0</v>
      </c>
      <c r="L38" s="172">
        <v>111</v>
      </c>
      <c r="M38" s="99">
        <v>110</v>
      </c>
      <c r="N38" s="99"/>
      <c r="O38" s="99"/>
      <c r="P38" s="99"/>
      <c r="Q38" s="99"/>
      <c r="R38" s="99"/>
      <c r="S38" s="99">
        <v>34</v>
      </c>
      <c r="T38" s="99"/>
      <c r="U38" s="99"/>
      <c r="V38" s="99"/>
      <c r="W38" s="99"/>
      <c r="X38" s="99"/>
      <c r="Y38" s="99"/>
      <c r="Z38" s="99"/>
    </row>
    <row r="39" spans="1:26" ht="14.25" customHeight="1" x14ac:dyDescent="0.25">
      <c r="A39" s="99"/>
      <c r="B39" s="99"/>
      <c r="C39" s="99"/>
      <c r="D39" s="99"/>
      <c r="E39" s="99"/>
      <c r="F39" s="99"/>
      <c r="G39" s="99"/>
      <c r="H39" s="99"/>
      <c r="I39" s="172" t="s">
        <v>219</v>
      </c>
      <c r="J39" s="172">
        <v>65</v>
      </c>
      <c r="K39" s="172">
        <v>0</v>
      </c>
      <c r="L39" s="172">
        <v>65</v>
      </c>
      <c r="M39" s="99"/>
      <c r="N39" s="99"/>
      <c r="O39" s="99"/>
      <c r="P39" s="99"/>
      <c r="Q39" s="99"/>
      <c r="R39" s="99"/>
      <c r="S39" s="99">
        <f>322-S38</f>
        <v>288</v>
      </c>
      <c r="T39" s="99"/>
      <c r="U39" s="99"/>
      <c r="V39" s="99"/>
      <c r="W39" s="99"/>
      <c r="X39" s="99"/>
      <c r="Y39" s="99"/>
      <c r="Z39" s="99"/>
    </row>
    <row r="40" spans="1:26" ht="14.25" customHeight="1" x14ac:dyDescent="0.25">
      <c r="A40" s="99"/>
      <c r="B40" s="99"/>
      <c r="C40" s="99"/>
      <c r="D40" s="99"/>
      <c r="E40" s="99"/>
      <c r="F40" s="99"/>
      <c r="G40" s="99"/>
      <c r="H40" s="99"/>
      <c r="I40" s="172" t="s">
        <v>224</v>
      </c>
      <c r="J40" s="172">
        <v>15</v>
      </c>
      <c r="K40" s="172">
        <v>0</v>
      </c>
      <c r="L40" s="172">
        <v>15</v>
      </c>
      <c r="M40" s="99"/>
      <c r="N40" s="99"/>
      <c r="O40" s="99"/>
      <c r="P40" s="99"/>
      <c r="Q40" s="99"/>
      <c r="R40" s="99"/>
      <c r="S40" s="99">
        <v>1000</v>
      </c>
      <c r="T40" s="99"/>
      <c r="U40" s="99"/>
      <c r="V40" s="99"/>
      <c r="W40" s="99"/>
      <c r="X40" s="99"/>
      <c r="Y40" s="99"/>
      <c r="Z40" s="99"/>
    </row>
    <row r="41" spans="1:26" ht="14.25" customHeight="1" x14ac:dyDescent="0.25">
      <c r="A41" s="99"/>
      <c r="B41" s="99"/>
      <c r="C41" s="99"/>
      <c r="D41" s="99"/>
      <c r="E41" s="99"/>
      <c r="F41" s="99"/>
      <c r="G41" s="99"/>
      <c r="H41" s="99"/>
      <c r="I41" s="172" t="s">
        <v>229</v>
      </c>
      <c r="J41" s="172">
        <v>92</v>
      </c>
      <c r="K41" s="172">
        <v>0</v>
      </c>
      <c r="L41" s="172">
        <v>100</v>
      </c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 spans="1:26" ht="14.25" customHeight="1" x14ac:dyDescent="0.25">
      <c r="A42" s="99"/>
      <c r="B42" s="99"/>
      <c r="C42" s="99"/>
      <c r="D42" s="99"/>
      <c r="E42" s="99"/>
      <c r="F42" s="99"/>
      <c r="G42" s="99"/>
      <c r="H42" s="99"/>
      <c r="I42" s="172" t="s">
        <v>230</v>
      </c>
      <c r="J42" s="172">
        <v>989</v>
      </c>
      <c r="K42" s="172">
        <v>0</v>
      </c>
      <c r="L42" s="172">
        <v>0</v>
      </c>
      <c r="M42" s="150" t="s">
        <v>231</v>
      </c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</row>
    <row r="43" spans="1:26" ht="14.25" customHeight="1" x14ac:dyDescent="0.25">
      <c r="A43" s="99"/>
      <c r="B43" s="99"/>
      <c r="C43" s="99"/>
      <c r="D43" s="99"/>
      <c r="E43" s="99"/>
      <c r="F43" s="99"/>
      <c r="G43" s="99"/>
      <c r="H43" s="99"/>
      <c r="I43" s="172"/>
      <c r="J43" s="172">
        <f t="shared" ref="J43:L43" si="9">SUM(J35:J42)</f>
        <v>1763</v>
      </c>
      <c r="K43" s="172">
        <f t="shared" si="9"/>
        <v>0</v>
      </c>
      <c r="L43" s="172">
        <f t="shared" si="9"/>
        <v>733</v>
      </c>
      <c r="M43" s="99">
        <f>L43-K43</f>
        <v>733</v>
      </c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</row>
    <row r="44" spans="1:26" ht="14.25" customHeight="1" x14ac:dyDescent="0.25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 t="s">
        <v>268</v>
      </c>
      <c r="Q44" s="99"/>
      <c r="R44" s="99"/>
      <c r="S44" s="99"/>
      <c r="T44" s="99"/>
      <c r="U44" s="99"/>
      <c r="V44" s="99"/>
      <c r="W44" s="99"/>
      <c r="X44" s="99"/>
      <c r="Y44" s="99"/>
      <c r="Z44" s="99"/>
    </row>
    <row r="45" spans="1:26" ht="14.25" customHeight="1" x14ac:dyDescent="0.25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15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</row>
    <row r="46" spans="1:26" ht="14.25" customHeight="1" x14ac:dyDescent="0.25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199" t="s">
        <v>269</v>
      </c>
      <c r="O46" s="199" t="s">
        <v>270</v>
      </c>
      <c r="P46" s="199" t="s">
        <v>271</v>
      </c>
      <c r="Q46" s="199" t="s">
        <v>272</v>
      </c>
      <c r="R46" s="199" t="s">
        <v>273</v>
      </c>
      <c r="S46" s="99"/>
      <c r="T46" s="99"/>
      <c r="U46" s="99"/>
      <c r="V46" s="99"/>
      <c r="W46" s="99"/>
      <c r="X46" s="99"/>
      <c r="Y46" s="99"/>
      <c r="Z46" s="99"/>
    </row>
    <row r="47" spans="1:26" ht="14.25" customHeight="1" x14ac:dyDescent="0.25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200">
        <f>(31*2+30+7)/20</f>
        <v>4.95</v>
      </c>
      <c r="O47" s="200" t="s">
        <v>274</v>
      </c>
      <c r="P47" s="200">
        <v>5</v>
      </c>
      <c r="Q47" s="200">
        <v>25000</v>
      </c>
      <c r="R47" s="200">
        <f t="shared" ref="R47:R59" si="10">Q47*P47</f>
        <v>125000</v>
      </c>
      <c r="S47" s="201">
        <f>+R47</f>
        <v>125000</v>
      </c>
      <c r="T47" s="99"/>
      <c r="U47" s="99"/>
      <c r="V47" s="99"/>
      <c r="W47" s="99"/>
      <c r="X47" s="99"/>
      <c r="Y47" s="99"/>
      <c r="Z47" s="99"/>
    </row>
    <row r="48" spans="1:26" ht="14.25" customHeight="1" x14ac:dyDescent="0.25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200">
        <v>6</v>
      </c>
      <c r="O48" s="202" t="s">
        <v>275</v>
      </c>
      <c r="P48" s="200">
        <v>3</v>
      </c>
      <c r="Q48" s="200">
        <v>25000</v>
      </c>
      <c r="R48" s="200">
        <f t="shared" si="10"/>
        <v>75000</v>
      </c>
      <c r="S48" s="201">
        <f t="shared" ref="S48:S59" si="11">+R48+S47</f>
        <v>200000</v>
      </c>
      <c r="T48" s="99"/>
      <c r="U48" s="99"/>
      <c r="V48" s="99"/>
      <c r="W48" s="99"/>
      <c r="X48" s="99"/>
      <c r="Y48" s="99"/>
      <c r="Z48" s="99"/>
    </row>
    <row r="49" spans="1:26" ht="14.25" customHeight="1" x14ac:dyDescent="0.25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200">
        <v>3</v>
      </c>
      <c r="O49" s="202" t="s">
        <v>100</v>
      </c>
      <c r="P49" s="200">
        <v>3</v>
      </c>
      <c r="Q49" s="200">
        <v>25000</v>
      </c>
      <c r="R49" s="200">
        <f t="shared" si="10"/>
        <v>75000</v>
      </c>
      <c r="S49" s="203">
        <f t="shared" si="11"/>
        <v>275000</v>
      </c>
      <c r="T49" s="99"/>
      <c r="U49" s="99"/>
      <c r="V49" s="99"/>
      <c r="W49" s="99"/>
      <c r="X49" s="99"/>
      <c r="Y49" s="99"/>
      <c r="Z49" s="99"/>
    </row>
    <row r="50" spans="1:26" ht="14.25" customHeight="1" x14ac:dyDescent="0.25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200">
        <v>24</v>
      </c>
      <c r="O50" s="202" t="s">
        <v>276</v>
      </c>
      <c r="P50" s="200">
        <v>8</v>
      </c>
      <c r="Q50" s="200">
        <v>5000</v>
      </c>
      <c r="R50" s="200">
        <f t="shared" si="10"/>
        <v>40000</v>
      </c>
      <c r="S50" s="203">
        <f t="shared" si="11"/>
        <v>315000</v>
      </c>
      <c r="T50" s="99"/>
      <c r="U50" s="99"/>
      <c r="V50" s="99"/>
      <c r="W50" s="99"/>
      <c r="X50" s="99"/>
      <c r="Y50" s="99"/>
      <c r="Z50" s="99"/>
    </row>
    <row r="51" spans="1:26" ht="14.25" customHeight="1" x14ac:dyDescent="0.25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200">
        <v>3</v>
      </c>
      <c r="O51" s="202" t="s">
        <v>277</v>
      </c>
      <c r="P51" s="200">
        <v>3</v>
      </c>
      <c r="Q51" s="200">
        <v>12000</v>
      </c>
      <c r="R51" s="200">
        <f t="shared" si="10"/>
        <v>36000</v>
      </c>
      <c r="S51" s="203">
        <f t="shared" si="11"/>
        <v>351000</v>
      </c>
      <c r="T51" s="99"/>
      <c r="U51" s="99"/>
      <c r="V51" s="99"/>
      <c r="W51" s="99"/>
      <c r="X51" s="99"/>
      <c r="Y51" s="99"/>
      <c r="Z51" s="99"/>
    </row>
    <row r="52" spans="1:26" ht="14.25" customHeight="1" x14ac:dyDescent="0.25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200">
        <v>6</v>
      </c>
      <c r="O52" s="202" t="s">
        <v>278</v>
      </c>
      <c r="P52" s="200">
        <v>2</v>
      </c>
      <c r="Q52" s="200">
        <v>6000</v>
      </c>
      <c r="R52" s="200">
        <f t="shared" si="10"/>
        <v>12000</v>
      </c>
      <c r="S52" s="203">
        <f t="shared" si="11"/>
        <v>363000</v>
      </c>
      <c r="T52" s="99"/>
      <c r="U52" s="99"/>
      <c r="V52" s="99"/>
      <c r="W52" s="99"/>
      <c r="X52" s="99"/>
      <c r="Y52" s="99"/>
      <c r="Z52" s="99"/>
    </row>
    <row r="53" spans="1:26" ht="14.25" customHeight="1" x14ac:dyDescent="0.25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200">
        <v>2</v>
      </c>
      <c r="O53" s="202" t="s">
        <v>279</v>
      </c>
      <c r="P53" s="200">
        <v>1</v>
      </c>
      <c r="Q53" s="200">
        <v>10000</v>
      </c>
      <c r="R53" s="200">
        <f t="shared" si="10"/>
        <v>10000</v>
      </c>
      <c r="S53" s="203">
        <f t="shared" si="11"/>
        <v>373000</v>
      </c>
      <c r="T53" s="99"/>
      <c r="U53" s="99"/>
      <c r="V53" s="99"/>
      <c r="W53" s="99"/>
      <c r="X53" s="99"/>
      <c r="Y53" s="99"/>
      <c r="Z53" s="99"/>
    </row>
    <row r="54" spans="1:26" ht="14.25" customHeight="1" x14ac:dyDescent="0.25">
      <c r="A54" s="99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200">
        <v>2</v>
      </c>
      <c r="O54" s="202" t="s">
        <v>280</v>
      </c>
      <c r="P54" s="200">
        <v>2</v>
      </c>
      <c r="Q54" s="200">
        <v>35000</v>
      </c>
      <c r="R54" s="200">
        <f t="shared" si="10"/>
        <v>70000</v>
      </c>
      <c r="S54" s="203">
        <f t="shared" si="11"/>
        <v>443000</v>
      </c>
      <c r="T54" s="99"/>
      <c r="U54" s="99"/>
      <c r="V54" s="99"/>
      <c r="W54" s="99"/>
      <c r="X54" s="99"/>
      <c r="Y54" s="99"/>
      <c r="Z54" s="99"/>
    </row>
    <row r="55" spans="1:26" ht="14.25" customHeight="1" x14ac:dyDescent="0.25">
      <c r="A55" s="99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200">
        <v>3</v>
      </c>
      <c r="O55" s="202" t="s">
        <v>115</v>
      </c>
      <c r="P55" s="200">
        <v>3</v>
      </c>
      <c r="Q55" s="200">
        <v>15000</v>
      </c>
      <c r="R55" s="200">
        <f t="shared" si="10"/>
        <v>45000</v>
      </c>
      <c r="S55" s="203">
        <f t="shared" si="11"/>
        <v>488000</v>
      </c>
      <c r="T55" s="99"/>
      <c r="U55" s="99"/>
      <c r="V55" s="99"/>
      <c r="W55" s="99"/>
      <c r="X55" s="99"/>
      <c r="Y55" s="99"/>
      <c r="Z55" s="99"/>
    </row>
    <row r="56" spans="1:26" ht="14.25" customHeight="1" x14ac:dyDescent="0.25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200">
        <v>1</v>
      </c>
      <c r="O56" s="202" t="s">
        <v>112</v>
      </c>
      <c r="P56" s="200">
        <v>1</v>
      </c>
      <c r="Q56" s="200">
        <v>18000</v>
      </c>
      <c r="R56" s="200">
        <f t="shared" si="10"/>
        <v>18000</v>
      </c>
      <c r="S56" s="203">
        <f t="shared" si="11"/>
        <v>506000</v>
      </c>
      <c r="T56" s="99"/>
      <c r="U56" s="99"/>
      <c r="V56" s="99"/>
      <c r="W56" s="99"/>
      <c r="X56" s="99"/>
      <c r="Y56" s="99"/>
      <c r="Z56" s="99"/>
    </row>
    <row r="57" spans="1:26" ht="14.25" customHeight="1" x14ac:dyDescent="0.25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200">
        <v>1</v>
      </c>
      <c r="O57" s="202" t="s">
        <v>281</v>
      </c>
      <c r="P57" s="200">
        <v>1</v>
      </c>
      <c r="Q57" s="200">
        <v>20000</v>
      </c>
      <c r="R57" s="200">
        <f t="shared" si="10"/>
        <v>20000</v>
      </c>
      <c r="S57" s="203">
        <f t="shared" si="11"/>
        <v>526000</v>
      </c>
      <c r="T57" s="99"/>
      <c r="U57" s="99"/>
      <c r="V57" s="99"/>
      <c r="W57" s="99"/>
      <c r="X57" s="99"/>
      <c r="Y57" s="99"/>
      <c r="Z57" s="99"/>
    </row>
    <row r="58" spans="1:26" ht="14.25" customHeight="1" x14ac:dyDescent="0.25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200">
        <v>4</v>
      </c>
      <c r="O58" s="202" t="s">
        <v>282</v>
      </c>
      <c r="P58" s="200">
        <v>4</v>
      </c>
      <c r="Q58" s="200">
        <v>4000</v>
      </c>
      <c r="R58" s="200">
        <f t="shared" si="10"/>
        <v>16000</v>
      </c>
      <c r="S58" s="203">
        <f t="shared" si="11"/>
        <v>542000</v>
      </c>
      <c r="T58" s="99"/>
      <c r="U58" s="99"/>
      <c r="V58" s="99"/>
      <c r="W58" s="99"/>
      <c r="X58" s="99"/>
      <c r="Y58" s="99"/>
      <c r="Z58" s="99"/>
    </row>
    <row r="59" spans="1:26" ht="14.25" customHeight="1" x14ac:dyDescent="0.25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200">
        <v>1</v>
      </c>
      <c r="O59" s="202" t="s">
        <v>283</v>
      </c>
      <c r="P59" s="200">
        <v>1</v>
      </c>
      <c r="Q59" s="200">
        <v>8000</v>
      </c>
      <c r="R59" s="200">
        <f t="shared" si="10"/>
        <v>8000</v>
      </c>
      <c r="S59" s="203">
        <f t="shared" si="11"/>
        <v>550000</v>
      </c>
      <c r="T59" s="99"/>
      <c r="U59" s="99"/>
      <c r="V59" s="99"/>
      <c r="W59" s="99"/>
      <c r="X59" s="99"/>
      <c r="Y59" s="99"/>
      <c r="Z59" s="99"/>
    </row>
    <row r="60" spans="1:26" ht="14.25" customHeight="1" x14ac:dyDescent="0.25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200">
        <f>SUM(R47:R59)</f>
        <v>550000</v>
      </c>
      <c r="S60" s="99"/>
      <c r="T60" s="99"/>
      <c r="U60" s="99"/>
      <c r="V60" s="99"/>
      <c r="W60" s="99"/>
      <c r="X60" s="99"/>
      <c r="Y60" s="99"/>
      <c r="Z60" s="99"/>
    </row>
    <row r="61" spans="1:26" ht="14.25" customHeight="1" x14ac:dyDescent="0.25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</row>
    <row r="62" spans="1:26" ht="14.25" customHeight="1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</row>
    <row r="63" spans="1:26" ht="14.25" customHeight="1" x14ac:dyDescent="0.25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</row>
    <row r="64" spans="1:26" ht="14.25" customHeight="1" x14ac:dyDescent="0.25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</row>
    <row r="65" spans="1:26" ht="14.25" customHeight="1" x14ac:dyDescent="0.25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4.25" customHeight="1" x14ac:dyDescent="0.25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</row>
    <row r="67" spans="1:26" ht="14.25" customHeight="1" x14ac:dyDescent="0.25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</row>
    <row r="68" spans="1:26" ht="14.25" customHeight="1" x14ac:dyDescent="0.25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</row>
    <row r="69" spans="1:26" ht="14.25" customHeight="1" x14ac:dyDescent="0.25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</row>
    <row r="70" spans="1:26" ht="14.25" customHeight="1" x14ac:dyDescent="0.25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</row>
    <row r="71" spans="1:26" ht="14.25" customHeight="1" x14ac:dyDescent="0.25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</row>
    <row r="72" spans="1:26" ht="14.25" customHeight="1" x14ac:dyDescent="0.25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</row>
    <row r="73" spans="1:26" ht="14.25" customHeight="1" x14ac:dyDescent="0.25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</row>
    <row r="74" spans="1:26" ht="14.25" customHeight="1" x14ac:dyDescent="0.25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</row>
    <row r="75" spans="1:26" ht="14.25" customHeight="1" x14ac:dyDescent="0.25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</row>
    <row r="76" spans="1:26" ht="14.25" customHeight="1" x14ac:dyDescent="0.25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</row>
    <row r="77" spans="1:26" ht="14.25" customHeight="1" x14ac:dyDescent="0.25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</row>
    <row r="78" spans="1:26" ht="14.25" customHeight="1" x14ac:dyDescent="0.25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</row>
    <row r="79" spans="1:26" ht="14.25" customHeight="1" x14ac:dyDescent="0.25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</row>
    <row r="80" spans="1:26" ht="14.25" customHeight="1" x14ac:dyDescent="0.25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 spans="1:26" ht="14.25" customHeight="1" x14ac:dyDescent="0.25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</row>
    <row r="82" spans="1:26" ht="14.25" customHeight="1" x14ac:dyDescent="0.25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</row>
    <row r="83" spans="1:26" ht="14.25" customHeight="1" x14ac:dyDescent="0.25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</row>
    <row r="84" spans="1:26" ht="14.25" customHeight="1" x14ac:dyDescent="0.25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</row>
    <row r="85" spans="1:26" ht="14.25" customHeight="1" x14ac:dyDescent="0.25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</row>
    <row r="86" spans="1:26" ht="14.25" customHeight="1" x14ac:dyDescent="0.25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</row>
    <row r="87" spans="1:26" ht="14.25" customHeight="1" x14ac:dyDescent="0.25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</row>
    <row r="88" spans="1:26" ht="14.25" customHeight="1" x14ac:dyDescent="0.25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</row>
    <row r="89" spans="1:26" ht="14.25" customHeight="1" x14ac:dyDescent="0.25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</row>
    <row r="90" spans="1:26" ht="14.25" customHeight="1" x14ac:dyDescent="0.25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</row>
    <row r="91" spans="1:26" ht="14.25" customHeight="1" x14ac:dyDescent="0.25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</row>
    <row r="92" spans="1:26" ht="14.25" customHeight="1" x14ac:dyDescent="0.25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</row>
    <row r="93" spans="1:26" ht="14.25" customHeight="1" x14ac:dyDescent="0.25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</row>
    <row r="94" spans="1:26" ht="14.25" customHeight="1" x14ac:dyDescent="0.25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</row>
    <row r="95" spans="1:26" ht="14.25" customHeight="1" x14ac:dyDescent="0.25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</row>
    <row r="96" spans="1:26" ht="14.25" customHeight="1" x14ac:dyDescent="0.25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</row>
    <row r="97" spans="1:26" ht="14.25" customHeight="1" x14ac:dyDescent="0.25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</row>
    <row r="98" spans="1:26" ht="14.25" customHeight="1" x14ac:dyDescent="0.25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</row>
    <row r="99" spans="1:26" ht="14.25" customHeight="1" x14ac:dyDescent="0.25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4.25" customHeight="1" x14ac:dyDescent="0.25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</row>
    <row r="101" spans="1:26" ht="14.25" customHeight="1" x14ac:dyDescent="0.25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</row>
    <row r="102" spans="1:26" ht="14.25" customHeight="1" x14ac:dyDescent="0.25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</row>
    <row r="103" spans="1:26" ht="14.25" customHeight="1" x14ac:dyDescent="0.25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</row>
    <row r="104" spans="1:26" ht="14.25" customHeight="1" x14ac:dyDescent="0.25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</row>
    <row r="105" spans="1:26" ht="14.25" customHeight="1" x14ac:dyDescent="0.25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</row>
    <row r="106" spans="1:26" ht="14.25" customHeight="1" x14ac:dyDescent="0.25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</row>
    <row r="107" spans="1:26" ht="14.25" customHeight="1" x14ac:dyDescent="0.25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</row>
    <row r="108" spans="1:26" ht="14.25" customHeight="1" x14ac:dyDescent="0.25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</row>
    <row r="109" spans="1:26" ht="14.25" customHeight="1" x14ac:dyDescent="0.25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</row>
    <row r="110" spans="1:26" ht="14.25" customHeight="1" x14ac:dyDescent="0.25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</row>
    <row r="111" spans="1:26" ht="14.25" customHeight="1" x14ac:dyDescent="0.25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</row>
    <row r="112" spans="1:26" ht="14.25" customHeight="1" x14ac:dyDescent="0.25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</row>
    <row r="113" spans="1:26" ht="14.25" customHeight="1" x14ac:dyDescent="0.25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</row>
    <row r="114" spans="1:26" ht="14.25" customHeight="1" x14ac:dyDescent="0.25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</row>
    <row r="115" spans="1:26" ht="14.25" customHeight="1" x14ac:dyDescent="0.25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</row>
    <row r="116" spans="1:26" ht="14.25" customHeight="1" x14ac:dyDescent="0.25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</row>
    <row r="117" spans="1:26" ht="14.25" customHeight="1" x14ac:dyDescent="0.25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</row>
    <row r="118" spans="1:26" ht="14.25" customHeight="1" x14ac:dyDescent="0.25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</row>
    <row r="119" spans="1:26" ht="14.25" customHeight="1" x14ac:dyDescent="0.25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</row>
    <row r="120" spans="1:26" ht="14.25" customHeight="1" x14ac:dyDescent="0.25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</row>
    <row r="121" spans="1:26" ht="14.25" customHeight="1" x14ac:dyDescent="0.25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</row>
    <row r="122" spans="1:26" ht="14.25" customHeight="1" x14ac:dyDescent="0.25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</row>
    <row r="123" spans="1:26" ht="14.25" customHeight="1" x14ac:dyDescent="0.25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</row>
    <row r="124" spans="1:26" ht="14.25" customHeight="1" x14ac:dyDescent="0.25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</row>
    <row r="125" spans="1:26" ht="14.25" customHeight="1" x14ac:dyDescent="0.25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</row>
    <row r="126" spans="1:26" ht="14.25" customHeight="1" x14ac:dyDescent="0.25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</row>
    <row r="127" spans="1:26" ht="14.25" customHeight="1" x14ac:dyDescent="0.25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</row>
    <row r="128" spans="1:26" ht="14.25" customHeight="1" x14ac:dyDescent="0.25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</row>
    <row r="129" spans="1:26" ht="14.25" customHeight="1" x14ac:dyDescent="0.25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</row>
    <row r="130" spans="1:26" ht="14.25" customHeight="1" x14ac:dyDescent="0.25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</row>
    <row r="131" spans="1:26" ht="14.25" customHeight="1" x14ac:dyDescent="0.25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</row>
    <row r="132" spans="1:26" ht="14.25" customHeight="1" x14ac:dyDescent="0.25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</row>
    <row r="133" spans="1:26" ht="14.25" customHeight="1" x14ac:dyDescent="0.25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</row>
    <row r="134" spans="1:26" ht="14.25" customHeight="1" x14ac:dyDescent="0.25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</row>
    <row r="135" spans="1:26" ht="14.25" customHeight="1" x14ac:dyDescent="0.25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</row>
    <row r="136" spans="1:26" ht="14.25" customHeight="1" x14ac:dyDescent="0.25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</row>
    <row r="137" spans="1:26" ht="14.25" customHeight="1" x14ac:dyDescent="0.25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</row>
    <row r="138" spans="1:26" ht="14.25" customHeight="1" x14ac:dyDescent="0.25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</row>
    <row r="139" spans="1:26" ht="14.25" customHeight="1" x14ac:dyDescent="0.25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</row>
    <row r="140" spans="1:26" ht="14.25" customHeight="1" x14ac:dyDescent="0.25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</row>
    <row r="141" spans="1:26" ht="14.25" customHeight="1" x14ac:dyDescent="0.25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</row>
    <row r="142" spans="1:26" ht="14.25" customHeight="1" x14ac:dyDescent="0.25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</row>
    <row r="143" spans="1:26" ht="14.25" customHeight="1" x14ac:dyDescent="0.25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</row>
    <row r="144" spans="1:26" ht="14.25" customHeight="1" x14ac:dyDescent="0.25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</row>
    <row r="145" spans="1:26" ht="14.25" customHeight="1" x14ac:dyDescent="0.25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4.25" customHeight="1" x14ac:dyDescent="0.25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</row>
    <row r="147" spans="1:26" ht="14.25" customHeight="1" x14ac:dyDescent="0.25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</row>
    <row r="148" spans="1:26" ht="14.25" customHeight="1" x14ac:dyDescent="0.25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</row>
    <row r="149" spans="1:26" ht="14.25" customHeight="1" x14ac:dyDescent="0.25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</row>
    <row r="150" spans="1:26" ht="14.25" customHeight="1" x14ac:dyDescent="0.25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</row>
    <row r="151" spans="1:26" ht="14.25" customHeight="1" x14ac:dyDescent="0.25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</row>
    <row r="152" spans="1:26" ht="14.25" customHeight="1" x14ac:dyDescent="0.25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</row>
    <row r="153" spans="1:26" ht="14.25" customHeight="1" x14ac:dyDescent="0.25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</row>
    <row r="154" spans="1:26" ht="14.25" customHeight="1" x14ac:dyDescent="0.25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</row>
    <row r="155" spans="1:26" ht="14.25" customHeight="1" x14ac:dyDescent="0.25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</row>
    <row r="156" spans="1:26" ht="14.25" customHeight="1" x14ac:dyDescent="0.25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</row>
    <row r="157" spans="1:26" ht="14.25" customHeight="1" x14ac:dyDescent="0.25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</row>
    <row r="158" spans="1:26" ht="14.25" customHeight="1" x14ac:dyDescent="0.25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</row>
    <row r="159" spans="1:26" ht="14.25" customHeight="1" x14ac:dyDescent="0.25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</row>
    <row r="160" spans="1:26" ht="14.25" customHeight="1" x14ac:dyDescent="0.25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</row>
    <row r="161" spans="1:26" ht="14.25" customHeight="1" x14ac:dyDescent="0.25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</row>
    <row r="162" spans="1:26" ht="14.25" customHeight="1" x14ac:dyDescent="0.25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</row>
    <row r="163" spans="1:26" ht="14.25" customHeight="1" x14ac:dyDescent="0.25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</row>
    <row r="164" spans="1:26" ht="14.25" customHeight="1" x14ac:dyDescent="0.25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</row>
    <row r="165" spans="1:26" ht="14.25" customHeight="1" x14ac:dyDescent="0.25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</row>
    <row r="166" spans="1:26" ht="14.25" customHeight="1" x14ac:dyDescent="0.25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</row>
    <row r="167" spans="1:26" ht="14.25" customHeight="1" x14ac:dyDescent="0.25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</row>
    <row r="168" spans="1:26" ht="14.25" customHeight="1" x14ac:dyDescent="0.25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</row>
    <row r="169" spans="1:26" ht="14.25" customHeight="1" x14ac:dyDescent="0.25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</row>
    <row r="170" spans="1:26" ht="14.25" customHeight="1" x14ac:dyDescent="0.25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</row>
    <row r="171" spans="1:26" ht="14.25" customHeight="1" x14ac:dyDescent="0.25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</row>
    <row r="172" spans="1:26" ht="14.25" customHeight="1" x14ac:dyDescent="0.25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</row>
    <row r="173" spans="1:26" ht="14.25" customHeight="1" x14ac:dyDescent="0.25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</row>
    <row r="174" spans="1:26" ht="14.25" customHeight="1" x14ac:dyDescent="0.25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</row>
    <row r="175" spans="1:26" ht="14.25" customHeight="1" x14ac:dyDescent="0.25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</row>
    <row r="176" spans="1:26" ht="14.25" customHeight="1" x14ac:dyDescent="0.25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</row>
    <row r="177" spans="1:26" ht="14.25" customHeight="1" x14ac:dyDescent="0.25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</row>
    <row r="178" spans="1:26" ht="14.25" customHeight="1" x14ac:dyDescent="0.25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</row>
    <row r="179" spans="1:26" ht="14.25" customHeight="1" x14ac:dyDescent="0.25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</row>
    <row r="180" spans="1:26" ht="14.25" customHeight="1" x14ac:dyDescent="0.25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</row>
    <row r="181" spans="1:26" ht="14.25" customHeight="1" x14ac:dyDescent="0.25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</row>
    <row r="182" spans="1:26" ht="14.25" customHeight="1" x14ac:dyDescent="0.25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</row>
    <row r="183" spans="1:26" ht="14.25" customHeight="1" x14ac:dyDescent="0.25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</row>
    <row r="184" spans="1:26" ht="14.25" customHeight="1" x14ac:dyDescent="0.25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4.25" customHeight="1" x14ac:dyDescent="0.25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</row>
    <row r="186" spans="1:26" ht="14.25" customHeight="1" x14ac:dyDescent="0.25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</row>
    <row r="187" spans="1:26" ht="14.25" customHeight="1" x14ac:dyDescent="0.25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</row>
    <row r="188" spans="1:26" ht="14.25" customHeight="1" x14ac:dyDescent="0.25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</row>
    <row r="189" spans="1:26" ht="14.25" customHeight="1" x14ac:dyDescent="0.25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</row>
    <row r="190" spans="1:26" ht="14.25" customHeight="1" x14ac:dyDescent="0.25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</row>
    <row r="191" spans="1:26" ht="14.25" customHeight="1" x14ac:dyDescent="0.25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</row>
    <row r="192" spans="1:26" ht="14.25" customHeight="1" x14ac:dyDescent="0.25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</row>
    <row r="193" spans="1:26" ht="14.25" customHeight="1" x14ac:dyDescent="0.25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</row>
    <row r="194" spans="1:26" ht="14.25" customHeight="1" x14ac:dyDescent="0.25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</row>
    <row r="195" spans="1:26" ht="14.25" customHeight="1" x14ac:dyDescent="0.25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</row>
    <row r="196" spans="1:26" ht="14.25" customHeight="1" x14ac:dyDescent="0.25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</row>
    <row r="197" spans="1:26" ht="14.25" customHeight="1" x14ac:dyDescent="0.25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</row>
    <row r="198" spans="1:26" ht="14.25" customHeight="1" x14ac:dyDescent="0.25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</row>
    <row r="199" spans="1:26" ht="14.25" customHeight="1" x14ac:dyDescent="0.25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</row>
    <row r="200" spans="1:26" ht="14.25" customHeight="1" x14ac:dyDescent="0.25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</row>
    <row r="201" spans="1:26" ht="14.25" customHeight="1" x14ac:dyDescent="0.25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</row>
    <row r="202" spans="1:26" ht="14.25" customHeight="1" x14ac:dyDescent="0.25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</row>
    <row r="203" spans="1:26" ht="14.25" customHeight="1" x14ac:dyDescent="0.25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</row>
    <row r="204" spans="1:26" ht="14.25" customHeight="1" x14ac:dyDescent="0.25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</row>
    <row r="205" spans="1:26" ht="14.25" customHeight="1" x14ac:dyDescent="0.25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</row>
    <row r="206" spans="1:26" ht="14.25" customHeight="1" x14ac:dyDescent="0.25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</row>
    <row r="207" spans="1:26" ht="14.25" customHeight="1" x14ac:dyDescent="0.25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</row>
    <row r="208" spans="1:26" ht="14.25" customHeight="1" x14ac:dyDescent="0.25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</row>
    <row r="209" spans="1:26" ht="14.25" customHeight="1" x14ac:dyDescent="0.25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</row>
    <row r="210" spans="1:26" ht="14.25" customHeight="1" x14ac:dyDescent="0.25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</row>
    <row r="211" spans="1:26" ht="14.25" customHeight="1" x14ac:dyDescent="0.25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</row>
    <row r="212" spans="1:26" ht="14.25" customHeight="1" x14ac:dyDescent="0.25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</row>
    <row r="213" spans="1:26" ht="14.25" customHeight="1" x14ac:dyDescent="0.25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</row>
    <row r="214" spans="1:26" ht="14.25" customHeight="1" x14ac:dyDescent="0.25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</row>
    <row r="215" spans="1:26" ht="14.25" customHeight="1" x14ac:dyDescent="0.25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</row>
    <row r="216" spans="1:26" ht="14.25" customHeight="1" x14ac:dyDescent="0.25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</row>
    <row r="217" spans="1:26" ht="14.25" customHeight="1" x14ac:dyDescent="0.25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</row>
    <row r="218" spans="1:26" ht="14.25" customHeight="1" x14ac:dyDescent="0.25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</row>
    <row r="219" spans="1:26" ht="14.25" customHeight="1" x14ac:dyDescent="0.25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</row>
    <row r="220" spans="1:26" ht="14.25" customHeight="1" x14ac:dyDescent="0.25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</row>
    <row r="221" spans="1:26" ht="14.25" customHeight="1" x14ac:dyDescent="0.25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</row>
    <row r="222" spans="1:26" ht="14.25" customHeight="1" x14ac:dyDescent="0.25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</row>
    <row r="223" spans="1:26" ht="14.25" customHeight="1" x14ac:dyDescent="0.25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</row>
    <row r="224" spans="1:26" ht="14.25" customHeight="1" x14ac:dyDescent="0.25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</row>
    <row r="225" spans="1:26" ht="14.25" customHeight="1" x14ac:dyDescent="0.25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</row>
    <row r="226" spans="1:26" ht="14.25" customHeight="1" x14ac:dyDescent="0.25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</row>
    <row r="227" spans="1:26" ht="14.25" customHeight="1" x14ac:dyDescent="0.25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</row>
    <row r="228" spans="1:26" ht="14.25" customHeight="1" x14ac:dyDescent="0.25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</row>
    <row r="229" spans="1:26" ht="14.25" customHeight="1" x14ac:dyDescent="0.25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</row>
    <row r="230" spans="1:26" ht="14.25" customHeight="1" x14ac:dyDescent="0.25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</row>
    <row r="231" spans="1:26" ht="14.25" customHeight="1" x14ac:dyDescent="0.25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</row>
    <row r="232" spans="1:26" ht="14.25" customHeight="1" x14ac:dyDescent="0.25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</row>
    <row r="233" spans="1:26" ht="14.25" customHeight="1" x14ac:dyDescent="0.25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</row>
    <row r="234" spans="1:26" ht="14.25" customHeight="1" x14ac:dyDescent="0.25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</row>
    <row r="235" spans="1:26" ht="14.25" customHeight="1" x14ac:dyDescent="0.25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</row>
    <row r="236" spans="1:26" ht="14.25" customHeight="1" x14ac:dyDescent="0.25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</row>
    <row r="237" spans="1:26" ht="14.25" customHeight="1" x14ac:dyDescent="0.25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</row>
    <row r="238" spans="1:26" ht="14.25" customHeight="1" x14ac:dyDescent="0.25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</row>
    <row r="239" spans="1:26" ht="14.25" customHeight="1" x14ac:dyDescent="0.25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</row>
    <row r="240" spans="1:26" ht="14.25" customHeight="1" x14ac:dyDescent="0.25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</row>
    <row r="241" spans="1:26" ht="14.25" customHeight="1" x14ac:dyDescent="0.25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</row>
    <row r="242" spans="1:26" ht="14.25" customHeight="1" x14ac:dyDescent="0.25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</row>
    <row r="243" spans="1:26" ht="14.25" customHeight="1" x14ac:dyDescent="0.25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</row>
    <row r="244" spans="1:26" ht="14.25" customHeight="1" x14ac:dyDescent="0.25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</row>
    <row r="245" spans="1:26" ht="14.25" customHeight="1" x14ac:dyDescent="0.25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</row>
    <row r="246" spans="1:26" ht="14.25" customHeight="1" x14ac:dyDescent="0.25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</row>
    <row r="247" spans="1:26" ht="14.25" customHeight="1" x14ac:dyDescent="0.25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</row>
    <row r="248" spans="1:26" ht="14.25" customHeight="1" x14ac:dyDescent="0.25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</row>
    <row r="249" spans="1:26" ht="14.25" customHeight="1" x14ac:dyDescent="0.25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</row>
    <row r="250" spans="1:26" ht="14.25" customHeight="1" x14ac:dyDescent="0.25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</row>
    <row r="251" spans="1:26" ht="14.25" customHeight="1" x14ac:dyDescent="0.25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</row>
    <row r="252" spans="1:26" ht="14.25" customHeight="1" x14ac:dyDescent="0.25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</row>
    <row r="253" spans="1:26" ht="14.25" customHeight="1" x14ac:dyDescent="0.25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</row>
    <row r="254" spans="1:26" ht="14.25" customHeight="1" x14ac:dyDescent="0.25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</row>
    <row r="255" spans="1:26" ht="14.25" customHeight="1" x14ac:dyDescent="0.25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</row>
    <row r="256" spans="1:26" ht="14.25" customHeight="1" x14ac:dyDescent="0.25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</row>
    <row r="257" spans="1:26" ht="14.25" customHeight="1" x14ac:dyDescent="0.25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</row>
    <row r="258" spans="1:26" ht="14.25" customHeight="1" x14ac:dyDescent="0.25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</row>
    <row r="259" spans="1:26" ht="14.25" customHeight="1" x14ac:dyDescent="0.25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</row>
    <row r="260" spans="1:26" ht="14.25" customHeight="1" x14ac:dyDescent="0.25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</row>
    <row r="261" spans="1:26" ht="14.25" customHeight="1" x14ac:dyDescent="0.25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</row>
    <row r="262" spans="1:26" ht="14.25" customHeight="1" x14ac:dyDescent="0.25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</row>
    <row r="263" spans="1:26" ht="14.25" customHeight="1" x14ac:dyDescent="0.25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</row>
    <row r="264" spans="1:26" ht="14.25" customHeight="1" x14ac:dyDescent="0.25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</row>
    <row r="265" spans="1:26" ht="14.25" customHeight="1" x14ac:dyDescent="0.25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</row>
    <row r="266" spans="1:26" ht="14.25" customHeight="1" x14ac:dyDescent="0.25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</row>
    <row r="267" spans="1:26" ht="14.25" customHeight="1" x14ac:dyDescent="0.25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</row>
    <row r="268" spans="1:26" ht="14.25" customHeight="1" x14ac:dyDescent="0.25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</row>
    <row r="269" spans="1:26" ht="14.25" customHeight="1" x14ac:dyDescent="0.25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4.25" customHeight="1" x14ac:dyDescent="0.25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</row>
    <row r="271" spans="1:26" ht="14.25" customHeight="1" x14ac:dyDescent="0.25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</row>
    <row r="272" spans="1:26" ht="14.25" customHeight="1" x14ac:dyDescent="0.25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</row>
    <row r="273" spans="1:26" ht="14.25" customHeight="1" x14ac:dyDescent="0.25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</row>
    <row r="274" spans="1:26" ht="14.25" customHeight="1" x14ac:dyDescent="0.25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</row>
    <row r="275" spans="1:26" ht="14.25" customHeight="1" x14ac:dyDescent="0.25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4.25" customHeight="1" x14ac:dyDescent="0.25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</row>
    <row r="277" spans="1:26" ht="14.25" customHeight="1" x14ac:dyDescent="0.25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</row>
    <row r="278" spans="1:26" ht="14.25" customHeight="1" x14ac:dyDescent="0.25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</row>
    <row r="279" spans="1:26" ht="14.25" customHeight="1" x14ac:dyDescent="0.25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</row>
    <row r="280" spans="1:26" ht="14.25" customHeight="1" x14ac:dyDescent="0.25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</row>
    <row r="281" spans="1:26" ht="14.25" customHeight="1" x14ac:dyDescent="0.25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</row>
    <row r="282" spans="1:26" ht="14.25" customHeight="1" x14ac:dyDescent="0.25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</row>
    <row r="283" spans="1:26" ht="14.25" customHeight="1" x14ac:dyDescent="0.25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</row>
    <row r="284" spans="1:26" ht="14.25" customHeight="1" x14ac:dyDescent="0.25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</row>
    <row r="285" spans="1:26" ht="14.25" customHeight="1" x14ac:dyDescent="0.25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</row>
    <row r="286" spans="1:26" ht="14.25" customHeight="1" x14ac:dyDescent="0.25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</row>
    <row r="287" spans="1:26" ht="14.25" customHeight="1" x14ac:dyDescent="0.25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4.25" customHeight="1" x14ac:dyDescent="0.25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</row>
    <row r="289" spans="1:26" ht="14.25" customHeight="1" x14ac:dyDescent="0.25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</row>
    <row r="290" spans="1:26" ht="14.25" customHeight="1" x14ac:dyDescent="0.25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</row>
    <row r="291" spans="1:26" ht="14.25" customHeight="1" x14ac:dyDescent="0.25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</row>
    <row r="292" spans="1:26" ht="14.25" customHeight="1" x14ac:dyDescent="0.25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</row>
    <row r="293" spans="1:26" ht="14.25" customHeight="1" x14ac:dyDescent="0.25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</row>
    <row r="294" spans="1:26" ht="14.25" customHeight="1" x14ac:dyDescent="0.25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</row>
    <row r="295" spans="1:26" ht="14.25" customHeight="1" x14ac:dyDescent="0.25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</row>
    <row r="296" spans="1:26" ht="14.25" customHeight="1" x14ac:dyDescent="0.25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</row>
    <row r="297" spans="1:26" ht="14.25" customHeight="1" x14ac:dyDescent="0.25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</row>
    <row r="298" spans="1:26" ht="14.25" customHeight="1" x14ac:dyDescent="0.25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</row>
    <row r="299" spans="1:26" ht="14.25" customHeight="1" x14ac:dyDescent="0.25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</row>
    <row r="300" spans="1:26" ht="14.25" customHeight="1" x14ac:dyDescent="0.25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</row>
    <row r="301" spans="1:26" ht="14.25" customHeight="1" x14ac:dyDescent="0.25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</row>
    <row r="302" spans="1:26" ht="14.25" customHeight="1" x14ac:dyDescent="0.25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</row>
    <row r="303" spans="1:26" ht="14.25" customHeight="1" x14ac:dyDescent="0.25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</row>
    <row r="304" spans="1:26" ht="14.25" customHeight="1" x14ac:dyDescent="0.25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</row>
    <row r="305" spans="1:26" ht="14.25" customHeight="1" x14ac:dyDescent="0.25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</row>
    <row r="306" spans="1:26" ht="14.25" customHeight="1" x14ac:dyDescent="0.25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</row>
    <row r="307" spans="1:26" ht="14.25" customHeight="1" x14ac:dyDescent="0.25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</row>
    <row r="308" spans="1:26" ht="14.25" customHeight="1" x14ac:dyDescent="0.25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</row>
    <row r="309" spans="1:26" ht="14.25" customHeight="1" x14ac:dyDescent="0.25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</row>
    <row r="310" spans="1:26" ht="14.25" customHeight="1" x14ac:dyDescent="0.25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</row>
    <row r="311" spans="1:26" ht="14.25" customHeight="1" x14ac:dyDescent="0.25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</row>
    <row r="312" spans="1:26" ht="14.25" customHeight="1" x14ac:dyDescent="0.25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</row>
    <row r="313" spans="1:26" ht="14.25" customHeight="1" x14ac:dyDescent="0.25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</row>
    <row r="314" spans="1:26" ht="14.25" customHeight="1" x14ac:dyDescent="0.25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</row>
    <row r="315" spans="1:26" ht="14.25" customHeight="1" x14ac:dyDescent="0.25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</row>
    <row r="316" spans="1:26" ht="14.25" customHeight="1" x14ac:dyDescent="0.25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</row>
    <row r="317" spans="1:26" ht="14.25" customHeight="1" x14ac:dyDescent="0.25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</row>
    <row r="318" spans="1:26" ht="14.25" customHeight="1" x14ac:dyDescent="0.25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</row>
    <row r="319" spans="1:26" ht="14.25" customHeight="1" x14ac:dyDescent="0.25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</row>
    <row r="320" spans="1:26" ht="14.25" customHeight="1" x14ac:dyDescent="0.25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</row>
    <row r="321" spans="1:26" ht="14.25" customHeight="1" x14ac:dyDescent="0.25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</row>
    <row r="322" spans="1:26" ht="14.25" customHeight="1" x14ac:dyDescent="0.25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</row>
    <row r="323" spans="1:26" ht="14.25" customHeight="1" x14ac:dyDescent="0.25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</row>
    <row r="324" spans="1:26" ht="14.25" customHeight="1" x14ac:dyDescent="0.25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</row>
    <row r="325" spans="1:26" ht="14.25" customHeight="1" x14ac:dyDescent="0.25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</row>
    <row r="326" spans="1:26" ht="14.25" customHeight="1" x14ac:dyDescent="0.25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4.25" customHeight="1" x14ac:dyDescent="0.25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</row>
    <row r="328" spans="1:26" ht="14.25" customHeight="1" x14ac:dyDescent="0.25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</row>
    <row r="329" spans="1:26" ht="14.25" customHeight="1" x14ac:dyDescent="0.25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</row>
    <row r="330" spans="1:26" ht="14.25" customHeight="1" x14ac:dyDescent="0.25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</row>
    <row r="331" spans="1:26" ht="14.25" customHeight="1" x14ac:dyDescent="0.25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</row>
    <row r="332" spans="1:26" ht="14.25" customHeight="1" x14ac:dyDescent="0.25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</row>
    <row r="333" spans="1:26" ht="14.25" customHeight="1" x14ac:dyDescent="0.25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</row>
    <row r="334" spans="1:26" ht="14.25" customHeight="1" x14ac:dyDescent="0.25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</row>
    <row r="335" spans="1:26" ht="14.25" customHeight="1" x14ac:dyDescent="0.25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</row>
    <row r="336" spans="1:26" ht="14.25" customHeight="1" x14ac:dyDescent="0.25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</row>
    <row r="337" spans="1:26" ht="14.25" customHeight="1" x14ac:dyDescent="0.25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</row>
    <row r="338" spans="1:26" ht="14.25" customHeight="1" x14ac:dyDescent="0.25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</row>
    <row r="339" spans="1:26" ht="14.25" customHeight="1" x14ac:dyDescent="0.25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</row>
    <row r="340" spans="1:26" ht="14.25" customHeight="1" x14ac:dyDescent="0.25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</row>
    <row r="341" spans="1:26" ht="14.25" customHeight="1" x14ac:dyDescent="0.25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</row>
    <row r="342" spans="1:26" ht="14.25" customHeight="1" x14ac:dyDescent="0.25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</row>
    <row r="343" spans="1:26" ht="14.25" customHeight="1" x14ac:dyDescent="0.25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</row>
    <row r="344" spans="1:26" ht="14.25" customHeight="1" x14ac:dyDescent="0.25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</row>
    <row r="345" spans="1:26" ht="14.25" customHeight="1" x14ac:dyDescent="0.25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</row>
    <row r="346" spans="1:26" ht="14.25" customHeight="1" x14ac:dyDescent="0.25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</row>
    <row r="347" spans="1:26" ht="14.25" customHeight="1" x14ac:dyDescent="0.25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</row>
    <row r="348" spans="1:26" ht="14.25" customHeight="1" x14ac:dyDescent="0.25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</row>
    <row r="349" spans="1:26" ht="14.25" customHeight="1" x14ac:dyDescent="0.25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</row>
    <row r="350" spans="1:26" ht="14.25" customHeight="1" x14ac:dyDescent="0.25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4.25" customHeight="1" x14ac:dyDescent="0.25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</row>
    <row r="352" spans="1:26" ht="14.25" customHeight="1" x14ac:dyDescent="0.25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</row>
    <row r="353" spans="1:26" ht="14.25" customHeight="1" x14ac:dyDescent="0.25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</row>
    <row r="354" spans="1:26" ht="14.25" customHeight="1" x14ac:dyDescent="0.25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</row>
    <row r="355" spans="1:26" ht="14.25" customHeight="1" x14ac:dyDescent="0.25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</row>
    <row r="356" spans="1:26" ht="14.25" customHeight="1" x14ac:dyDescent="0.25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</row>
    <row r="357" spans="1:26" ht="14.25" customHeight="1" x14ac:dyDescent="0.25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</row>
    <row r="358" spans="1:26" ht="14.25" customHeight="1" x14ac:dyDescent="0.25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</row>
    <row r="359" spans="1:26" ht="14.25" customHeight="1" x14ac:dyDescent="0.25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</row>
    <row r="360" spans="1:26" ht="14.25" customHeight="1" x14ac:dyDescent="0.25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</row>
    <row r="361" spans="1:26" ht="14.25" customHeight="1" x14ac:dyDescent="0.25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</row>
    <row r="362" spans="1:26" ht="14.25" customHeight="1" x14ac:dyDescent="0.25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</row>
    <row r="363" spans="1:26" ht="14.25" customHeight="1" x14ac:dyDescent="0.25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</row>
    <row r="364" spans="1:26" ht="14.25" customHeight="1" x14ac:dyDescent="0.25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</row>
    <row r="365" spans="1:26" ht="14.25" customHeight="1" x14ac:dyDescent="0.25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</row>
    <row r="366" spans="1:26" ht="14.25" customHeight="1" x14ac:dyDescent="0.25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</row>
    <row r="367" spans="1:26" ht="14.25" customHeight="1" x14ac:dyDescent="0.25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</row>
    <row r="368" spans="1:26" ht="14.25" customHeight="1" x14ac:dyDescent="0.25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</row>
    <row r="369" spans="1:26" ht="14.25" customHeight="1" x14ac:dyDescent="0.25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</row>
    <row r="370" spans="1:26" ht="14.25" customHeight="1" x14ac:dyDescent="0.25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</row>
    <row r="371" spans="1:26" ht="14.25" customHeight="1" x14ac:dyDescent="0.25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</row>
    <row r="372" spans="1:26" ht="14.25" customHeight="1" x14ac:dyDescent="0.25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</row>
    <row r="373" spans="1:26" ht="14.25" customHeight="1" x14ac:dyDescent="0.25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</row>
    <row r="374" spans="1:26" ht="14.25" customHeight="1" x14ac:dyDescent="0.25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</row>
    <row r="375" spans="1:26" ht="14.25" customHeight="1" x14ac:dyDescent="0.25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</row>
    <row r="376" spans="1:26" ht="14.25" customHeight="1" x14ac:dyDescent="0.25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</row>
    <row r="377" spans="1:26" ht="14.25" customHeight="1" x14ac:dyDescent="0.25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</row>
    <row r="378" spans="1:26" ht="14.25" customHeight="1" x14ac:dyDescent="0.25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</row>
    <row r="379" spans="1:26" ht="14.25" customHeight="1" x14ac:dyDescent="0.25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</row>
    <row r="380" spans="1:26" ht="14.25" customHeight="1" x14ac:dyDescent="0.25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</row>
    <row r="381" spans="1:26" ht="14.25" customHeight="1" x14ac:dyDescent="0.25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</row>
    <row r="382" spans="1:26" ht="14.25" customHeight="1" x14ac:dyDescent="0.25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</row>
    <row r="383" spans="1:26" ht="14.25" customHeight="1" x14ac:dyDescent="0.25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</row>
    <row r="384" spans="1:26" ht="14.25" customHeight="1" x14ac:dyDescent="0.25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</row>
    <row r="385" spans="1:26" ht="14.25" customHeight="1" x14ac:dyDescent="0.25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</row>
    <row r="386" spans="1:26" ht="14.25" customHeight="1" x14ac:dyDescent="0.25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</row>
    <row r="387" spans="1:26" ht="14.25" customHeight="1" x14ac:dyDescent="0.25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4.25" customHeight="1" x14ac:dyDescent="0.25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</row>
    <row r="389" spans="1:26" ht="14.25" customHeight="1" x14ac:dyDescent="0.25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</row>
    <row r="390" spans="1:26" ht="14.25" customHeight="1" x14ac:dyDescent="0.25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</row>
    <row r="391" spans="1:26" ht="14.25" customHeight="1" x14ac:dyDescent="0.25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</row>
    <row r="392" spans="1:26" ht="14.25" customHeight="1" x14ac:dyDescent="0.25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</row>
    <row r="393" spans="1:26" ht="14.25" customHeight="1" x14ac:dyDescent="0.25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</row>
    <row r="394" spans="1:26" ht="14.25" customHeight="1" x14ac:dyDescent="0.25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</row>
    <row r="395" spans="1:26" ht="14.25" customHeight="1" x14ac:dyDescent="0.25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</row>
    <row r="396" spans="1:26" ht="14.25" customHeight="1" x14ac:dyDescent="0.25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</row>
    <row r="397" spans="1:26" ht="14.25" customHeight="1" x14ac:dyDescent="0.25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</row>
    <row r="398" spans="1:26" ht="14.25" customHeight="1" x14ac:dyDescent="0.25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</row>
    <row r="399" spans="1:26" ht="14.25" customHeight="1" x14ac:dyDescent="0.25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</row>
    <row r="400" spans="1:26" ht="14.25" customHeight="1" x14ac:dyDescent="0.25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</row>
    <row r="401" spans="1:26" ht="14.25" customHeight="1" x14ac:dyDescent="0.25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</row>
    <row r="402" spans="1:26" ht="14.25" customHeight="1" x14ac:dyDescent="0.25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</row>
    <row r="403" spans="1:26" ht="14.25" customHeight="1" x14ac:dyDescent="0.25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</row>
    <row r="404" spans="1:26" ht="14.25" customHeight="1" x14ac:dyDescent="0.25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</row>
    <row r="405" spans="1:26" ht="14.25" customHeight="1" x14ac:dyDescent="0.25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</row>
    <row r="406" spans="1:26" ht="14.25" customHeight="1" x14ac:dyDescent="0.25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</row>
    <row r="407" spans="1:26" ht="14.25" customHeight="1" x14ac:dyDescent="0.25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</row>
    <row r="408" spans="1:26" ht="14.25" customHeight="1" x14ac:dyDescent="0.25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</row>
    <row r="409" spans="1:26" ht="14.25" customHeight="1" x14ac:dyDescent="0.25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</row>
    <row r="410" spans="1:26" ht="14.25" customHeight="1" x14ac:dyDescent="0.25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</row>
    <row r="411" spans="1:26" ht="14.25" customHeight="1" x14ac:dyDescent="0.25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</row>
    <row r="412" spans="1:26" ht="14.25" customHeight="1" x14ac:dyDescent="0.25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</row>
    <row r="413" spans="1:26" ht="14.25" customHeight="1" x14ac:dyDescent="0.25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</row>
    <row r="414" spans="1:26" ht="14.25" customHeight="1" x14ac:dyDescent="0.25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</row>
    <row r="415" spans="1:26" ht="14.25" customHeight="1" x14ac:dyDescent="0.25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</row>
    <row r="416" spans="1:26" ht="14.25" customHeight="1" x14ac:dyDescent="0.25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</row>
    <row r="417" spans="1:26" ht="14.25" customHeight="1" x14ac:dyDescent="0.25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</row>
    <row r="418" spans="1:26" ht="14.25" customHeight="1" x14ac:dyDescent="0.25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</row>
    <row r="419" spans="1:26" ht="14.25" customHeight="1" x14ac:dyDescent="0.25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</row>
    <row r="420" spans="1:26" ht="14.25" customHeight="1" x14ac:dyDescent="0.25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</row>
    <row r="421" spans="1:26" ht="14.25" customHeight="1" x14ac:dyDescent="0.25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</row>
    <row r="422" spans="1:26" ht="14.25" customHeight="1" x14ac:dyDescent="0.25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</row>
    <row r="423" spans="1:26" ht="14.25" customHeight="1" x14ac:dyDescent="0.25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</row>
    <row r="424" spans="1:26" ht="14.25" customHeight="1" x14ac:dyDescent="0.25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</row>
    <row r="425" spans="1:26" ht="14.25" customHeight="1" x14ac:dyDescent="0.25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</row>
    <row r="426" spans="1:26" ht="14.25" customHeight="1" x14ac:dyDescent="0.25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</row>
    <row r="427" spans="1:26" ht="14.25" customHeight="1" x14ac:dyDescent="0.25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</row>
    <row r="428" spans="1:26" ht="14.25" customHeight="1" x14ac:dyDescent="0.25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</row>
    <row r="429" spans="1:26" ht="14.25" customHeight="1" x14ac:dyDescent="0.25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</row>
    <row r="430" spans="1:26" ht="14.25" customHeight="1" x14ac:dyDescent="0.25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</row>
    <row r="431" spans="1:26" ht="14.25" customHeight="1" x14ac:dyDescent="0.25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</row>
    <row r="432" spans="1:26" ht="14.25" customHeight="1" x14ac:dyDescent="0.25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</row>
    <row r="433" spans="1:26" ht="14.25" customHeight="1" x14ac:dyDescent="0.25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</row>
    <row r="434" spans="1:26" ht="14.25" customHeight="1" x14ac:dyDescent="0.25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</row>
    <row r="435" spans="1:26" ht="14.25" customHeight="1" x14ac:dyDescent="0.25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</row>
    <row r="436" spans="1:26" ht="14.25" customHeight="1" x14ac:dyDescent="0.25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</row>
    <row r="437" spans="1:26" ht="14.25" customHeight="1" x14ac:dyDescent="0.25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</row>
    <row r="438" spans="1:26" ht="14.25" customHeight="1" x14ac:dyDescent="0.25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</row>
    <row r="439" spans="1:26" ht="14.25" customHeight="1" x14ac:dyDescent="0.25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</row>
    <row r="440" spans="1:26" ht="14.25" customHeight="1" x14ac:dyDescent="0.25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</row>
    <row r="441" spans="1:26" ht="14.25" customHeight="1" x14ac:dyDescent="0.25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</row>
    <row r="442" spans="1:26" ht="14.25" customHeight="1" x14ac:dyDescent="0.25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</row>
    <row r="443" spans="1:26" ht="14.25" customHeight="1" x14ac:dyDescent="0.25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</row>
    <row r="444" spans="1:26" ht="14.25" customHeight="1" x14ac:dyDescent="0.25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</row>
    <row r="445" spans="1:26" ht="14.25" customHeight="1" x14ac:dyDescent="0.25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</row>
    <row r="446" spans="1:26" ht="14.25" customHeight="1" x14ac:dyDescent="0.25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</row>
    <row r="447" spans="1:26" ht="14.25" customHeight="1" x14ac:dyDescent="0.25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</row>
    <row r="448" spans="1:26" ht="14.25" customHeight="1" x14ac:dyDescent="0.25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</row>
    <row r="449" spans="1:26" ht="14.25" customHeight="1" x14ac:dyDescent="0.25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</row>
    <row r="450" spans="1:26" ht="14.25" customHeight="1" x14ac:dyDescent="0.25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</row>
    <row r="451" spans="1:26" ht="14.25" customHeight="1" x14ac:dyDescent="0.25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</row>
    <row r="452" spans="1:26" ht="14.25" customHeight="1" x14ac:dyDescent="0.25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</row>
    <row r="453" spans="1:26" ht="14.25" customHeight="1" x14ac:dyDescent="0.25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</row>
    <row r="454" spans="1:26" ht="14.25" customHeight="1" x14ac:dyDescent="0.25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</row>
    <row r="455" spans="1:26" ht="14.25" customHeight="1" x14ac:dyDescent="0.25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</row>
    <row r="456" spans="1:26" ht="14.25" customHeight="1" x14ac:dyDescent="0.25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</row>
    <row r="457" spans="1:26" ht="14.25" customHeight="1" x14ac:dyDescent="0.25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</row>
    <row r="458" spans="1:26" ht="14.25" customHeight="1" x14ac:dyDescent="0.25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</row>
    <row r="459" spans="1:26" ht="14.25" customHeight="1" x14ac:dyDescent="0.25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</row>
    <row r="460" spans="1:26" ht="14.25" customHeight="1" x14ac:dyDescent="0.25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</row>
    <row r="461" spans="1:26" ht="14.25" customHeight="1" x14ac:dyDescent="0.25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</row>
    <row r="462" spans="1:26" ht="14.25" customHeight="1" x14ac:dyDescent="0.25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</row>
    <row r="463" spans="1:26" ht="14.25" customHeight="1" x14ac:dyDescent="0.25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</row>
    <row r="464" spans="1:26" ht="14.25" customHeight="1" x14ac:dyDescent="0.25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</row>
    <row r="465" spans="1:26" ht="14.25" customHeight="1" x14ac:dyDescent="0.25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</row>
    <row r="466" spans="1:26" ht="14.25" customHeight="1" x14ac:dyDescent="0.25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</row>
    <row r="467" spans="1:26" ht="14.25" customHeight="1" x14ac:dyDescent="0.25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</row>
    <row r="468" spans="1:26" ht="14.25" customHeight="1" x14ac:dyDescent="0.25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</row>
    <row r="469" spans="1:26" ht="14.25" customHeight="1" x14ac:dyDescent="0.25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</row>
    <row r="470" spans="1:26" ht="14.25" customHeight="1" x14ac:dyDescent="0.25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</row>
    <row r="471" spans="1:26" ht="14.25" customHeight="1" x14ac:dyDescent="0.25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</row>
    <row r="472" spans="1:26" ht="14.25" customHeight="1" x14ac:dyDescent="0.25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</row>
    <row r="473" spans="1:26" ht="14.25" customHeight="1" x14ac:dyDescent="0.25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</row>
    <row r="474" spans="1:26" ht="14.25" customHeight="1" x14ac:dyDescent="0.25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</row>
    <row r="475" spans="1:26" ht="14.25" customHeight="1" x14ac:dyDescent="0.25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</row>
    <row r="476" spans="1:26" ht="14.25" customHeight="1" x14ac:dyDescent="0.25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</row>
    <row r="477" spans="1:26" ht="14.25" customHeight="1" x14ac:dyDescent="0.25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</row>
    <row r="478" spans="1:26" ht="14.25" customHeight="1" x14ac:dyDescent="0.25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</row>
    <row r="479" spans="1:26" ht="14.25" customHeight="1" x14ac:dyDescent="0.25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</row>
    <row r="480" spans="1:26" ht="14.25" customHeight="1" x14ac:dyDescent="0.25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</row>
    <row r="481" spans="1:26" ht="14.25" customHeight="1" x14ac:dyDescent="0.25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</row>
    <row r="482" spans="1:26" ht="14.25" customHeight="1" x14ac:dyDescent="0.25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</row>
    <row r="483" spans="1:26" ht="14.25" customHeight="1" x14ac:dyDescent="0.25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</row>
    <row r="484" spans="1:26" ht="14.25" customHeight="1" x14ac:dyDescent="0.25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</row>
    <row r="485" spans="1:26" ht="14.25" customHeight="1" x14ac:dyDescent="0.25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</row>
    <row r="486" spans="1:26" ht="14.25" customHeight="1" x14ac:dyDescent="0.25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</row>
    <row r="487" spans="1:26" ht="14.25" customHeight="1" x14ac:dyDescent="0.25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</row>
    <row r="488" spans="1:26" ht="14.25" customHeight="1" x14ac:dyDescent="0.25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</row>
    <row r="489" spans="1:26" ht="14.25" customHeight="1" x14ac:dyDescent="0.25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</row>
    <row r="490" spans="1:26" ht="14.25" customHeight="1" x14ac:dyDescent="0.25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</row>
    <row r="491" spans="1:26" ht="14.25" customHeight="1" x14ac:dyDescent="0.25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</row>
    <row r="492" spans="1:26" ht="14.25" customHeight="1" x14ac:dyDescent="0.25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</row>
    <row r="493" spans="1:26" ht="14.25" customHeight="1" x14ac:dyDescent="0.25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</row>
    <row r="494" spans="1:26" ht="14.25" customHeight="1" x14ac:dyDescent="0.25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</row>
    <row r="495" spans="1:26" ht="14.25" customHeight="1" x14ac:dyDescent="0.25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</row>
    <row r="496" spans="1:26" ht="14.25" customHeight="1" x14ac:dyDescent="0.25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</row>
    <row r="497" spans="1:26" ht="14.25" customHeight="1" x14ac:dyDescent="0.25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</row>
    <row r="498" spans="1:26" ht="14.25" customHeight="1" x14ac:dyDescent="0.25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</row>
    <row r="499" spans="1:26" ht="14.25" customHeight="1" x14ac:dyDescent="0.25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</row>
    <row r="500" spans="1:26" ht="14.25" customHeight="1" x14ac:dyDescent="0.25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</row>
    <row r="501" spans="1:26" ht="14.25" customHeight="1" x14ac:dyDescent="0.25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</row>
    <row r="502" spans="1:26" ht="14.25" customHeight="1" x14ac:dyDescent="0.25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</row>
    <row r="503" spans="1:26" ht="14.25" customHeight="1" x14ac:dyDescent="0.25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</row>
    <row r="504" spans="1:26" ht="14.25" customHeight="1" x14ac:dyDescent="0.25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</row>
    <row r="505" spans="1:26" ht="14.25" customHeight="1" x14ac:dyDescent="0.25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</row>
    <row r="506" spans="1:26" ht="14.25" customHeight="1" x14ac:dyDescent="0.25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</row>
    <row r="507" spans="1:26" ht="14.25" customHeight="1" x14ac:dyDescent="0.25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</row>
    <row r="508" spans="1:26" ht="14.25" customHeight="1" x14ac:dyDescent="0.25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</row>
    <row r="509" spans="1:26" ht="14.25" customHeight="1" x14ac:dyDescent="0.25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</row>
    <row r="510" spans="1:26" ht="14.25" customHeight="1" x14ac:dyDescent="0.25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</row>
    <row r="511" spans="1:26" ht="14.25" customHeight="1" x14ac:dyDescent="0.25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</row>
    <row r="512" spans="1:26" ht="14.25" customHeight="1" x14ac:dyDescent="0.25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</row>
    <row r="513" spans="1:26" ht="14.25" customHeight="1" x14ac:dyDescent="0.25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</row>
    <row r="514" spans="1:26" ht="14.25" customHeight="1" x14ac:dyDescent="0.25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</row>
    <row r="515" spans="1:26" ht="14.25" customHeight="1" x14ac:dyDescent="0.25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</row>
    <row r="516" spans="1:26" ht="14.25" customHeight="1" x14ac:dyDescent="0.25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</row>
    <row r="517" spans="1:26" ht="14.25" customHeight="1" x14ac:dyDescent="0.25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</row>
    <row r="518" spans="1:26" ht="14.25" customHeight="1" x14ac:dyDescent="0.25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</row>
    <row r="519" spans="1:26" ht="14.25" customHeight="1" x14ac:dyDescent="0.25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</row>
    <row r="520" spans="1:26" ht="14.25" customHeight="1" x14ac:dyDescent="0.25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</row>
    <row r="521" spans="1:26" ht="14.25" customHeight="1" x14ac:dyDescent="0.25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</row>
    <row r="522" spans="1:26" ht="14.25" customHeight="1" x14ac:dyDescent="0.25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</row>
    <row r="523" spans="1:26" ht="14.25" customHeight="1" x14ac:dyDescent="0.25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</row>
    <row r="524" spans="1:26" ht="14.25" customHeight="1" x14ac:dyDescent="0.25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</row>
    <row r="525" spans="1:26" ht="14.25" customHeight="1" x14ac:dyDescent="0.25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</row>
    <row r="526" spans="1:26" ht="14.25" customHeight="1" x14ac:dyDescent="0.25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</row>
    <row r="527" spans="1:26" ht="14.25" customHeight="1" x14ac:dyDescent="0.25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</row>
    <row r="528" spans="1:26" ht="14.25" customHeight="1" x14ac:dyDescent="0.25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</row>
    <row r="529" spans="1:26" ht="14.25" customHeight="1" x14ac:dyDescent="0.25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</row>
    <row r="530" spans="1:26" ht="14.25" customHeight="1" x14ac:dyDescent="0.25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</row>
    <row r="531" spans="1:26" ht="14.25" customHeight="1" x14ac:dyDescent="0.25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</row>
    <row r="532" spans="1:26" ht="14.25" customHeight="1" x14ac:dyDescent="0.25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</row>
    <row r="533" spans="1:26" ht="14.25" customHeight="1" x14ac:dyDescent="0.25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</row>
    <row r="534" spans="1:26" ht="14.25" customHeight="1" x14ac:dyDescent="0.25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</row>
    <row r="535" spans="1:26" ht="14.25" customHeight="1" x14ac:dyDescent="0.25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</row>
    <row r="536" spans="1:26" ht="14.25" customHeight="1" x14ac:dyDescent="0.25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</row>
    <row r="537" spans="1:26" ht="14.25" customHeight="1" x14ac:dyDescent="0.25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</row>
    <row r="538" spans="1:26" ht="14.25" customHeight="1" x14ac:dyDescent="0.25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</row>
    <row r="539" spans="1:26" ht="14.25" customHeight="1" x14ac:dyDescent="0.25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</row>
    <row r="540" spans="1:26" ht="14.25" customHeight="1" x14ac:dyDescent="0.25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</row>
    <row r="541" spans="1:26" ht="14.25" customHeight="1" x14ac:dyDescent="0.25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</row>
    <row r="542" spans="1:26" ht="14.25" customHeight="1" x14ac:dyDescent="0.25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</row>
    <row r="543" spans="1:26" ht="14.25" customHeight="1" x14ac:dyDescent="0.25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</row>
    <row r="544" spans="1:26" ht="14.25" customHeight="1" x14ac:dyDescent="0.25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</row>
    <row r="545" spans="1:26" ht="14.25" customHeight="1" x14ac:dyDescent="0.25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</row>
    <row r="546" spans="1:26" ht="14.25" customHeight="1" x14ac:dyDescent="0.25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</row>
    <row r="547" spans="1:26" ht="14.25" customHeight="1" x14ac:dyDescent="0.25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</row>
    <row r="548" spans="1:26" ht="14.25" customHeight="1" x14ac:dyDescent="0.25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</row>
    <row r="549" spans="1:26" ht="14.25" customHeight="1" x14ac:dyDescent="0.25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</row>
    <row r="550" spans="1:26" ht="14.25" customHeight="1" x14ac:dyDescent="0.25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</row>
    <row r="551" spans="1:26" ht="14.25" customHeight="1" x14ac:dyDescent="0.25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</row>
    <row r="552" spans="1:26" ht="14.25" customHeight="1" x14ac:dyDescent="0.25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</row>
    <row r="553" spans="1:26" ht="14.25" customHeight="1" x14ac:dyDescent="0.25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</row>
    <row r="554" spans="1:26" ht="14.25" customHeight="1" x14ac:dyDescent="0.25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ht="14.25" customHeight="1" x14ac:dyDescent="0.25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</row>
    <row r="556" spans="1:26" ht="14.25" customHeight="1" x14ac:dyDescent="0.25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ht="14.25" customHeight="1" x14ac:dyDescent="0.25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ht="14.25" customHeight="1" x14ac:dyDescent="0.25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</row>
    <row r="559" spans="1:26" ht="14.25" customHeight="1" x14ac:dyDescent="0.25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ht="14.25" customHeight="1" x14ac:dyDescent="0.25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ht="14.25" customHeight="1" x14ac:dyDescent="0.25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</row>
    <row r="562" spans="1:26" ht="14.25" customHeight="1" x14ac:dyDescent="0.25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</row>
    <row r="563" spans="1:26" ht="14.25" customHeight="1" x14ac:dyDescent="0.25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ht="14.25" customHeight="1" x14ac:dyDescent="0.25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ht="14.25" customHeight="1" x14ac:dyDescent="0.25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</row>
    <row r="566" spans="1:26" ht="14.25" customHeight="1" x14ac:dyDescent="0.25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ht="14.25" customHeight="1" x14ac:dyDescent="0.25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</row>
    <row r="568" spans="1:26" ht="14.25" customHeight="1" x14ac:dyDescent="0.25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</row>
    <row r="569" spans="1:26" ht="14.25" customHeight="1" x14ac:dyDescent="0.25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</row>
    <row r="570" spans="1:26" ht="14.25" customHeight="1" x14ac:dyDescent="0.25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ht="14.25" customHeight="1" x14ac:dyDescent="0.25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</row>
    <row r="572" spans="1:26" ht="14.25" customHeight="1" x14ac:dyDescent="0.25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ht="14.25" customHeight="1" x14ac:dyDescent="0.25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</row>
    <row r="574" spans="1:26" ht="14.25" customHeight="1" x14ac:dyDescent="0.25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ht="14.25" customHeight="1" x14ac:dyDescent="0.25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ht="14.25" customHeight="1" x14ac:dyDescent="0.25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</row>
    <row r="577" spans="1:26" ht="14.25" customHeight="1" x14ac:dyDescent="0.25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</row>
    <row r="578" spans="1:26" ht="14.25" customHeight="1" x14ac:dyDescent="0.25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</row>
    <row r="579" spans="1:26" ht="14.25" customHeight="1" x14ac:dyDescent="0.25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</row>
    <row r="580" spans="1:26" ht="14.25" customHeight="1" x14ac:dyDescent="0.25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</row>
    <row r="581" spans="1:26" ht="14.25" customHeight="1" x14ac:dyDescent="0.25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</row>
    <row r="582" spans="1:26" ht="14.25" customHeight="1" x14ac:dyDescent="0.25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</row>
    <row r="583" spans="1:26" ht="14.25" customHeight="1" x14ac:dyDescent="0.25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</row>
    <row r="584" spans="1:26" ht="14.25" customHeight="1" x14ac:dyDescent="0.25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</row>
    <row r="585" spans="1:26" ht="14.25" customHeight="1" x14ac:dyDescent="0.25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</row>
    <row r="586" spans="1:26" ht="14.25" customHeight="1" x14ac:dyDescent="0.25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</row>
    <row r="587" spans="1:26" ht="14.25" customHeight="1" x14ac:dyDescent="0.25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</row>
    <row r="588" spans="1:26" ht="14.25" customHeight="1" x14ac:dyDescent="0.25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</row>
    <row r="589" spans="1:26" ht="14.25" customHeight="1" x14ac:dyDescent="0.25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</row>
    <row r="590" spans="1:26" ht="14.25" customHeight="1" x14ac:dyDescent="0.25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</row>
    <row r="591" spans="1:26" ht="14.25" customHeight="1" x14ac:dyDescent="0.25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</row>
    <row r="592" spans="1:26" ht="14.25" customHeight="1" x14ac:dyDescent="0.25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</row>
    <row r="593" spans="1:26" ht="14.25" customHeight="1" x14ac:dyDescent="0.25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</row>
    <row r="594" spans="1:26" ht="14.25" customHeight="1" x14ac:dyDescent="0.25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</row>
    <row r="595" spans="1:26" ht="14.25" customHeight="1" x14ac:dyDescent="0.25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</row>
    <row r="596" spans="1:26" ht="14.25" customHeight="1" x14ac:dyDescent="0.25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</row>
    <row r="597" spans="1:26" ht="14.25" customHeight="1" x14ac:dyDescent="0.25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</row>
    <row r="598" spans="1:26" ht="14.25" customHeight="1" x14ac:dyDescent="0.25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</row>
    <row r="599" spans="1:26" ht="14.25" customHeight="1" x14ac:dyDescent="0.25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</row>
    <row r="600" spans="1:26" ht="14.25" customHeight="1" x14ac:dyDescent="0.25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</row>
    <row r="601" spans="1:26" ht="14.25" customHeight="1" x14ac:dyDescent="0.25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</row>
    <row r="602" spans="1:26" ht="14.25" customHeight="1" x14ac:dyDescent="0.25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</row>
    <row r="603" spans="1:26" ht="14.25" customHeight="1" x14ac:dyDescent="0.25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</row>
    <row r="604" spans="1:26" ht="14.25" customHeight="1" x14ac:dyDescent="0.25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</row>
    <row r="605" spans="1:26" ht="14.25" customHeight="1" x14ac:dyDescent="0.25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</row>
    <row r="606" spans="1:26" ht="14.25" customHeight="1" x14ac:dyDescent="0.25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</row>
    <row r="607" spans="1:26" ht="14.25" customHeight="1" x14ac:dyDescent="0.25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</row>
    <row r="608" spans="1:26" ht="14.25" customHeight="1" x14ac:dyDescent="0.25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</row>
    <row r="609" spans="1:26" ht="14.25" customHeight="1" x14ac:dyDescent="0.25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</row>
    <row r="610" spans="1:26" ht="14.25" customHeight="1" x14ac:dyDescent="0.25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</row>
    <row r="611" spans="1:26" ht="14.25" customHeight="1" x14ac:dyDescent="0.25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</row>
    <row r="612" spans="1:26" ht="14.25" customHeight="1" x14ac:dyDescent="0.25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</row>
    <row r="613" spans="1:26" ht="14.25" customHeight="1" x14ac:dyDescent="0.25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</row>
    <row r="614" spans="1:26" ht="14.25" customHeight="1" x14ac:dyDescent="0.25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</row>
    <row r="615" spans="1:26" ht="14.25" customHeight="1" x14ac:dyDescent="0.25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</row>
    <row r="616" spans="1:26" ht="14.25" customHeight="1" x14ac:dyDescent="0.25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</row>
    <row r="617" spans="1:26" ht="14.25" customHeight="1" x14ac:dyDescent="0.25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</row>
    <row r="618" spans="1:26" ht="14.25" customHeight="1" x14ac:dyDescent="0.25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</row>
    <row r="619" spans="1:26" ht="14.25" customHeight="1" x14ac:dyDescent="0.25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</row>
    <row r="620" spans="1:26" ht="14.25" customHeight="1" x14ac:dyDescent="0.25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</row>
    <row r="621" spans="1:26" ht="14.25" customHeight="1" x14ac:dyDescent="0.25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</row>
    <row r="622" spans="1:26" ht="14.25" customHeight="1" x14ac:dyDescent="0.25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</row>
    <row r="623" spans="1:26" ht="14.25" customHeight="1" x14ac:dyDescent="0.25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</row>
    <row r="624" spans="1:26" ht="14.25" customHeight="1" x14ac:dyDescent="0.25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</row>
    <row r="625" spans="1:26" ht="14.25" customHeight="1" x14ac:dyDescent="0.25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</row>
    <row r="626" spans="1:26" ht="14.25" customHeight="1" x14ac:dyDescent="0.25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</row>
    <row r="627" spans="1:26" ht="14.25" customHeight="1" x14ac:dyDescent="0.25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</row>
    <row r="628" spans="1:26" ht="14.25" customHeight="1" x14ac:dyDescent="0.25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</row>
    <row r="629" spans="1:26" ht="14.25" customHeight="1" x14ac:dyDescent="0.25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</row>
    <row r="630" spans="1:26" ht="14.25" customHeight="1" x14ac:dyDescent="0.25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</row>
    <row r="631" spans="1:26" ht="14.25" customHeight="1" x14ac:dyDescent="0.25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</row>
    <row r="632" spans="1:26" ht="14.25" customHeight="1" x14ac:dyDescent="0.25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</row>
    <row r="633" spans="1:26" ht="14.25" customHeight="1" x14ac:dyDescent="0.25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</row>
    <row r="634" spans="1:26" ht="14.25" customHeight="1" x14ac:dyDescent="0.25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</row>
    <row r="635" spans="1:26" ht="14.25" customHeight="1" x14ac:dyDescent="0.25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</row>
    <row r="636" spans="1:26" ht="14.25" customHeight="1" x14ac:dyDescent="0.25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</row>
    <row r="637" spans="1:26" ht="14.25" customHeight="1" x14ac:dyDescent="0.25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</row>
    <row r="638" spans="1:26" ht="14.25" customHeight="1" x14ac:dyDescent="0.25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</row>
    <row r="639" spans="1:26" ht="14.25" customHeight="1" x14ac:dyDescent="0.25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</row>
    <row r="640" spans="1:26" ht="14.25" customHeight="1" x14ac:dyDescent="0.25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</row>
    <row r="641" spans="1:26" ht="14.25" customHeight="1" x14ac:dyDescent="0.25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</row>
    <row r="642" spans="1:26" ht="14.25" customHeight="1" x14ac:dyDescent="0.25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</row>
    <row r="643" spans="1:26" ht="14.25" customHeight="1" x14ac:dyDescent="0.25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</row>
    <row r="644" spans="1:26" ht="14.25" customHeight="1" x14ac:dyDescent="0.25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</row>
    <row r="645" spans="1:26" ht="14.25" customHeight="1" x14ac:dyDescent="0.25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</row>
    <row r="646" spans="1:26" ht="14.25" customHeight="1" x14ac:dyDescent="0.25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</row>
    <row r="647" spans="1:26" ht="14.25" customHeight="1" x14ac:dyDescent="0.25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</row>
    <row r="648" spans="1:26" ht="14.25" customHeight="1" x14ac:dyDescent="0.25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</row>
    <row r="649" spans="1:26" ht="14.25" customHeight="1" x14ac:dyDescent="0.25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</row>
    <row r="650" spans="1:26" ht="14.25" customHeight="1" x14ac:dyDescent="0.25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</row>
    <row r="651" spans="1:26" ht="14.25" customHeight="1" x14ac:dyDescent="0.25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</row>
    <row r="652" spans="1:26" ht="14.25" customHeight="1" x14ac:dyDescent="0.25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</row>
    <row r="653" spans="1:26" ht="14.25" customHeight="1" x14ac:dyDescent="0.25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</row>
    <row r="654" spans="1:26" ht="14.25" customHeight="1" x14ac:dyDescent="0.25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</row>
    <row r="655" spans="1:26" ht="14.25" customHeight="1" x14ac:dyDescent="0.25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</row>
    <row r="656" spans="1:26" ht="14.25" customHeight="1" x14ac:dyDescent="0.25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</row>
    <row r="657" spans="1:26" ht="14.25" customHeight="1" x14ac:dyDescent="0.25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</row>
    <row r="658" spans="1:26" ht="14.25" customHeight="1" x14ac:dyDescent="0.25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</row>
    <row r="659" spans="1:26" ht="14.25" customHeight="1" x14ac:dyDescent="0.25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</row>
    <row r="660" spans="1:26" ht="14.25" customHeight="1" x14ac:dyDescent="0.25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</row>
    <row r="661" spans="1:26" ht="14.25" customHeight="1" x14ac:dyDescent="0.25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</row>
    <row r="662" spans="1:26" ht="14.25" customHeight="1" x14ac:dyDescent="0.25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</row>
    <row r="663" spans="1:26" ht="14.25" customHeight="1" x14ac:dyDescent="0.25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</row>
    <row r="664" spans="1:26" ht="14.25" customHeight="1" x14ac:dyDescent="0.25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</row>
    <row r="665" spans="1:26" ht="14.25" customHeight="1" x14ac:dyDescent="0.25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</row>
    <row r="666" spans="1:26" ht="14.25" customHeight="1" x14ac:dyDescent="0.25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</row>
    <row r="667" spans="1:26" ht="14.25" customHeight="1" x14ac:dyDescent="0.25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</row>
    <row r="668" spans="1:26" ht="14.25" customHeight="1" x14ac:dyDescent="0.25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</row>
    <row r="669" spans="1:26" ht="14.25" customHeight="1" x14ac:dyDescent="0.25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</row>
    <row r="670" spans="1:26" ht="14.25" customHeight="1" x14ac:dyDescent="0.25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</row>
    <row r="671" spans="1:26" ht="14.25" customHeight="1" x14ac:dyDescent="0.25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</row>
    <row r="672" spans="1:26" ht="14.25" customHeight="1" x14ac:dyDescent="0.25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</row>
    <row r="673" spans="1:26" ht="14.25" customHeight="1" x14ac:dyDescent="0.25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</row>
    <row r="674" spans="1:26" ht="14.25" customHeight="1" x14ac:dyDescent="0.25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</row>
    <row r="675" spans="1:26" ht="14.25" customHeight="1" x14ac:dyDescent="0.25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</row>
    <row r="676" spans="1:26" ht="14.25" customHeight="1" x14ac:dyDescent="0.25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</row>
    <row r="677" spans="1:26" ht="14.25" customHeight="1" x14ac:dyDescent="0.25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</row>
    <row r="678" spans="1:26" ht="14.25" customHeight="1" x14ac:dyDescent="0.25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</row>
    <row r="679" spans="1:26" ht="14.25" customHeight="1" x14ac:dyDescent="0.25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</row>
    <row r="680" spans="1:26" ht="14.25" customHeight="1" x14ac:dyDescent="0.25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</row>
    <row r="681" spans="1:26" ht="14.25" customHeight="1" x14ac:dyDescent="0.25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</row>
    <row r="682" spans="1:26" ht="14.25" customHeight="1" x14ac:dyDescent="0.25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</row>
    <row r="683" spans="1:26" ht="14.25" customHeight="1" x14ac:dyDescent="0.25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</row>
    <row r="684" spans="1:26" ht="14.25" customHeight="1" x14ac:dyDescent="0.25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</row>
    <row r="685" spans="1:26" ht="14.25" customHeight="1" x14ac:dyDescent="0.25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</row>
    <row r="686" spans="1:26" ht="14.25" customHeight="1" x14ac:dyDescent="0.25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</row>
    <row r="687" spans="1:26" ht="14.25" customHeight="1" x14ac:dyDescent="0.25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</row>
    <row r="688" spans="1:26" ht="14.25" customHeight="1" x14ac:dyDescent="0.25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</row>
    <row r="689" spans="1:26" ht="14.25" customHeight="1" x14ac:dyDescent="0.25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</row>
    <row r="690" spans="1:26" ht="14.25" customHeight="1" x14ac:dyDescent="0.25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</row>
    <row r="691" spans="1:26" ht="14.25" customHeight="1" x14ac:dyDescent="0.25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</row>
    <row r="692" spans="1:26" ht="14.25" customHeight="1" x14ac:dyDescent="0.25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</row>
    <row r="693" spans="1:26" ht="14.25" customHeight="1" x14ac:dyDescent="0.25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</row>
    <row r="694" spans="1:26" ht="14.25" customHeight="1" x14ac:dyDescent="0.25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</row>
    <row r="695" spans="1:26" ht="14.25" customHeight="1" x14ac:dyDescent="0.25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</row>
    <row r="696" spans="1:26" ht="14.25" customHeight="1" x14ac:dyDescent="0.25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</row>
    <row r="697" spans="1:26" ht="14.25" customHeight="1" x14ac:dyDescent="0.25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</row>
    <row r="698" spans="1:26" ht="14.25" customHeight="1" x14ac:dyDescent="0.25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</row>
    <row r="699" spans="1:26" ht="14.25" customHeight="1" x14ac:dyDescent="0.25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</row>
    <row r="700" spans="1:26" ht="14.25" customHeight="1" x14ac:dyDescent="0.25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</row>
    <row r="701" spans="1:26" ht="14.25" customHeight="1" x14ac:dyDescent="0.25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</row>
    <row r="702" spans="1:26" ht="14.25" customHeight="1" x14ac:dyDescent="0.25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</row>
    <row r="703" spans="1:26" ht="14.25" customHeight="1" x14ac:dyDescent="0.25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</row>
    <row r="704" spans="1:26" ht="14.25" customHeight="1" x14ac:dyDescent="0.25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</row>
    <row r="705" spans="1:26" ht="14.25" customHeight="1" x14ac:dyDescent="0.25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</row>
    <row r="706" spans="1:26" ht="14.25" customHeight="1" x14ac:dyDescent="0.25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</row>
    <row r="707" spans="1:26" ht="14.25" customHeight="1" x14ac:dyDescent="0.25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</row>
    <row r="708" spans="1:26" ht="14.25" customHeight="1" x14ac:dyDescent="0.25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</row>
    <row r="709" spans="1:26" ht="14.25" customHeight="1" x14ac:dyDescent="0.25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</row>
    <row r="710" spans="1:26" ht="14.25" customHeight="1" x14ac:dyDescent="0.25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</row>
    <row r="711" spans="1:26" ht="14.25" customHeight="1" x14ac:dyDescent="0.25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</row>
    <row r="712" spans="1:26" ht="14.25" customHeight="1" x14ac:dyDescent="0.25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</row>
    <row r="713" spans="1:26" ht="14.25" customHeight="1" x14ac:dyDescent="0.25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</row>
    <row r="714" spans="1:26" ht="14.25" customHeight="1" x14ac:dyDescent="0.25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</row>
    <row r="715" spans="1:26" ht="14.25" customHeight="1" x14ac:dyDescent="0.25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</row>
    <row r="716" spans="1:26" ht="14.25" customHeight="1" x14ac:dyDescent="0.25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</row>
    <row r="717" spans="1:26" ht="14.25" customHeight="1" x14ac:dyDescent="0.25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</row>
    <row r="718" spans="1:26" ht="14.25" customHeight="1" x14ac:dyDescent="0.25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</row>
    <row r="719" spans="1:26" ht="14.25" customHeight="1" x14ac:dyDescent="0.25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</row>
    <row r="720" spans="1:26" ht="14.25" customHeight="1" x14ac:dyDescent="0.25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</row>
    <row r="721" spans="1:26" ht="14.25" customHeight="1" x14ac:dyDescent="0.25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</row>
    <row r="722" spans="1:26" ht="14.25" customHeight="1" x14ac:dyDescent="0.25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</row>
    <row r="723" spans="1:26" ht="14.25" customHeight="1" x14ac:dyDescent="0.25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</row>
    <row r="724" spans="1:26" ht="14.25" customHeight="1" x14ac:dyDescent="0.25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</row>
    <row r="725" spans="1:26" ht="14.25" customHeight="1" x14ac:dyDescent="0.25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</row>
    <row r="726" spans="1:26" ht="14.25" customHeight="1" x14ac:dyDescent="0.25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</row>
    <row r="727" spans="1:26" ht="14.25" customHeight="1" x14ac:dyDescent="0.25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</row>
    <row r="728" spans="1:26" ht="14.25" customHeight="1" x14ac:dyDescent="0.25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</row>
    <row r="729" spans="1:26" ht="14.25" customHeight="1" x14ac:dyDescent="0.25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</row>
    <row r="730" spans="1:26" ht="14.25" customHeight="1" x14ac:dyDescent="0.25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</row>
    <row r="731" spans="1:26" ht="14.25" customHeight="1" x14ac:dyDescent="0.25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</row>
    <row r="732" spans="1:26" ht="14.25" customHeight="1" x14ac:dyDescent="0.25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</row>
    <row r="733" spans="1:26" ht="14.25" customHeight="1" x14ac:dyDescent="0.25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</row>
    <row r="734" spans="1:26" ht="14.25" customHeight="1" x14ac:dyDescent="0.25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</row>
    <row r="735" spans="1:26" ht="14.25" customHeight="1" x14ac:dyDescent="0.25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</row>
    <row r="736" spans="1:26" ht="14.25" customHeight="1" x14ac:dyDescent="0.25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</row>
    <row r="737" spans="1:26" ht="14.25" customHeight="1" x14ac:dyDescent="0.25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</row>
    <row r="738" spans="1:26" ht="14.25" customHeight="1" x14ac:dyDescent="0.25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</row>
    <row r="739" spans="1:26" ht="14.25" customHeight="1" x14ac:dyDescent="0.25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</row>
    <row r="740" spans="1:26" ht="14.25" customHeight="1" x14ac:dyDescent="0.25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</row>
    <row r="741" spans="1:26" ht="14.25" customHeight="1" x14ac:dyDescent="0.25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</row>
    <row r="742" spans="1:26" ht="14.25" customHeight="1" x14ac:dyDescent="0.25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</row>
    <row r="743" spans="1:26" ht="14.25" customHeight="1" x14ac:dyDescent="0.25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</row>
    <row r="744" spans="1:26" ht="14.25" customHeight="1" x14ac:dyDescent="0.25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</row>
    <row r="745" spans="1:26" ht="14.25" customHeight="1" x14ac:dyDescent="0.25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</row>
    <row r="746" spans="1:26" ht="14.25" customHeight="1" x14ac:dyDescent="0.25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</row>
    <row r="747" spans="1:26" ht="14.25" customHeight="1" x14ac:dyDescent="0.25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</row>
    <row r="748" spans="1:26" ht="14.25" customHeight="1" x14ac:dyDescent="0.25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</row>
    <row r="749" spans="1:26" ht="14.25" customHeight="1" x14ac:dyDescent="0.25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</row>
    <row r="750" spans="1:26" ht="14.25" customHeight="1" x14ac:dyDescent="0.25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</row>
    <row r="751" spans="1:26" ht="14.25" customHeight="1" x14ac:dyDescent="0.25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</row>
    <row r="752" spans="1:26" ht="14.25" customHeight="1" x14ac:dyDescent="0.25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</row>
    <row r="753" spans="1:26" ht="14.25" customHeight="1" x14ac:dyDescent="0.25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</row>
    <row r="754" spans="1:26" ht="14.25" customHeight="1" x14ac:dyDescent="0.25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</row>
    <row r="755" spans="1:26" ht="14.25" customHeight="1" x14ac:dyDescent="0.25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</row>
    <row r="756" spans="1:26" ht="14.25" customHeight="1" x14ac:dyDescent="0.25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</row>
    <row r="757" spans="1:26" ht="14.25" customHeight="1" x14ac:dyDescent="0.25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</row>
    <row r="758" spans="1:26" ht="14.25" customHeight="1" x14ac:dyDescent="0.25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</row>
    <row r="759" spans="1:26" ht="14.25" customHeight="1" x14ac:dyDescent="0.25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</row>
    <row r="760" spans="1:26" ht="14.25" customHeight="1" x14ac:dyDescent="0.25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</row>
    <row r="761" spans="1:26" ht="14.25" customHeight="1" x14ac:dyDescent="0.25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</row>
    <row r="762" spans="1:26" ht="14.25" customHeight="1" x14ac:dyDescent="0.25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</row>
    <row r="763" spans="1:26" ht="14.25" customHeight="1" x14ac:dyDescent="0.25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</row>
    <row r="764" spans="1:26" ht="14.25" customHeight="1" x14ac:dyDescent="0.25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</row>
    <row r="765" spans="1:26" ht="14.25" customHeight="1" x14ac:dyDescent="0.25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</row>
    <row r="766" spans="1:26" ht="14.25" customHeight="1" x14ac:dyDescent="0.25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</row>
    <row r="767" spans="1:26" ht="14.25" customHeight="1" x14ac:dyDescent="0.25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</row>
    <row r="768" spans="1:26" ht="14.25" customHeight="1" x14ac:dyDescent="0.25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</row>
    <row r="769" spans="1:26" ht="14.25" customHeight="1" x14ac:dyDescent="0.25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</row>
    <row r="770" spans="1:26" ht="14.25" customHeight="1" x14ac:dyDescent="0.25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</row>
    <row r="771" spans="1:26" ht="14.25" customHeight="1" x14ac:dyDescent="0.25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</row>
    <row r="772" spans="1:26" ht="14.25" customHeight="1" x14ac:dyDescent="0.25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</row>
    <row r="773" spans="1:26" ht="14.25" customHeight="1" x14ac:dyDescent="0.25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</row>
    <row r="774" spans="1:26" ht="14.25" customHeight="1" x14ac:dyDescent="0.25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</row>
    <row r="775" spans="1:26" ht="14.25" customHeight="1" x14ac:dyDescent="0.25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</row>
    <row r="776" spans="1:26" ht="14.25" customHeight="1" x14ac:dyDescent="0.25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</row>
    <row r="777" spans="1:26" ht="14.25" customHeight="1" x14ac:dyDescent="0.25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</row>
    <row r="778" spans="1:26" ht="14.25" customHeight="1" x14ac:dyDescent="0.25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</row>
    <row r="779" spans="1:26" ht="14.25" customHeight="1" x14ac:dyDescent="0.25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</row>
    <row r="780" spans="1:26" ht="14.25" customHeight="1" x14ac:dyDescent="0.25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</row>
    <row r="781" spans="1:26" ht="14.25" customHeight="1" x14ac:dyDescent="0.25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</row>
    <row r="782" spans="1:26" ht="14.25" customHeight="1" x14ac:dyDescent="0.25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</row>
    <row r="783" spans="1:26" ht="14.25" customHeight="1" x14ac:dyDescent="0.25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</row>
    <row r="784" spans="1:26" ht="14.25" customHeight="1" x14ac:dyDescent="0.25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</row>
    <row r="785" spans="1:26" ht="14.25" customHeight="1" x14ac:dyDescent="0.25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</row>
    <row r="786" spans="1:26" ht="14.25" customHeight="1" x14ac:dyDescent="0.25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</row>
    <row r="787" spans="1:26" ht="14.25" customHeight="1" x14ac:dyDescent="0.25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</row>
    <row r="788" spans="1:26" ht="14.25" customHeight="1" x14ac:dyDescent="0.25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</row>
    <row r="789" spans="1:26" ht="14.25" customHeight="1" x14ac:dyDescent="0.25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</row>
    <row r="790" spans="1:26" ht="14.25" customHeight="1" x14ac:dyDescent="0.25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</row>
    <row r="791" spans="1:26" ht="14.25" customHeight="1" x14ac:dyDescent="0.25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</row>
    <row r="792" spans="1:26" ht="14.25" customHeight="1" x14ac:dyDescent="0.25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</row>
    <row r="793" spans="1:26" ht="14.25" customHeight="1" x14ac:dyDescent="0.25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</row>
    <row r="794" spans="1:26" ht="14.25" customHeight="1" x14ac:dyDescent="0.25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</row>
    <row r="795" spans="1:26" ht="14.25" customHeight="1" x14ac:dyDescent="0.25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</row>
    <row r="796" spans="1:26" ht="14.25" customHeight="1" x14ac:dyDescent="0.25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</row>
    <row r="797" spans="1:26" ht="14.25" customHeight="1" x14ac:dyDescent="0.25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</row>
    <row r="798" spans="1:26" ht="14.25" customHeight="1" x14ac:dyDescent="0.25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</row>
    <row r="799" spans="1:26" ht="14.25" customHeight="1" x14ac:dyDescent="0.25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</row>
    <row r="800" spans="1:26" ht="14.25" customHeight="1" x14ac:dyDescent="0.25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</row>
    <row r="801" spans="1:26" ht="14.25" customHeight="1" x14ac:dyDescent="0.25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</row>
    <row r="802" spans="1:26" ht="14.25" customHeight="1" x14ac:dyDescent="0.25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</row>
    <row r="803" spans="1:26" ht="14.25" customHeight="1" x14ac:dyDescent="0.25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</row>
    <row r="804" spans="1:26" ht="14.25" customHeight="1" x14ac:dyDescent="0.25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</row>
    <row r="805" spans="1:26" ht="14.25" customHeight="1" x14ac:dyDescent="0.25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</row>
    <row r="806" spans="1:26" ht="14.25" customHeight="1" x14ac:dyDescent="0.25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</row>
    <row r="807" spans="1:26" ht="14.25" customHeight="1" x14ac:dyDescent="0.25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</row>
    <row r="808" spans="1:26" ht="14.25" customHeight="1" x14ac:dyDescent="0.25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</row>
    <row r="809" spans="1:26" ht="14.25" customHeight="1" x14ac:dyDescent="0.25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</row>
    <row r="810" spans="1:26" ht="14.25" customHeight="1" x14ac:dyDescent="0.25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</row>
    <row r="811" spans="1:26" ht="14.25" customHeight="1" x14ac:dyDescent="0.25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</row>
    <row r="812" spans="1:26" ht="14.25" customHeight="1" x14ac:dyDescent="0.25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</row>
    <row r="813" spans="1:26" ht="14.25" customHeight="1" x14ac:dyDescent="0.25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</row>
    <row r="814" spans="1:26" ht="14.25" customHeight="1" x14ac:dyDescent="0.25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</row>
    <row r="815" spans="1:26" ht="14.25" customHeight="1" x14ac:dyDescent="0.25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</row>
    <row r="816" spans="1:26" ht="14.25" customHeight="1" x14ac:dyDescent="0.25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</row>
    <row r="817" spans="1:26" ht="14.25" customHeight="1" x14ac:dyDescent="0.25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</row>
    <row r="818" spans="1:26" ht="14.25" customHeight="1" x14ac:dyDescent="0.25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</row>
    <row r="819" spans="1:26" ht="14.25" customHeight="1" x14ac:dyDescent="0.25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</row>
    <row r="820" spans="1:26" ht="14.25" customHeight="1" x14ac:dyDescent="0.25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</row>
    <row r="821" spans="1:26" ht="14.25" customHeight="1" x14ac:dyDescent="0.25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</row>
    <row r="822" spans="1:26" ht="14.25" customHeight="1" x14ac:dyDescent="0.25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</row>
    <row r="823" spans="1:26" ht="14.25" customHeight="1" x14ac:dyDescent="0.25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</row>
    <row r="824" spans="1:26" ht="14.25" customHeight="1" x14ac:dyDescent="0.25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</row>
    <row r="825" spans="1:26" ht="14.25" customHeight="1" x14ac:dyDescent="0.25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</row>
    <row r="826" spans="1:26" ht="14.25" customHeight="1" x14ac:dyDescent="0.25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</row>
    <row r="827" spans="1:26" ht="14.25" customHeight="1" x14ac:dyDescent="0.25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</row>
    <row r="828" spans="1:26" ht="14.25" customHeight="1" x14ac:dyDescent="0.25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</row>
    <row r="829" spans="1:26" ht="14.25" customHeight="1" x14ac:dyDescent="0.25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</row>
    <row r="830" spans="1:26" ht="14.25" customHeight="1" x14ac:dyDescent="0.25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</row>
    <row r="831" spans="1:26" ht="14.25" customHeight="1" x14ac:dyDescent="0.25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</row>
    <row r="832" spans="1:26" ht="14.25" customHeight="1" x14ac:dyDescent="0.25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</row>
    <row r="833" spans="1:26" ht="14.25" customHeight="1" x14ac:dyDescent="0.25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</row>
    <row r="834" spans="1:26" ht="14.25" customHeight="1" x14ac:dyDescent="0.25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</row>
    <row r="835" spans="1:26" ht="14.25" customHeight="1" x14ac:dyDescent="0.25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</row>
    <row r="836" spans="1:26" ht="14.25" customHeight="1" x14ac:dyDescent="0.25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</row>
    <row r="837" spans="1:26" ht="14.25" customHeight="1" x14ac:dyDescent="0.25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</row>
    <row r="838" spans="1:26" ht="14.25" customHeight="1" x14ac:dyDescent="0.25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</row>
    <row r="839" spans="1:26" ht="14.25" customHeight="1" x14ac:dyDescent="0.25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</row>
    <row r="840" spans="1:26" ht="14.25" customHeight="1" x14ac:dyDescent="0.25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</row>
    <row r="841" spans="1:26" ht="14.25" customHeight="1" x14ac:dyDescent="0.25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</row>
    <row r="842" spans="1:26" ht="14.25" customHeight="1" x14ac:dyDescent="0.25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</row>
    <row r="843" spans="1:26" ht="14.25" customHeight="1" x14ac:dyDescent="0.25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</row>
    <row r="844" spans="1:26" ht="14.25" customHeight="1" x14ac:dyDescent="0.25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</row>
    <row r="845" spans="1:26" ht="14.25" customHeight="1" x14ac:dyDescent="0.25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</row>
    <row r="846" spans="1:26" ht="14.25" customHeight="1" x14ac:dyDescent="0.25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</row>
    <row r="847" spans="1:26" ht="14.25" customHeight="1" x14ac:dyDescent="0.25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</row>
    <row r="848" spans="1:26" ht="14.25" customHeight="1" x14ac:dyDescent="0.25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</row>
    <row r="849" spans="1:26" ht="14.25" customHeight="1" x14ac:dyDescent="0.25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</row>
    <row r="850" spans="1:26" ht="14.25" customHeight="1" x14ac:dyDescent="0.25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</row>
    <row r="851" spans="1:26" ht="14.25" customHeight="1" x14ac:dyDescent="0.25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</row>
    <row r="852" spans="1:26" ht="14.25" customHeight="1" x14ac:dyDescent="0.25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</row>
    <row r="853" spans="1:26" ht="14.25" customHeight="1" x14ac:dyDescent="0.25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</row>
    <row r="854" spans="1:26" ht="14.25" customHeight="1" x14ac:dyDescent="0.25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</row>
    <row r="855" spans="1:26" ht="14.25" customHeight="1" x14ac:dyDescent="0.25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</row>
    <row r="856" spans="1:26" ht="14.25" customHeight="1" x14ac:dyDescent="0.25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</row>
    <row r="857" spans="1:26" ht="14.25" customHeight="1" x14ac:dyDescent="0.25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</row>
    <row r="858" spans="1:26" ht="14.25" customHeight="1" x14ac:dyDescent="0.25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</row>
    <row r="859" spans="1:26" ht="14.25" customHeight="1" x14ac:dyDescent="0.25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</row>
    <row r="860" spans="1:26" ht="14.25" customHeight="1" x14ac:dyDescent="0.25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</row>
    <row r="861" spans="1:26" ht="14.25" customHeight="1" x14ac:dyDescent="0.25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</row>
    <row r="862" spans="1:26" ht="14.25" customHeight="1" x14ac:dyDescent="0.25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</row>
    <row r="863" spans="1:26" ht="14.25" customHeight="1" x14ac:dyDescent="0.25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</row>
    <row r="864" spans="1:26" ht="14.25" customHeight="1" x14ac:dyDescent="0.25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</row>
    <row r="865" spans="1:26" ht="14.25" customHeight="1" x14ac:dyDescent="0.25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</row>
    <row r="866" spans="1:26" ht="14.25" customHeight="1" x14ac:dyDescent="0.25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</row>
    <row r="867" spans="1:26" ht="14.25" customHeight="1" x14ac:dyDescent="0.25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</row>
    <row r="868" spans="1:26" ht="14.25" customHeight="1" x14ac:dyDescent="0.25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</row>
    <row r="869" spans="1:26" ht="14.25" customHeight="1" x14ac:dyDescent="0.25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</row>
    <row r="870" spans="1:26" ht="14.25" customHeight="1" x14ac:dyDescent="0.25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</row>
    <row r="871" spans="1:26" ht="14.25" customHeight="1" x14ac:dyDescent="0.25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</row>
    <row r="872" spans="1:26" ht="14.25" customHeight="1" x14ac:dyDescent="0.25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</row>
    <row r="873" spans="1:26" ht="14.25" customHeight="1" x14ac:dyDescent="0.25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</row>
    <row r="874" spans="1:26" ht="14.25" customHeight="1" x14ac:dyDescent="0.25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</row>
    <row r="875" spans="1:26" ht="14.25" customHeight="1" x14ac:dyDescent="0.25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</row>
    <row r="876" spans="1:26" ht="14.25" customHeight="1" x14ac:dyDescent="0.25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</row>
    <row r="877" spans="1:26" ht="14.25" customHeight="1" x14ac:dyDescent="0.25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</row>
    <row r="878" spans="1:26" ht="14.25" customHeight="1" x14ac:dyDescent="0.25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</row>
    <row r="879" spans="1:26" ht="14.25" customHeight="1" x14ac:dyDescent="0.25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</row>
    <row r="880" spans="1:26" ht="14.25" customHeight="1" x14ac:dyDescent="0.25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</row>
    <row r="881" spans="1:26" ht="14.25" customHeight="1" x14ac:dyDescent="0.25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</row>
    <row r="882" spans="1:26" ht="14.25" customHeight="1" x14ac:dyDescent="0.25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</row>
    <row r="883" spans="1:26" ht="14.25" customHeight="1" x14ac:dyDescent="0.25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</row>
    <row r="884" spans="1:26" ht="14.25" customHeight="1" x14ac:dyDescent="0.25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</row>
    <row r="885" spans="1:26" ht="14.25" customHeight="1" x14ac:dyDescent="0.25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</row>
    <row r="886" spans="1:26" ht="14.25" customHeight="1" x14ac:dyDescent="0.25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</row>
    <row r="887" spans="1:26" ht="14.25" customHeight="1" x14ac:dyDescent="0.25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</row>
    <row r="888" spans="1:26" ht="14.25" customHeight="1" x14ac:dyDescent="0.25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</row>
    <row r="889" spans="1:26" ht="14.25" customHeight="1" x14ac:dyDescent="0.25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</row>
    <row r="890" spans="1:26" ht="14.25" customHeight="1" x14ac:dyDescent="0.25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</row>
    <row r="891" spans="1:26" ht="14.25" customHeight="1" x14ac:dyDescent="0.25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</row>
    <row r="892" spans="1:26" ht="14.25" customHeight="1" x14ac:dyDescent="0.25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</row>
    <row r="893" spans="1:26" ht="14.25" customHeight="1" x14ac:dyDescent="0.25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</row>
    <row r="894" spans="1:26" ht="14.25" customHeight="1" x14ac:dyDescent="0.25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</row>
    <row r="895" spans="1:26" ht="14.25" customHeight="1" x14ac:dyDescent="0.25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</row>
    <row r="896" spans="1:26" ht="14.25" customHeight="1" x14ac:dyDescent="0.25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</row>
    <row r="897" spans="1:26" ht="14.25" customHeight="1" x14ac:dyDescent="0.25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</row>
    <row r="898" spans="1:26" ht="14.25" customHeight="1" x14ac:dyDescent="0.25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</row>
    <row r="899" spans="1:26" ht="14.25" customHeight="1" x14ac:dyDescent="0.25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</row>
    <row r="900" spans="1:26" ht="14.25" customHeight="1" x14ac:dyDescent="0.25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</row>
    <row r="901" spans="1:26" ht="14.25" customHeight="1" x14ac:dyDescent="0.25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</row>
    <row r="902" spans="1:26" ht="14.25" customHeight="1" x14ac:dyDescent="0.25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</row>
    <row r="903" spans="1:26" ht="14.25" customHeight="1" x14ac:dyDescent="0.25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</row>
    <row r="904" spans="1:26" ht="14.25" customHeight="1" x14ac:dyDescent="0.25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</row>
    <row r="905" spans="1:26" ht="14.25" customHeight="1" x14ac:dyDescent="0.25">
      <c r="A905" s="99"/>
      <c r="B905" s="99"/>
      <c r="C905" s="99"/>
      <c r="D905" s="99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</row>
    <row r="906" spans="1:26" ht="14.25" customHeight="1" x14ac:dyDescent="0.25">
      <c r="A906" s="99"/>
      <c r="B906" s="99"/>
      <c r="C906" s="99"/>
      <c r="D906" s="99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</row>
    <row r="907" spans="1:26" ht="14.25" customHeight="1" x14ac:dyDescent="0.25">
      <c r="A907" s="99"/>
      <c r="B907" s="99"/>
      <c r="C907" s="99"/>
      <c r="D907" s="99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</row>
    <row r="908" spans="1:26" ht="14.25" customHeight="1" x14ac:dyDescent="0.25">
      <c r="A908" s="99"/>
      <c r="B908" s="99"/>
      <c r="C908" s="99"/>
      <c r="D908" s="99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</row>
    <row r="909" spans="1:26" ht="14.25" customHeight="1" x14ac:dyDescent="0.25">
      <c r="A909" s="99"/>
      <c r="B909" s="99"/>
      <c r="C909" s="99"/>
      <c r="D909" s="99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</row>
    <row r="910" spans="1:26" ht="14.25" customHeight="1" x14ac:dyDescent="0.25">
      <c r="A910" s="99"/>
      <c r="B910" s="99"/>
      <c r="C910" s="99"/>
      <c r="D910" s="99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</row>
    <row r="911" spans="1:26" ht="14.25" customHeight="1" x14ac:dyDescent="0.25">
      <c r="A911" s="99"/>
      <c r="B911" s="99"/>
      <c r="C911" s="99"/>
      <c r="D911" s="99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</row>
    <row r="912" spans="1:26" ht="14.25" customHeight="1" x14ac:dyDescent="0.25">
      <c r="A912" s="99"/>
      <c r="B912" s="99"/>
      <c r="C912" s="99"/>
      <c r="D912" s="99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</row>
    <row r="913" spans="1:26" ht="14.25" customHeight="1" x14ac:dyDescent="0.25">
      <c r="A913" s="99"/>
      <c r="B913" s="99"/>
      <c r="C913" s="99"/>
      <c r="D913" s="99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</row>
    <row r="914" spans="1:26" ht="14.25" customHeight="1" x14ac:dyDescent="0.25">
      <c r="A914" s="99"/>
      <c r="B914" s="99"/>
      <c r="C914" s="99"/>
      <c r="D914" s="99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</row>
    <row r="915" spans="1:26" ht="14.25" customHeight="1" x14ac:dyDescent="0.25">
      <c r="A915" s="99"/>
      <c r="B915" s="99"/>
      <c r="C915" s="99"/>
      <c r="D915" s="99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</row>
    <row r="916" spans="1:26" ht="14.25" customHeight="1" x14ac:dyDescent="0.25">
      <c r="A916" s="99"/>
      <c r="B916" s="99"/>
      <c r="C916" s="99"/>
      <c r="D916" s="99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</row>
    <row r="917" spans="1:26" ht="14.25" customHeight="1" x14ac:dyDescent="0.25">
      <c r="A917" s="99"/>
      <c r="B917" s="99"/>
      <c r="C917" s="99"/>
      <c r="D917" s="99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</row>
    <row r="918" spans="1:26" ht="14.25" customHeight="1" x14ac:dyDescent="0.25">
      <c r="A918" s="99"/>
      <c r="B918" s="99"/>
      <c r="C918" s="99"/>
      <c r="D918" s="99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</row>
    <row r="919" spans="1:26" ht="14.25" customHeight="1" x14ac:dyDescent="0.25">
      <c r="A919" s="99"/>
      <c r="B919" s="99"/>
      <c r="C919" s="99"/>
      <c r="D919" s="99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</row>
    <row r="920" spans="1:26" ht="14.25" customHeight="1" x14ac:dyDescent="0.25">
      <c r="A920" s="99"/>
      <c r="B920" s="99"/>
      <c r="C920" s="99"/>
      <c r="D920" s="99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</row>
    <row r="921" spans="1:26" ht="14.25" customHeight="1" x14ac:dyDescent="0.25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</row>
    <row r="922" spans="1:26" ht="14.25" customHeight="1" x14ac:dyDescent="0.25">
      <c r="A922" s="99"/>
      <c r="B922" s="99"/>
      <c r="C922" s="99"/>
      <c r="D922" s="99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</row>
    <row r="923" spans="1:26" ht="14.25" customHeight="1" x14ac:dyDescent="0.25">
      <c r="A923" s="99"/>
      <c r="B923" s="99"/>
      <c r="C923" s="99"/>
      <c r="D923" s="99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</row>
    <row r="924" spans="1:26" ht="14.25" customHeight="1" x14ac:dyDescent="0.25">
      <c r="A924" s="99"/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</row>
    <row r="925" spans="1:26" ht="14.25" customHeight="1" x14ac:dyDescent="0.25">
      <c r="A925" s="99"/>
      <c r="B925" s="99"/>
      <c r="C925" s="99"/>
      <c r="D925" s="99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</row>
    <row r="926" spans="1:26" ht="14.25" customHeight="1" x14ac:dyDescent="0.25">
      <c r="A926" s="99"/>
      <c r="B926" s="99"/>
      <c r="C926" s="99"/>
      <c r="D926" s="99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</row>
    <row r="927" spans="1:26" ht="14.25" customHeight="1" x14ac:dyDescent="0.25">
      <c r="A927" s="99"/>
      <c r="B927" s="99"/>
      <c r="C927" s="99"/>
      <c r="D927" s="99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</row>
    <row r="928" spans="1:26" ht="14.25" customHeight="1" x14ac:dyDescent="0.25">
      <c r="A928" s="99"/>
      <c r="B928" s="99"/>
      <c r="C928" s="99"/>
      <c r="D928" s="99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</row>
    <row r="929" spans="1:26" ht="14.25" customHeight="1" x14ac:dyDescent="0.25">
      <c r="A929" s="99"/>
      <c r="B929" s="99"/>
      <c r="C929" s="99"/>
      <c r="D929" s="99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</row>
    <row r="930" spans="1:26" ht="14.25" customHeight="1" x14ac:dyDescent="0.25">
      <c r="A930" s="99"/>
      <c r="B930" s="99"/>
      <c r="C930" s="99"/>
      <c r="D930" s="99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</row>
    <row r="931" spans="1:26" ht="14.25" customHeight="1" x14ac:dyDescent="0.25">
      <c r="A931" s="99"/>
      <c r="B931" s="99"/>
      <c r="C931" s="99"/>
      <c r="D931" s="99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</row>
    <row r="932" spans="1:26" ht="14.25" customHeight="1" x14ac:dyDescent="0.25">
      <c r="A932" s="99"/>
      <c r="B932" s="99"/>
      <c r="C932" s="99"/>
      <c r="D932" s="99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</row>
    <row r="933" spans="1:26" ht="14.25" customHeight="1" x14ac:dyDescent="0.25">
      <c r="A933" s="99"/>
      <c r="B933" s="99"/>
      <c r="C933" s="99"/>
      <c r="D933" s="99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</row>
    <row r="934" spans="1:26" ht="14.25" customHeight="1" x14ac:dyDescent="0.25">
      <c r="A934" s="99"/>
      <c r="B934" s="99"/>
      <c r="C934" s="99"/>
      <c r="D934" s="99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</row>
    <row r="935" spans="1:26" ht="14.25" customHeight="1" x14ac:dyDescent="0.25">
      <c r="A935" s="99"/>
      <c r="B935" s="99"/>
      <c r="C935" s="99"/>
      <c r="D935" s="99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</row>
    <row r="936" spans="1:26" ht="14.25" customHeight="1" x14ac:dyDescent="0.25">
      <c r="A936" s="99"/>
      <c r="B936" s="99"/>
      <c r="C936" s="99"/>
      <c r="D936" s="99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</row>
    <row r="937" spans="1:26" ht="14.25" customHeight="1" x14ac:dyDescent="0.25">
      <c r="A937" s="99"/>
      <c r="B937" s="99"/>
      <c r="C937" s="99"/>
      <c r="D937" s="99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</row>
    <row r="938" spans="1:26" ht="14.25" customHeight="1" x14ac:dyDescent="0.25">
      <c r="A938" s="99"/>
      <c r="B938" s="99"/>
      <c r="C938" s="99"/>
      <c r="D938" s="99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</row>
    <row r="939" spans="1:26" ht="14.25" customHeight="1" x14ac:dyDescent="0.25">
      <c r="A939" s="99"/>
      <c r="B939" s="99"/>
      <c r="C939" s="99"/>
      <c r="D939" s="99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</row>
    <row r="940" spans="1:26" ht="14.25" customHeight="1" x14ac:dyDescent="0.25">
      <c r="A940" s="99"/>
      <c r="B940" s="99"/>
      <c r="C940" s="99"/>
      <c r="D940" s="99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</row>
    <row r="941" spans="1:26" ht="14.25" customHeight="1" x14ac:dyDescent="0.25">
      <c r="A941" s="99"/>
      <c r="B941" s="99"/>
      <c r="C941" s="99"/>
      <c r="D941" s="99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</row>
    <row r="942" spans="1:26" ht="14.25" customHeight="1" x14ac:dyDescent="0.25">
      <c r="A942" s="99"/>
      <c r="B942" s="99"/>
      <c r="C942" s="99"/>
      <c r="D942" s="99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</row>
    <row r="943" spans="1:26" ht="14.25" customHeight="1" x14ac:dyDescent="0.25">
      <c r="A943" s="99"/>
      <c r="B943" s="99"/>
      <c r="C943" s="99"/>
      <c r="D943" s="99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</row>
    <row r="944" spans="1:26" ht="14.25" customHeight="1" x14ac:dyDescent="0.25">
      <c r="A944" s="99"/>
      <c r="B944" s="99"/>
      <c r="C944" s="99"/>
      <c r="D944" s="99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</row>
    <row r="945" spans="1:26" ht="14.25" customHeight="1" x14ac:dyDescent="0.25">
      <c r="A945" s="99"/>
      <c r="B945" s="99"/>
      <c r="C945" s="99"/>
      <c r="D945" s="99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</row>
    <row r="946" spans="1:26" ht="14.25" customHeight="1" x14ac:dyDescent="0.25">
      <c r="A946" s="99"/>
      <c r="B946" s="99"/>
      <c r="C946" s="99"/>
      <c r="D946" s="99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</row>
    <row r="947" spans="1:26" ht="14.25" customHeight="1" x14ac:dyDescent="0.25">
      <c r="A947" s="99"/>
      <c r="B947" s="99"/>
      <c r="C947" s="99"/>
      <c r="D947" s="99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</row>
    <row r="948" spans="1:26" ht="14.25" customHeight="1" x14ac:dyDescent="0.25">
      <c r="A948" s="99"/>
      <c r="B948" s="99"/>
      <c r="C948" s="99"/>
      <c r="D948" s="99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</row>
    <row r="949" spans="1:26" ht="14.25" customHeight="1" x14ac:dyDescent="0.25">
      <c r="A949" s="99"/>
      <c r="B949" s="99"/>
      <c r="C949" s="99"/>
      <c r="D949" s="99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</row>
    <row r="950" spans="1:26" ht="14.25" customHeight="1" x14ac:dyDescent="0.25">
      <c r="A950" s="99"/>
      <c r="B950" s="99"/>
      <c r="C950" s="99"/>
      <c r="D950" s="99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</row>
    <row r="951" spans="1:26" ht="14.25" customHeight="1" x14ac:dyDescent="0.25">
      <c r="A951" s="99"/>
      <c r="B951" s="99"/>
      <c r="C951" s="99"/>
      <c r="D951" s="99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</row>
    <row r="952" spans="1:26" ht="14.25" customHeight="1" x14ac:dyDescent="0.25">
      <c r="A952" s="99"/>
      <c r="B952" s="99"/>
      <c r="C952" s="99"/>
      <c r="D952" s="99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</row>
    <row r="953" spans="1:26" ht="14.25" customHeight="1" x14ac:dyDescent="0.25">
      <c r="A953" s="99"/>
      <c r="B953" s="99"/>
      <c r="C953" s="99"/>
      <c r="D953" s="99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</row>
    <row r="954" spans="1:26" ht="14.25" customHeight="1" x14ac:dyDescent="0.25">
      <c r="A954" s="99"/>
      <c r="B954" s="99"/>
      <c r="C954" s="99"/>
      <c r="D954" s="99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</row>
    <row r="955" spans="1:26" ht="14.25" customHeight="1" x14ac:dyDescent="0.25">
      <c r="A955" s="99"/>
      <c r="B955" s="99"/>
      <c r="C955" s="99"/>
      <c r="D955" s="99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</row>
    <row r="956" spans="1:26" ht="14.25" customHeight="1" x14ac:dyDescent="0.25">
      <c r="A956" s="99"/>
      <c r="B956" s="99"/>
      <c r="C956" s="99"/>
      <c r="D956" s="99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</row>
    <row r="957" spans="1:26" ht="14.25" customHeight="1" x14ac:dyDescent="0.25">
      <c r="A957" s="99"/>
      <c r="B957" s="99"/>
      <c r="C957" s="99"/>
      <c r="D957" s="99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</row>
    <row r="958" spans="1:26" ht="14.25" customHeight="1" x14ac:dyDescent="0.25">
      <c r="A958" s="99"/>
      <c r="B958" s="99"/>
      <c r="C958" s="99"/>
      <c r="D958" s="99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</row>
    <row r="959" spans="1:26" ht="14.25" customHeight="1" x14ac:dyDescent="0.25">
      <c r="A959" s="99"/>
      <c r="B959" s="99"/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</row>
    <row r="960" spans="1:26" ht="14.25" customHeight="1" x14ac:dyDescent="0.25">
      <c r="A960" s="99"/>
      <c r="B960" s="99"/>
      <c r="C960" s="99"/>
      <c r="D960" s="99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</row>
    <row r="961" spans="1:26" ht="14.25" customHeight="1" x14ac:dyDescent="0.25">
      <c r="A961" s="99"/>
      <c r="B961" s="99"/>
      <c r="C961" s="99"/>
      <c r="D961" s="99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</row>
    <row r="962" spans="1:26" ht="14.25" customHeight="1" x14ac:dyDescent="0.25">
      <c r="A962" s="99"/>
      <c r="B962" s="99"/>
      <c r="C962" s="99"/>
      <c r="D962" s="99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</row>
    <row r="963" spans="1:26" ht="14.25" customHeight="1" x14ac:dyDescent="0.25">
      <c r="A963" s="99"/>
      <c r="B963" s="99"/>
      <c r="C963" s="99"/>
      <c r="D963" s="99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</row>
    <row r="964" spans="1:26" ht="14.25" customHeight="1" x14ac:dyDescent="0.25">
      <c r="A964" s="99"/>
      <c r="B964" s="99"/>
      <c r="C964" s="99"/>
      <c r="D964" s="99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</row>
    <row r="965" spans="1:26" ht="14.25" customHeight="1" x14ac:dyDescent="0.25">
      <c r="A965" s="99"/>
      <c r="B965" s="99"/>
      <c r="C965" s="99"/>
      <c r="D965" s="99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</row>
    <row r="966" spans="1:26" ht="14.25" customHeight="1" x14ac:dyDescent="0.25">
      <c r="A966" s="99"/>
      <c r="B966" s="99"/>
      <c r="C966" s="99"/>
      <c r="D966" s="99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</row>
    <row r="967" spans="1:26" ht="14.25" customHeight="1" x14ac:dyDescent="0.25">
      <c r="A967" s="99"/>
      <c r="B967" s="99"/>
      <c r="C967" s="99"/>
      <c r="D967" s="99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</row>
    <row r="968" spans="1:26" ht="14.25" customHeight="1" x14ac:dyDescent="0.25">
      <c r="A968" s="99"/>
      <c r="B968" s="99"/>
      <c r="C968" s="99"/>
      <c r="D968" s="99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</row>
    <row r="969" spans="1:26" ht="14.25" customHeight="1" x14ac:dyDescent="0.25">
      <c r="A969" s="99"/>
      <c r="B969" s="99"/>
      <c r="C969" s="99"/>
      <c r="D969" s="99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</row>
    <row r="970" spans="1:26" ht="14.25" customHeight="1" x14ac:dyDescent="0.25">
      <c r="A970" s="99"/>
      <c r="B970" s="99"/>
      <c r="C970" s="99"/>
      <c r="D970" s="99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</row>
    <row r="971" spans="1:26" ht="14.25" customHeight="1" x14ac:dyDescent="0.25">
      <c r="A971" s="99"/>
      <c r="B971" s="99"/>
      <c r="C971" s="99"/>
      <c r="D971" s="99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</row>
    <row r="972" spans="1:26" ht="14.25" customHeight="1" x14ac:dyDescent="0.25">
      <c r="A972" s="99"/>
      <c r="B972" s="99"/>
      <c r="C972" s="99"/>
      <c r="D972" s="99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</row>
    <row r="973" spans="1:26" ht="14.25" customHeight="1" x14ac:dyDescent="0.25">
      <c r="A973" s="99"/>
      <c r="B973" s="99"/>
      <c r="C973" s="99"/>
      <c r="D973" s="99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</row>
    <row r="974" spans="1:26" ht="14.25" customHeight="1" x14ac:dyDescent="0.25">
      <c r="A974" s="99"/>
      <c r="B974" s="99"/>
      <c r="C974" s="99"/>
      <c r="D974" s="99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</row>
    <row r="975" spans="1:26" ht="14.25" customHeight="1" x14ac:dyDescent="0.25">
      <c r="A975" s="99"/>
      <c r="B975" s="99"/>
      <c r="C975" s="99"/>
      <c r="D975" s="99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</row>
    <row r="976" spans="1:26" ht="14.25" customHeight="1" x14ac:dyDescent="0.25">
      <c r="A976" s="99"/>
      <c r="B976" s="99"/>
      <c r="C976" s="99"/>
      <c r="D976" s="99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</row>
    <row r="977" spans="1:26" ht="14.25" customHeight="1" x14ac:dyDescent="0.25">
      <c r="A977" s="99"/>
      <c r="B977" s="99"/>
      <c r="C977" s="99"/>
      <c r="D977" s="99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</row>
    <row r="978" spans="1:26" ht="14.25" customHeight="1" x14ac:dyDescent="0.25">
      <c r="A978" s="99"/>
      <c r="B978" s="99"/>
      <c r="C978" s="99"/>
      <c r="D978" s="99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</row>
    <row r="979" spans="1:26" ht="14.25" customHeight="1" x14ac:dyDescent="0.25">
      <c r="A979" s="99"/>
      <c r="B979" s="99"/>
      <c r="C979" s="99"/>
      <c r="D979" s="99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</row>
    <row r="980" spans="1:26" ht="14.25" customHeight="1" x14ac:dyDescent="0.25">
      <c r="A980" s="99"/>
      <c r="B980" s="99"/>
      <c r="C980" s="99"/>
      <c r="D980" s="99"/>
      <c r="E980" s="99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</row>
    <row r="981" spans="1:26" ht="14.25" customHeight="1" x14ac:dyDescent="0.25">
      <c r="A981" s="99"/>
      <c r="B981" s="99"/>
      <c r="C981" s="99"/>
      <c r="D981" s="99"/>
      <c r="E981" s="99"/>
      <c r="F981" s="99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</row>
    <row r="982" spans="1:26" ht="14.25" customHeight="1" x14ac:dyDescent="0.25">
      <c r="A982" s="99"/>
      <c r="B982" s="99"/>
      <c r="C982" s="99"/>
      <c r="D982" s="99"/>
      <c r="E982" s="99"/>
      <c r="F982" s="99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</row>
    <row r="983" spans="1:26" ht="14.25" customHeight="1" x14ac:dyDescent="0.25">
      <c r="A983" s="99"/>
      <c r="B983" s="99"/>
      <c r="C983" s="99"/>
      <c r="D983" s="99"/>
      <c r="E983" s="99"/>
      <c r="F983" s="99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</row>
    <row r="984" spans="1:26" ht="14.25" customHeight="1" x14ac:dyDescent="0.25">
      <c r="A984" s="99"/>
      <c r="B984" s="99"/>
      <c r="C984" s="99"/>
      <c r="D984" s="99"/>
      <c r="E984" s="99"/>
      <c r="F984" s="99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</row>
    <row r="985" spans="1:26" ht="14.25" customHeight="1" x14ac:dyDescent="0.25">
      <c r="A985" s="99"/>
      <c r="B985" s="99"/>
      <c r="C985" s="99"/>
      <c r="D985" s="99"/>
      <c r="E985" s="99"/>
      <c r="F985" s="99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</row>
    <row r="986" spans="1:26" ht="14.25" customHeight="1" x14ac:dyDescent="0.25">
      <c r="A986" s="99"/>
      <c r="B986" s="99"/>
      <c r="C986" s="99"/>
      <c r="D986" s="99"/>
      <c r="E986" s="99"/>
      <c r="F986" s="99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</row>
    <row r="987" spans="1:26" ht="14.25" customHeight="1" x14ac:dyDescent="0.25">
      <c r="A987" s="99"/>
      <c r="B987" s="99"/>
      <c r="C987" s="99"/>
      <c r="D987" s="99"/>
      <c r="E987" s="99"/>
      <c r="F987" s="99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</row>
    <row r="988" spans="1:26" ht="14.25" customHeight="1" x14ac:dyDescent="0.25">
      <c r="A988" s="99"/>
      <c r="B988" s="99"/>
      <c r="C988" s="99"/>
      <c r="D988" s="99"/>
      <c r="E988" s="99"/>
      <c r="F988" s="99"/>
      <c r="G988" s="99"/>
      <c r="H988" s="99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</row>
    <row r="989" spans="1:26" ht="14.25" customHeight="1" x14ac:dyDescent="0.25">
      <c r="A989" s="99"/>
      <c r="B989" s="99"/>
      <c r="C989" s="99"/>
      <c r="D989" s="99"/>
      <c r="E989" s="99"/>
      <c r="F989" s="99"/>
      <c r="G989" s="99"/>
      <c r="H989" s="99"/>
      <c r="I989" s="99"/>
      <c r="J989" s="99"/>
      <c r="K989" s="99"/>
      <c r="L989" s="99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</row>
    <row r="990" spans="1:26" ht="14.25" customHeight="1" x14ac:dyDescent="0.25">
      <c r="A990" s="99"/>
      <c r="B990" s="99"/>
      <c r="C990" s="99"/>
      <c r="D990" s="99"/>
      <c r="E990" s="99"/>
      <c r="F990" s="99"/>
      <c r="G990" s="99"/>
      <c r="H990" s="99"/>
      <c r="I990" s="99"/>
      <c r="J990" s="99"/>
      <c r="K990" s="99"/>
      <c r="L990" s="99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</row>
    <row r="991" spans="1:26" ht="14.25" customHeight="1" x14ac:dyDescent="0.25">
      <c r="A991" s="99"/>
      <c r="B991" s="99"/>
      <c r="C991" s="99"/>
      <c r="D991" s="99"/>
      <c r="E991" s="99"/>
      <c r="F991" s="99"/>
      <c r="G991" s="99"/>
      <c r="H991" s="99"/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</row>
    <row r="992" spans="1:26" ht="14.25" customHeight="1" x14ac:dyDescent="0.25">
      <c r="A992" s="99"/>
      <c r="B992" s="99"/>
      <c r="C992" s="99"/>
      <c r="D992" s="99"/>
      <c r="E992" s="99"/>
      <c r="F992" s="99"/>
      <c r="G992" s="99"/>
      <c r="H992" s="99"/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</row>
    <row r="993" spans="1:26" ht="14.25" customHeight="1" x14ac:dyDescent="0.25">
      <c r="A993" s="99"/>
      <c r="B993" s="99"/>
      <c r="C993" s="99"/>
      <c r="D993" s="99"/>
      <c r="E993" s="99"/>
      <c r="F993" s="99"/>
      <c r="G993" s="99"/>
      <c r="H993" s="99"/>
      <c r="I993" s="99"/>
      <c r="J993" s="99"/>
      <c r="K993" s="99"/>
      <c r="L993" s="99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</row>
    <row r="994" spans="1:26" ht="14.25" customHeight="1" x14ac:dyDescent="0.25">
      <c r="A994" s="99"/>
      <c r="B994" s="99"/>
      <c r="C994" s="99"/>
      <c r="D994" s="99"/>
      <c r="E994" s="99"/>
      <c r="F994" s="99"/>
      <c r="G994" s="99"/>
      <c r="H994" s="99"/>
      <c r="I994" s="99"/>
      <c r="J994" s="99"/>
      <c r="K994" s="99"/>
      <c r="L994" s="99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</row>
    <row r="995" spans="1:26" ht="14.25" customHeight="1" x14ac:dyDescent="0.25">
      <c r="A995" s="99"/>
      <c r="B995" s="99"/>
      <c r="C995" s="99"/>
      <c r="D995" s="99"/>
      <c r="E995" s="99"/>
      <c r="F995" s="99"/>
      <c r="G995" s="99"/>
      <c r="H995" s="99"/>
      <c r="I995" s="99"/>
      <c r="J995" s="99"/>
      <c r="K995" s="99"/>
      <c r="L995" s="99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</row>
    <row r="996" spans="1:26" ht="14.25" customHeight="1" x14ac:dyDescent="0.25">
      <c r="A996" s="99"/>
      <c r="B996" s="99"/>
      <c r="C996" s="99"/>
      <c r="D996" s="99"/>
      <c r="E996" s="99"/>
      <c r="F996" s="99"/>
      <c r="G996" s="99"/>
      <c r="H996" s="99"/>
      <c r="I996" s="99"/>
      <c r="J996" s="99"/>
      <c r="K996" s="99"/>
      <c r="L996" s="99"/>
      <c r="M996" s="99"/>
      <c r="N996" s="99"/>
      <c r="O996" s="99"/>
      <c r="P996" s="99"/>
      <c r="Q996" s="99"/>
      <c r="R996" s="99"/>
      <c r="S996" s="99"/>
      <c r="T996" s="99"/>
      <c r="U996" s="99"/>
      <c r="V996" s="99"/>
      <c r="W996" s="99"/>
      <c r="X996" s="99"/>
      <c r="Y996" s="99"/>
      <c r="Z996" s="99"/>
    </row>
    <row r="997" spans="1:26" ht="14.25" customHeight="1" x14ac:dyDescent="0.25">
      <c r="A997" s="99"/>
      <c r="B997" s="99"/>
      <c r="C997" s="99"/>
      <c r="D997" s="99"/>
      <c r="E997" s="99"/>
      <c r="F997" s="99"/>
      <c r="G997" s="99"/>
      <c r="H997" s="99"/>
      <c r="I997" s="99"/>
      <c r="J997" s="99"/>
      <c r="K997" s="99"/>
      <c r="L997" s="99"/>
      <c r="M997" s="99"/>
      <c r="N997" s="99"/>
      <c r="O997" s="99"/>
      <c r="P997" s="99"/>
      <c r="Q997" s="99"/>
      <c r="R997" s="99"/>
      <c r="S997" s="99"/>
      <c r="T997" s="99"/>
      <c r="U997" s="99"/>
      <c r="V997" s="99"/>
      <c r="W997" s="99"/>
      <c r="X997" s="99"/>
      <c r="Y997" s="99"/>
      <c r="Z997" s="99"/>
    </row>
    <row r="998" spans="1:26" ht="14.25" customHeight="1" x14ac:dyDescent="0.25">
      <c r="A998" s="99"/>
      <c r="B998" s="99"/>
      <c r="C998" s="99"/>
      <c r="D998" s="99"/>
      <c r="E998" s="99"/>
      <c r="F998" s="99"/>
      <c r="G998" s="99"/>
      <c r="H998" s="99"/>
      <c r="I998" s="99"/>
      <c r="J998" s="99"/>
      <c r="K998" s="99"/>
      <c r="L998" s="99"/>
      <c r="M998" s="99"/>
      <c r="N998" s="99"/>
      <c r="O998" s="99"/>
      <c r="P998" s="99"/>
      <c r="Q998" s="99"/>
      <c r="R998" s="99"/>
      <c r="S998" s="99"/>
      <c r="T998" s="99"/>
      <c r="U998" s="99"/>
      <c r="V998" s="99"/>
      <c r="W998" s="99"/>
      <c r="X998" s="99"/>
      <c r="Y998" s="99"/>
      <c r="Z998" s="99"/>
    </row>
    <row r="999" spans="1:26" ht="14.25" customHeight="1" x14ac:dyDescent="0.25">
      <c r="A999" s="99"/>
      <c r="B999" s="99"/>
      <c r="C999" s="99"/>
      <c r="D999" s="99"/>
      <c r="E999" s="99"/>
      <c r="F999" s="99"/>
      <c r="G999" s="99"/>
      <c r="H999" s="99"/>
      <c r="I999" s="99"/>
      <c r="J999" s="99"/>
      <c r="K999" s="99"/>
      <c r="L999" s="99"/>
      <c r="M999" s="99"/>
      <c r="N999" s="99"/>
      <c r="O999" s="99"/>
      <c r="P999" s="99"/>
      <c r="Q999" s="99"/>
      <c r="R999" s="99"/>
      <c r="S999" s="99"/>
      <c r="T999" s="99"/>
      <c r="U999" s="99"/>
      <c r="V999" s="99"/>
      <c r="W999" s="99"/>
      <c r="X999" s="99"/>
      <c r="Y999" s="99"/>
      <c r="Z999" s="99"/>
    </row>
    <row r="1000" spans="1:26" ht="14.25" customHeight="1" x14ac:dyDescent="0.25">
      <c r="A1000" s="99"/>
      <c r="B1000" s="99"/>
      <c r="C1000" s="99"/>
      <c r="D1000" s="99"/>
      <c r="E1000" s="99"/>
      <c r="F1000" s="99"/>
      <c r="G1000" s="99"/>
      <c r="H1000" s="99"/>
      <c r="I1000" s="99"/>
      <c r="J1000" s="99"/>
      <c r="K1000" s="99"/>
      <c r="L1000" s="99"/>
      <c r="M1000" s="99"/>
      <c r="N1000" s="99"/>
      <c r="O1000" s="99"/>
      <c r="P1000" s="99"/>
      <c r="Q1000" s="99"/>
      <c r="R1000" s="99"/>
      <c r="S1000" s="99"/>
      <c r="T1000" s="99"/>
      <c r="U1000" s="99"/>
      <c r="V1000" s="99"/>
      <c r="W1000" s="99"/>
      <c r="X1000" s="99"/>
      <c r="Y1000" s="99"/>
      <c r="Z1000" s="99"/>
    </row>
  </sheetData>
  <mergeCells count="24">
    <mergeCell ref="Q8:R8"/>
    <mergeCell ref="N14:N19"/>
    <mergeCell ref="O14:O19"/>
    <mergeCell ref="I18:L18"/>
    <mergeCell ref="Q18:R18"/>
    <mergeCell ref="N4:N9"/>
    <mergeCell ref="O4:O9"/>
    <mergeCell ref="G6:G7"/>
    <mergeCell ref="I20:I24"/>
    <mergeCell ref="I25:I31"/>
    <mergeCell ref="G8:G9"/>
    <mergeCell ref="O27:R27"/>
    <mergeCell ref="B8:B9"/>
    <mergeCell ref="C8:C9"/>
    <mergeCell ref="B2:G2"/>
    <mergeCell ref="I2:J2"/>
    <mergeCell ref="C4:C5"/>
    <mergeCell ref="G4:G5"/>
    <mergeCell ref="F8:F9"/>
    <mergeCell ref="B4:B5"/>
    <mergeCell ref="B6:B7"/>
    <mergeCell ref="F4:F5"/>
    <mergeCell ref="F6:F7"/>
    <mergeCell ref="C6:C7"/>
  </mergeCell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F991"/>
  <sheetViews>
    <sheetView workbookViewId="0"/>
  </sheetViews>
  <sheetFormatPr defaultColWidth="14.42578125" defaultRowHeight="15" customHeight="1" x14ac:dyDescent="0.25"/>
  <cols>
    <col min="1" max="1" width="10.7109375" customWidth="1"/>
    <col min="2" max="2" width="30.5703125" customWidth="1"/>
    <col min="3" max="3" width="42.42578125" customWidth="1"/>
    <col min="4" max="4" width="23.85546875" customWidth="1"/>
    <col min="5" max="6" width="7" customWidth="1"/>
    <col min="7" max="20" width="10.7109375" customWidth="1"/>
  </cols>
  <sheetData>
    <row r="1" spans="2:6" ht="14.25" customHeight="1" x14ac:dyDescent="0.25"/>
    <row r="2" spans="2:6" ht="14.25" customHeight="1" x14ac:dyDescent="0.25">
      <c r="B2" s="204" t="s">
        <v>284</v>
      </c>
      <c r="C2" s="204" t="s">
        <v>285</v>
      </c>
      <c r="D2" s="204" t="s">
        <v>286</v>
      </c>
      <c r="E2" s="37" t="s">
        <v>287</v>
      </c>
      <c r="F2" s="37" t="s">
        <v>288</v>
      </c>
    </row>
    <row r="3" spans="2:6" ht="14.25" customHeight="1" x14ac:dyDescent="0.25">
      <c r="B3" s="274" t="s">
        <v>289</v>
      </c>
      <c r="C3" s="205" t="s">
        <v>290</v>
      </c>
      <c r="D3" s="206">
        <v>200</v>
      </c>
      <c r="E3" s="207">
        <v>100</v>
      </c>
      <c r="F3" s="41">
        <v>100</v>
      </c>
    </row>
    <row r="4" spans="2:6" ht="14.25" customHeight="1" x14ac:dyDescent="0.25">
      <c r="B4" s="224"/>
      <c r="C4" s="205" t="s">
        <v>291</v>
      </c>
      <c r="D4" s="206">
        <v>0</v>
      </c>
      <c r="E4" s="41">
        <v>0</v>
      </c>
      <c r="F4" s="41">
        <v>0</v>
      </c>
    </row>
    <row r="5" spans="2:6" ht="14.25" customHeight="1" x14ac:dyDescent="0.25">
      <c r="B5" s="224"/>
      <c r="C5" s="205" t="s">
        <v>292</v>
      </c>
      <c r="D5" s="206">
        <v>560</v>
      </c>
      <c r="E5" s="208">
        <v>280</v>
      </c>
      <c r="F5" s="41">
        <v>280</v>
      </c>
    </row>
    <row r="6" spans="2:6" ht="14.25" customHeight="1" x14ac:dyDescent="0.25">
      <c r="B6" s="224"/>
      <c r="C6" s="205" t="s">
        <v>293</v>
      </c>
      <c r="D6" s="206">
        <v>140</v>
      </c>
      <c r="E6" s="208">
        <v>70</v>
      </c>
      <c r="F6" s="41">
        <v>70</v>
      </c>
    </row>
    <row r="7" spans="2:6" ht="14.25" customHeight="1" x14ac:dyDescent="0.25">
      <c r="B7" s="224"/>
      <c r="C7" s="205" t="s">
        <v>294</v>
      </c>
      <c r="D7" s="206">
        <v>0</v>
      </c>
      <c r="E7" s="41">
        <v>0</v>
      </c>
      <c r="F7" s="41">
        <v>0</v>
      </c>
    </row>
    <row r="8" spans="2:6" ht="14.25" customHeight="1" x14ac:dyDescent="0.25">
      <c r="B8" s="224"/>
      <c r="C8" s="205" t="s">
        <v>295</v>
      </c>
      <c r="D8" s="206">
        <v>0</v>
      </c>
      <c r="E8" s="41">
        <v>0</v>
      </c>
      <c r="F8" s="41">
        <v>0</v>
      </c>
    </row>
    <row r="9" spans="2:6" ht="14.25" customHeight="1" x14ac:dyDescent="0.25">
      <c r="B9" s="224"/>
      <c r="C9" s="205" t="s">
        <v>296</v>
      </c>
      <c r="D9" s="206">
        <v>0</v>
      </c>
      <c r="E9" s="41">
        <v>0</v>
      </c>
      <c r="F9" s="41">
        <v>0</v>
      </c>
    </row>
    <row r="10" spans="2:6" ht="14.25" customHeight="1" x14ac:dyDescent="0.25">
      <c r="B10" s="224"/>
      <c r="C10" s="205" t="s">
        <v>297</v>
      </c>
      <c r="D10" s="206">
        <v>0</v>
      </c>
      <c r="E10" s="41">
        <v>0</v>
      </c>
      <c r="F10" s="41">
        <v>0</v>
      </c>
    </row>
    <row r="11" spans="2:6" ht="14.25" customHeight="1" x14ac:dyDescent="0.25">
      <c r="B11" s="224"/>
      <c r="C11" s="205" t="s">
        <v>298</v>
      </c>
      <c r="D11" s="206">
        <v>0</v>
      </c>
      <c r="E11" s="41">
        <v>0</v>
      </c>
      <c r="F11" s="41">
        <v>0</v>
      </c>
    </row>
    <row r="12" spans="2:6" ht="14.25" customHeight="1" x14ac:dyDescent="0.25">
      <c r="B12" s="225"/>
      <c r="C12" s="205" t="s">
        <v>299</v>
      </c>
      <c r="D12" s="206">
        <v>75</v>
      </c>
      <c r="E12" s="208">
        <v>50</v>
      </c>
      <c r="F12" s="41">
        <v>25</v>
      </c>
    </row>
    <row r="13" spans="2:6" ht="14.25" customHeight="1" x14ac:dyDescent="0.25">
      <c r="B13" s="275" t="s">
        <v>34</v>
      </c>
      <c r="C13" s="209" t="s">
        <v>300</v>
      </c>
      <c r="D13" s="210">
        <v>50</v>
      </c>
      <c r="E13" s="208">
        <v>25</v>
      </c>
      <c r="F13" s="41">
        <v>25</v>
      </c>
    </row>
    <row r="14" spans="2:6" ht="14.25" customHeight="1" x14ac:dyDescent="0.25">
      <c r="B14" s="224"/>
      <c r="C14" s="209" t="s">
        <v>301</v>
      </c>
      <c r="D14" s="210">
        <v>1000</v>
      </c>
      <c r="E14" s="208">
        <v>500</v>
      </c>
      <c r="F14" s="41">
        <v>500</v>
      </c>
    </row>
    <row r="15" spans="2:6" ht="14.25" customHeight="1" x14ac:dyDescent="0.25">
      <c r="B15" s="225"/>
      <c r="C15" s="209" t="s">
        <v>302</v>
      </c>
      <c r="D15" s="210">
        <v>50</v>
      </c>
      <c r="E15" s="208">
        <v>25</v>
      </c>
      <c r="F15" s="41">
        <v>25</v>
      </c>
    </row>
    <row r="16" spans="2:6" ht="14.25" customHeight="1" x14ac:dyDescent="0.25">
      <c r="B16" s="276" t="s">
        <v>303</v>
      </c>
      <c r="C16" s="211" t="s">
        <v>304</v>
      </c>
      <c r="D16" s="212">
        <v>0</v>
      </c>
      <c r="E16" s="41">
        <v>0</v>
      </c>
      <c r="F16" s="41">
        <v>0</v>
      </c>
    </row>
    <row r="17" spans="2:6" ht="14.25" customHeight="1" x14ac:dyDescent="0.25">
      <c r="B17" s="224"/>
      <c r="C17" s="211" t="s">
        <v>305</v>
      </c>
      <c r="D17" s="212">
        <v>0</v>
      </c>
      <c r="E17" s="41">
        <v>0</v>
      </c>
      <c r="F17" s="41">
        <v>0</v>
      </c>
    </row>
    <row r="18" spans="2:6" ht="14.25" customHeight="1" x14ac:dyDescent="0.25">
      <c r="B18" s="224"/>
      <c r="C18" s="211" t="s">
        <v>306</v>
      </c>
      <c r="D18" s="212">
        <v>100</v>
      </c>
      <c r="E18" s="208">
        <v>50</v>
      </c>
      <c r="F18" s="41">
        <v>50</v>
      </c>
    </row>
    <row r="19" spans="2:6" ht="14.25" customHeight="1" x14ac:dyDescent="0.25">
      <c r="B19" s="224"/>
      <c r="C19" s="211" t="s">
        <v>307</v>
      </c>
      <c r="D19" s="212">
        <v>100</v>
      </c>
      <c r="E19" s="208">
        <v>50</v>
      </c>
      <c r="F19" s="41">
        <v>50</v>
      </c>
    </row>
    <row r="20" spans="2:6" ht="14.25" customHeight="1" x14ac:dyDescent="0.25">
      <c r="B20" s="224"/>
      <c r="C20" s="211" t="s">
        <v>308</v>
      </c>
      <c r="D20" s="212">
        <v>0</v>
      </c>
      <c r="E20" s="41">
        <v>0</v>
      </c>
      <c r="F20" s="41">
        <v>0</v>
      </c>
    </row>
    <row r="21" spans="2:6" ht="14.25" customHeight="1" x14ac:dyDescent="0.25">
      <c r="B21" s="224"/>
      <c r="C21" s="211" t="s">
        <v>309</v>
      </c>
      <c r="D21" s="212">
        <v>0</v>
      </c>
      <c r="E21" s="41">
        <v>0</v>
      </c>
      <c r="F21" s="41">
        <v>0</v>
      </c>
    </row>
    <row r="22" spans="2:6" ht="14.25" customHeight="1" x14ac:dyDescent="0.25">
      <c r="B22" s="224"/>
      <c r="C22" s="211" t="s">
        <v>310</v>
      </c>
      <c r="D22" s="212">
        <v>150</v>
      </c>
      <c r="E22" s="208">
        <v>75</v>
      </c>
      <c r="F22" s="41">
        <v>75</v>
      </c>
    </row>
    <row r="23" spans="2:6" ht="14.25" customHeight="1" x14ac:dyDescent="0.25">
      <c r="B23" s="225"/>
      <c r="C23" s="211" t="s">
        <v>311</v>
      </c>
      <c r="D23" s="212">
        <v>100</v>
      </c>
      <c r="E23" s="208">
        <v>50</v>
      </c>
      <c r="F23" s="41">
        <v>50</v>
      </c>
    </row>
    <row r="24" spans="2:6" ht="14.25" customHeight="1" x14ac:dyDescent="0.25">
      <c r="B24" s="277" t="s">
        <v>312</v>
      </c>
      <c r="C24" s="213" t="s">
        <v>313</v>
      </c>
      <c r="D24" s="214">
        <v>25</v>
      </c>
      <c r="E24" s="208">
        <v>12.5</v>
      </c>
      <c r="F24" s="41">
        <v>12.5</v>
      </c>
    </row>
    <row r="25" spans="2:6" ht="14.25" customHeight="1" x14ac:dyDescent="0.25">
      <c r="B25" s="224"/>
      <c r="C25" s="213" t="s">
        <v>314</v>
      </c>
      <c r="D25" s="214">
        <v>80</v>
      </c>
      <c r="E25" s="208">
        <v>40</v>
      </c>
      <c r="F25" s="41">
        <v>40</v>
      </c>
    </row>
    <row r="26" spans="2:6" ht="14.25" customHeight="1" x14ac:dyDescent="0.25">
      <c r="B26" s="225"/>
      <c r="C26" s="213" t="s">
        <v>315</v>
      </c>
      <c r="D26" s="214">
        <v>0</v>
      </c>
      <c r="E26" s="41">
        <v>0</v>
      </c>
      <c r="F26" s="41">
        <v>0</v>
      </c>
    </row>
    <row r="27" spans="2:6" ht="14.25" customHeight="1" x14ac:dyDescent="0.25">
      <c r="B27" s="278" t="s">
        <v>316</v>
      </c>
      <c r="C27" s="215" t="s">
        <v>317</v>
      </c>
      <c r="D27" s="216">
        <v>0</v>
      </c>
      <c r="E27" s="41">
        <v>0</v>
      </c>
      <c r="F27" s="41">
        <v>0</v>
      </c>
    </row>
    <row r="28" spans="2:6" ht="14.25" customHeight="1" x14ac:dyDescent="0.25">
      <c r="B28" s="224"/>
      <c r="C28" s="215" t="s">
        <v>318</v>
      </c>
      <c r="D28" s="216">
        <v>0</v>
      </c>
      <c r="E28" s="41">
        <v>0</v>
      </c>
      <c r="F28" s="41">
        <v>0</v>
      </c>
    </row>
    <row r="29" spans="2:6" ht="14.25" customHeight="1" x14ac:dyDescent="0.25">
      <c r="B29" s="224"/>
      <c r="C29" s="215" t="s">
        <v>319</v>
      </c>
      <c r="D29" s="216">
        <v>0</v>
      </c>
      <c r="E29" s="41">
        <v>0</v>
      </c>
      <c r="F29" s="41">
        <v>0</v>
      </c>
    </row>
    <row r="30" spans="2:6" ht="14.25" customHeight="1" x14ac:dyDescent="0.25">
      <c r="B30" s="225"/>
      <c r="C30" s="215" t="s">
        <v>320</v>
      </c>
      <c r="D30" s="216">
        <v>100</v>
      </c>
      <c r="E30" s="208">
        <v>100</v>
      </c>
      <c r="F30" s="41">
        <v>0</v>
      </c>
    </row>
    <row r="31" spans="2:6" ht="14.25" customHeight="1" x14ac:dyDescent="0.25">
      <c r="B31" s="279" t="s">
        <v>18</v>
      </c>
      <c r="C31" s="261"/>
      <c r="D31" s="217">
        <f t="shared" ref="D31:F31" si="0">SUM(D3:D30)</f>
        <v>2730</v>
      </c>
      <c r="E31" s="41">
        <f t="shared" si="0"/>
        <v>1427.5</v>
      </c>
      <c r="F31" s="41">
        <f t="shared" si="0"/>
        <v>1302.5</v>
      </c>
    </row>
    <row r="32" spans="2:6" ht="14.25" customHeight="1" x14ac:dyDescent="0.25">
      <c r="B32" s="279" t="s">
        <v>321</v>
      </c>
      <c r="C32" s="261"/>
      <c r="D32" s="217">
        <f>+D30+D26+D23+D19+D18+D15+D14+D13+D12+D11+D10+D8+D6+D5</f>
        <v>2275</v>
      </c>
      <c r="E32" s="41">
        <f>E30+E25+E24+E23+E22+E19+E18+E15+E13+E6+E3</f>
        <v>597.5</v>
      </c>
      <c r="F32" s="37"/>
    </row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</sheetData>
  <mergeCells count="7">
    <mergeCell ref="B31:C31"/>
    <mergeCell ref="B32:C32"/>
    <mergeCell ref="B3:B12"/>
    <mergeCell ref="B13:B15"/>
    <mergeCell ref="B16:B23"/>
    <mergeCell ref="B24:B26"/>
    <mergeCell ref="B27:B30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B1:E8"/>
  <sheetViews>
    <sheetView workbookViewId="0"/>
  </sheetViews>
  <sheetFormatPr defaultColWidth="14.42578125" defaultRowHeight="15" customHeight="1" x14ac:dyDescent="0.25"/>
  <sheetData>
    <row r="1" spans="2:5" x14ac:dyDescent="0.25">
      <c r="B1" s="218" t="s">
        <v>9</v>
      </c>
      <c r="C1" s="218">
        <f>SUM(C2:C1000)</f>
        <v>36190</v>
      </c>
      <c r="D1" s="37">
        <f>C1-'Actualización Ahorro 04-2021'!E16-'Actualización Ahorro 04-2021'!E20-'Actualización Ahorro 04-2021'!E21</f>
        <v>26333</v>
      </c>
      <c r="E1" s="37">
        <f>D1/3000</f>
        <v>8.7776666666666667</v>
      </c>
    </row>
    <row r="2" spans="2:5" x14ac:dyDescent="0.25">
      <c r="B2" s="37" t="s">
        <v>322</v>
      </c>
      <c r="C2" s="37">
        <v>1590</v>
      </c>
    </row>
    <row r="3" spans="2:5" x14ac:dyDescent="0.25">
      <c r="B3" s="37" t="s">
        <v>11</v>
      </c>
      <c r="C3" s="37">
        <f>200*8</f>
        <v>1600</v>
      </c>
    </row>
    <row r="4" spans="2:5" x14ac:dyDescent="0.25">
      <c r="B4" s="37" t="s">
        <v>323</v>
      </c>
      <c r="C4" s="37">
        <v>12000</v>
      </c>
    </row>
    <row r="5" spans="2:5" x14ac:dyDescent="0.25">
      <c r="B5" s="37" t="s">
        <v>324</v>
      </c>
      <c r="C5" s="37">
        <v>15000</v>
      </c>
    </row>
    <row r="6" spans="2:5" x14ac:dyDescent="0.25">
      <c r="B6" s="37" t="s">
        <v>325</v>
      </c>
      <c r="C6" s="37">
        <v>6000</v>
      </c>
    </row>
    <row r="8" spans="2:5" x14ac:dyDescent="0.25">
      <c r="E8" s="37" t="s">
        <v>326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G13"/>
  <sheetViews>
    <sheetView workbookViewId="0"/>
  </sheetViews>
  <sheetFormatPr defaultColWidth="14.42578125" defaultRowHeight="15" customHeight="1" x14ac:dyDescent="0.25"/>
  <cols>
    <col min="2" max="2" width="17.85546875" customWidth="1"/>
  </cols>
  <sheetData>
    <row r="2" spans="2:7" x14ac:dyDescent="0.25">
      <c r="B2" s="38"/>
      <c r="C2" s="39" t="s">
        <v>5</v>
      </c>
      <c r="D2" s="39" t="s">
        <v>6</v>
      </c>
      <c r="E2" s="39" t="s">
        <v>7</v>
      </c>
      <c r="F2" s="39" t="s">
        <v>8</v>
      </c>
    </row>
    <row r="3" spans="2:7" x14ac:dyDescent="0.25">
      <c r="B3" s="39" t="s">
        <v>9</v>
      </c>
      <c r="C3" s="38">
        <f t="shared" ref="C3:E3" si="0">SUM(C4:C13)</f>
        <v>99296</v>
      </c>
      <c r="D3" s="38">
        <f t="shared" si="0"/>
        <v>84631</v>
      </c>
      <c r="E3" s="38">
        <f t="shared" si="0"/>
        <v>14665</v>
      </c>
      <c r="F3" s="18">
        <f t="shared" ref="F3:F10" si="1">D3/C3</f>
        <v>0.85231026426039314</v>
      </c>
    </row>
    <row r="4" spans="2:7" x14ac:dyDescent="0.25">
      <c r="B4" s="38" t="s">
        <v>35</v>
      </c>
      <c r="C4" s="40">
        <v>15000</v>
      </c>
      <c r="D4" s="38">
        <f t="shared" ref="D4:D6" si="2">C4</f>
        <v>15000</v>
      </c>
      <c r="E4" s="38">
        <f t="shared" ref="E4:E10" si="3">C4-D4</f>
        <v>0</v>
      </c>
      <c r="F4" s="18">
        <f t="shared" si="1"/>
        <v>1</v>
      </c>
    </row>
    <row r="5" spans="2:7" x14ac:dyDescent="0.25">
      <c r="B5" s="38" t="s">
        <v>36</v>
      </c>
      <c r="C5" s="38">
        <v>15000</v>
      </c>
      <c r="D5" s="38">
        <f t="shared" si="2"/>
        <v>15000</v>
      </c>
      <c r="E5" s="38">
        <f t="shared" si="3"/>
        <v>0</v>
      </c>
      <c r="F5" s="18">
        <f t="shared" si="1"/>
        <v>1</v>
      </c>
    </row>
    <row r="6" spans="2:7" x14ac:dyDescent="0.25">
      <c r="B6" s="40" t="s">
        <v>37</v>
      </c>
      <c r="C6" s="40">
        <v>7300</v>
      </c>
      <c r="D6" s="38">
        <f t="shared" si="2"/>
        <v>7300</v>
      </c>
      <c r="E6" s="38">
        <f t="shared" si="3"/>
        <v>0</v>
      </c>
      <c r="F6" s="18">
        <f t="shared" si="1"/>
        <v>1</v>
      </c>
    </row>
    <row r="7" spans="2:7" x14ac:dyDescent="0.25">
      <c r="B7" s="38" t="s">
        <v>38</v>
      </c>
      <c r="C7" s="38">
        <v>15000</v>
      </c>
      <c r="D7" s="38">
        <v>15000</v>
      </c>
      <c r="E7" s="38">
        <f t="shared" si="3"/>
        <v>0</v>
      </c>
      <c r="F7" s="18">
        <f t="shared" si="1"/>
        <v>1</v>
      </c>
    </row>
    <row r="8" spans="2:7" x14ac:dyDescent="0.25">
      <c r="B8" s="38" t="s">
        <v>39</v>
      </c>
      <c r="C8" s="38">
        <v>10200</v>
      </c>
      <c r="D8" s="38">
        <f t="shared" ref="D8:D9" si="4">C8</f>
        <v>10200</v>
      </c>
      <c r="E8" s="38">
        <f t="shared" si="3"/>
        <v>0</v>
      </c>
      <c r="F8" s="18">
        <f t="shared" si="1"/>
        <v>1</v>
      </c>
    </row>
    <row r="9" spans="2:7" x14ac:dyDescent="0.25">
      <c r="B9" s="38" t="s">
        <v>40</v>
      </c>
      <c r="C9" s="38">
        <f>'Actualizacion Ahorro 12-2021'!C25</f>
        <v>11796</v>
      </c>
      <c r="D9" s="38">
        <f t="shared" si="4"/>
        <v>11796</v>
      </c>
      <c r="E9" s="38">
        <f t="shared" si="3"/>
        <v>0</v>
      </c>
      <c r="F9" s="18">
        <f t="shared" si="1"/>
        <v>1</v>
      </c>
    </row>
    <row r="10" spans="2:7" x14ac:dyDescent="0.25">
      <c r="B10" s="38" t="s">
        <v>14</v>
      </c>
      <c r="C10" s="38">
        <f>3500*7+500</f>
        <v>25000</v>
      </c>
      <c r="D10" s="38">
        <f>'Actualizacion Ahorro 12-2021'!D2-SUM(D4:D9)</f>
        <v>10335</v>
      </c>
      <c r="E10" s="38">
        <f t="shared" si="3"/>
        <v>14665</v>
      </c>
      <c r="F10" s="18">
        <f t="shared" si="1"/>
        <v>0.41339999999999999</v>
      </c>
      <c r="G10" s="31">
        <f>D10+D7</f>
        <v>25335</v>
      </c>
    </row>
    <row r="11" spans="2:7" x14ac:dyDescent="0.25">
      <c r="B11" s="38"/>
      <c r="C11" s="38"/>
      <c r="D11" s="38"/>
      <c r="E11" s="38"/>
      <c r="F11" s="18"/>
    </row>
    <row r="12" spans="2:7" x14ac:dyDescent="0.25">
      <c r="B12" s="38"/>
      <c r="C12" s="38"/>
      <c r="D12" s="38"/>
      <c r="E12" s="38"/>
      <c r="F12" s="18"/>
    </row>
    <row r="13" spans="2:7" x14ac:dyDescent="0.25">
      <c r="B13" s="38"/>
      <c r="C13" s="38"/>
      <c r="D13" s="38"/>
      <c r="E13" s="38"/>
      <c r="F1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M39"/>
  <sheetViews>
    <sheetView workbookViewId="0"/>
  </sheetViews>
  <sheetFormatPr defaultColWidth="14.42578125" defaultRowHeight="15" customHeight="1" x14ac:dyDescent="0.25"/>
  <cols>
    <col min="2" max="2" width="32.28515625" customWidth="1"/>
    <col min="3" max="3" width="18.85546875" customWidth="1"/>
    <col min="4" max="4" width="17.28515625" customWidth="1"/>
    <col min="7" max="7" width="26.42578125" customWidth="1"/>
    <col min="8" max="8" width="33.7109375" customWidth="1"/>
    <col min="11" max="11" width="16" customWidth="1"/>
    <col min="12" max="12" width="17.85546875" customWidth="1"/>
    <col min="13" max="13" width="11.5703125" customWidth="1"/>
  </cols>
  <sheetData>
    <row r="2" spans="1:13" x14ac:dyDescent="0.25">
      <c r="B2" s="226" t="s">
        <v>41</v>
      </c>
      <c r="C2" s="227"/>
      <c r="D2" s="227"/>
      <c r="E2" s="227"/>
      <c r="F2" s="227"/>
      <c r="G2" s="228"/>
    </row>
    <row r="3" spans="1:13" ht="15" customHeight="1" x14ac:dyDescent="0.25">
      <c r="B3" s="43" t="s">
        <v>42</v>
      </c>
      <c r="C3" s="44" t="s">
        <v>43</v>
      </c>
      <c r="D3" s="44" t="s">
        <v>44</v>
      </c>
      <c r="E3" s="44" t="s">
        <v>6</v>
      </c>
      <c r="F3" s="45" t="s">
        <v>45</v>
      </c>
      <c r="G3" s="45" t="s">
        <v>46</v>
      </c>
      <c r="K3" s="27">
        <v>44571</v>
      </c>
      <c r="L3" s="31">
        <v>1</v>
      </c>
      <c r="M3" s="27">
        <f>K3+160</f>
        <v>44731</v>
      </c>
    </row>
    <row r="4" spans="1:13" x14ac:dyDescent="0.25">
      <c r="A4" s="37"/>
      <c r="B4" s="46" t="s">
        <v>47</v>
      </c>
      <c r="C4" s="47">
        <v>5900</v>
      </c>
      <c r="D4" s="48">
        <v>5900</v>
      </c>
      <c r="E4" s="49">
        <f t="shared" ref="E4:E5" si="0">D4</f>
        <v>5900</v>
      </c>
      <c r="F4" s="50">
        <f t="shared" ref="F4:F6" si="1">E4/D4</f>
        <v>1</v>
      </c>
      <c r="G4" s="51" t="s">
        <v>21</v>
      </c>
      <c r="H4" s="31" t="s">
        <v>48</v>
      </c>
      <c r="K4" s="27">
        <v>44207</v>
      </c>
      <c r="L4" s="31">
        <v>2</v>
      </c>
    </row>
    <row r="5" spans="1:13" x14ac:dyDescent="0.25">
      <c r="A5" s="37"/>
      <c r="B5" s="52" t="s">
        <v>49</v>
      </c>
      <c r="C5" s="2">
        <v>1800</v>
      </c>
      <c r="D5" s="29">
        <v>1800</v>
      </c>
      <c r="E5" s="2">
        <f t="shared" si="0"/>
        <v>1800</v>
      </c>
      <c r="F5" s="53">
        <f t="shared" si="1"/>
        <v>1</v>
      </c>
      <c r="G5" s="54" t="s">
        <v>21</v>
      </c>
      <c r="H5" s="31" t="s">
        <v>48</v>
      </c>
      <c r="K5" s="27">
        <v>44208</v>
      </c>
      <c r="L5" s="31">
        <v>3</v>
      </c>
    </row>
    <row r="6" spans="1:13" x14ac:dyDescent="0.25">
      <c r="B6" s="52" t="s">
        <v>14</v>
      </c>
      <c r="C6" s="29">
        <v>50000</v>
      </c>
      <c r="D6" s="29">
        <v>50000</v>
      </c>
      <c r="E6" s="2">
        <v>50000</v>
      </c>
      <c r="F6" s="53">
        <f t="shared" si="1"/>
        <v>1</v>
      </c>
      <c r="G6" s="54" t="s">
        <v>50</v>
      </c>
      <c r="K6" s="27">
        <v>44209</v>
      </c>
      <c r="L6" s="31">
        <v>4</v>
      </c>
    </row>
    <row r="7" spans="1:13" x14ac:dyDescent="0.25">
      <c r="B7" s="52" t="s">
        <v>51</v>
      </c>
      <c r="C7" s="29">
        <v>0</v>
      </c>
      <c r="D7" s="29">
        <v>0</v>
      </c>
      <c r="E7" s="2">
        <v>0</v>
      </c>
      <c r="F7" s="53">
        <v>0</v>
      </c>
      <c r="G7" s="54" t="s">
        <v>52</v>
      </c>
      <c r="H7" s="31" t="s">
        <v>53</v>
      </c>
      <c r="K7" s="27">
        <v>44210</v>
      </c>
      <c r="L7" s="31">
        <v>5</v>
      </c>
    </row>
    <row r="8" spans="1:13" x14ac:dyDescent="0.25">
      <c r="B8" s="55" t="s">
        <v>54</v>
      </c>
      <c r="C8" s="56">
        <v>21000</v>
      </c>
      <c r="D8" s="56">
        <f>2000*3+753</f>
        <v>6753</v>
      </c>
      <c r="E8" s="57">
        <f>D11-E4-E5-E6-E7</f>
        <v>2299</v>
      </c>
      <c r="F8" s="58">
        <f t="shared" ref="F8:F9" si="2">E8/D8</f>
        <v>0.34044128535465717</v>
      </c>
      <c r="G8" s="59" t="s">
        <v>50</v>
      </c>
      <c r="K8" s="27">
        <v>44211</v>
      </c>
      <c r="L8" s="31">
        <v>6</v>
      </c>
    </row>
    <row r="9" spans="1:13" x14ac:dyDescent="0.25">
      <c r="B9" s="60" t="s">
        <v>9</v>
      </c>
      <c r="C9" s="61">
        <f t="shared" ref="C9:E9" si="3">SUM(C4:C8)</f>
        <v>78700</v>
      </c>
      <c r="D9" s="61">
        <f t="shared" si="3"/>
        <v>64453</v>
      </c>
      <c r="E9" s="61">
        <f t="shared" si="3"/>
        <v>59999</v>
      </c>
      <c r="F9" s="62">
        <f t="shared" si="2"/>
        <v>0.93089538113043613</v>
      </c>
      <c r="G9" s="62">
        <f>E9/C9</f>
        <v>0.76237611181702669</v>
      </c>
      <c r="K9" s="27">
        <v>44212</v>
      </c>
      <c r="L9" s="31">
        <v>7</v>
      </c>
    </row>
    <row r="10" spans="1:13" ht="15" customHeight="1" x14ac:dyDescent="0.25">
      <c r="E10" s="37"/>
      <c r="K10" s="27">
        <v>44213</v>
      </c>
      <c r="L10" s="31">
        <v>8</v>
      </c>
    </row>
    <row r="11" spans="1:13" x14ac:dyDescent="0.25">
      <c r="A11" s="37"/>
      <c r="B11" s="63" t="s">
        <v>55</v>
      </c>
      <c r="C11" s="64">
        <v>6579</v>
      </c>
      <c r="D11" s="229">
        <f>C11+C12+C13+C14</f>
        <v>59999</v>
      </c>
      <c r="H11" s="29"/>
      <c r="K11" s="27">
        <v>44214</v>
      </c>
      <c r="L11" s="31">
        <v>9</v>
      </c>
    </row>
    <row r="12" spans="1:13" x14ac:dyDescent="0.25">
      <c r="A12" s="37"/>
      <c r="B12" s="65" t="s">
        <v>21</v>
      </c>
      <c r="C12" s="66">
        <v>21420</v>
      </c>
      <c r="D12" s="220"/>
      <c r="H12" s="2"/>
      <c r="I12" s="29"/>
      <c r="J12" s="67"/>
      <c r="K12" s="27">
        <v>44215</v>
      </c>
      <c r="L12" s="31">
        <v>10</v>
      </c>
      <c r="M12" s="29"/>
    </row>
    <row r="13" spans="1:13" x14ac:dyDescent="0.25">
      <c r="A13" s="37"/>
      <c r="B13" s="65" t="s">
        <v>56</v>
      </c>
      <c r="C13" s="66">
        <v>32000</v>
      </c>
      <c r="D13" s="220"/>
      <c r="J13" s="68"/>
      <c r="K13" s="27">
        <v>44216</v>
      </c>
      <c r="L13" s="31">
        <v>11</v>
      </c>
      <c r="M13" s="37"/>
    </row>
    <row r="14" spans="1:13" x14ac:dyDescent="0.25">
      <c r="A14" s="37"/>
      <c r="B14" s="69" t="s">
        <v>30</v>
      </c>
      <c r="C14" s="70">
        <v>0</v>
      </c>
      <c r="D14" s="221"/>
      <c r="F14" s="31">
        <f>C12+C11</f>
        <v>27999</v>
      </c>
      <c r="G14" s="31">
        <f>3200*4+5000*7</f>
        <v>47800</v>
      </c>
      <c r="J14" s="68"/>
      <c r="K14" s="27">
        <v>44217</v>
      </c>
      <c r="L14" s="31">
        <v>12</v>
      </c>
    </row>
    <row r="15" spans="1:13" x14ac:dyDescent="0.25">
      <c r="B15" s="230" t="s">
        <v>4</v>
      </c>
      <c r="C15" s="231"/>
      <c r="D15" s="232"/>
      <c r="G15" s="34">
        <f>F14/G14</f>
        <v>0.58575313807531382</v>
      </c>
      <c r="J15" s="68"/>
      <c r="K15" s="27">
        <v>44218</v>
      </c>
      <c r="L15" s="31">
        <v>13</v>
      </c>
    </row>
    <row r="16" spans="1:13" x14ac:dyDescent="0.25">
      <c r="J16" s="68"/>
      <c r="K16" s="27">
        <v>44219</v>
      </c>
      <c r="L16" s="31">
        <v>14</v>
      </c>
    </row>
    <row r="17" spans="2:12" ht="15" customHeight="1" x14ac:dyDescent="0.25">
      <c r="B17" s="37" t="str">
        <f t="shared" ref="B17:B21" si="4">B4</f>
        <v>Negocio</v>
      </c>
      <c r="C17" s="71">
        <f t="shared" ref="C17:C19" si="5">E4/C4</f>
        <v>1</v>
      </c>
      <c r="D17" s="37"/>
      <c r="L17" s="31">
        <v>15</v>
      </c>
    </row>
    <row r="18" spans="2:12" ht="15" customHeight="1" x14ac:dyDescent="0.25">
      <c r="B18" s="37" t="str">
        <f t="shared" si="4"/>
        <v>Casa (estufa, lavadora, cama)</v>
      </c>
      <c r="C18" s="71">
        <f t="shared" si="5"/>
        <v>1</v>
      </c>
      <c r="L18" s="31">
        <v>16</v>
      </c>
    </row>
    <row r="19" spans="2:12" ht="15" customHeight="1" x14ac:dyDescent="0.25">
      <c r="B19" s="37" t="str">
        <f t="shared" si="4"/>
        <v>Ahorro personal</v>
      </c>
      <c r="C19" s="71">
        <f t="shared" si="5"/>
        <v>1</v>
      </c>
      <c r="F19" s="37"/>
      <c r="G19" s="37"/>
      <c r="L19" s="31">
        <v>17</v>
      </c>
    </row>
    <row r="20" spans="2:12" ht="15" customHeight="1" x14ac:dyDescent="0.25">
      <c r="B20" s="37" t="str">
        <f t="shared" si="4"/>
        <v>Odontologo</v>
      </c>
      <c r="C20" s="71">
        <v>0</v>
      </c>
      <c r="F20" s="37"/>
      <c r="G20" s="37"/>
    </row>
    <row r="21" spans="2:12" ht="15" customHeight="1" x14ac:dyDescent="0.25">
      <c r="B21" s="37" t="str">
        <f t="shared" si="4"/>
        <v>Australia</v>
      </c>
      <c r="C21" s="71">
        <f>E8/C8</f>
        <v>0.10947619047619048</v>
      </c>
      <c r="D21" s="37"/>
      <c r="E21" s="37"/>
      <c r="F21" s="37"/>
    </row>
    <row r="25" spans="2:12" x14ac:dyDescent="0.25">
      <c r="H25" s="66"/>
      <c r="I25" s="71"/>
      <c r="J25" s="53"/>
      <c r="K25" s="53"/>
    </row>
    <row r="26" spans="2:12" x14ac:dyDescent="0.25">
      <c r="H26" s="66"/>
      <c r="I26" s="53"/>
    </row>
    <row r="27" spans="2:12" x14ac:dyDescent="0.25">
      <c r="I27" s="53"/>
      <c r="J27" s="66"/>
    </row>
    <row r="28" spans="2:12" x14ac:dyDescent="0.25">
      <c r="J28" s="37"/>
    </row>
    <row r="29" spans="2:12" x14ac:dyDescent="0.25">
      <c r="J29" s="37"/>
    </row>
    <row r="35" spans="2:3" ht="15" customHeight="1" x14ac:dyDescent="0.25">
      <c r="B35" s="37"/>
    </row>
    <row r="36" spans="2:3" ht="15" customHeight="1" x14ac:dyDescent="0.25">
      <c r="B36" s="37"/>
      <c r="C36" s="37"/>
    </row>
    <row r="37" spans="2:3" ht="15" customHeight="1" x14ac:dyDescent="0.25">
      <c r="B37" s="37"/>
      <c r="C37" s="37"/>
    </row>
    <row r="38" spans="2:3" ht="15" customHeight="1" x14ac:dyDescent="0.25">
      <c r="B38" s="37"/>
      <c r="C38" s="37"/>
    </row>
    <row r="39" spans="2:3" ht="15" customHeight="1" x14ac:dyDescent="0.25">
      <c r="B39" s="37"/>
      <c r="C39" s="37"/>
    </row>
  </sheetData>
  <mergeCells count="3">
    <mergeCell ref="B2:G2"/>
    <mergeCell ref="D11:D14"/>
    <mergeCell ref="B15:D1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2:O69"/>
  <sheetViews>
    <sheetView workbookViewId="0"/>
  </sheetViews>
  <sheetFormatPr defaultColWidth="14.42578125" defaultRowHeight="15" customHeight="1" x14ac:dyDescent="0.25"/>
  <cols>
    <col min="6" max="6" width="18.28515625" customWidth="1"/>
    <col min="8" max="8" width="24.42578125" customWidth="1"/>
    <col min="14" max="14" width="16.7109375" customWidth="1"/>
  </cols>
  <sheetData>
    <row r="2" spans="2:12" x14ac:dyDescent="0.25">
      <c r="B2" s="63" t="s">
        <v>55</v>
      </c>
      <c r="C2" s="64">
        <v>6677</v>
      </c>
      <c r="D2" s="229">
        <f>C2+C3+C4+C5</f>
        <v>84631</v>
      </c>
    </row>
    <row r="3" spans="2:12" x14ac:dyDescent="0.25">
      <c r="B3" s="65" t="s">
        <v>21</v>
      </c>
      <c r="C3" s="66">
        <v>77954</v>
      </c>
      <c r="D3" s="220"/>
    </row>
    <row r="4" spans="2:12" x14ac:dyDescent="0.25">
      <c r="B4" s="65" t="s">
        <v>56</v>
      </c>
      <c r="C4" s="66"/>
      <c r="D4" s="220"/>
    </row>
    <row r="5" spans="2:12" x14ac:dyDescent="0.25">
      <c r="B5" s="69" t="s">
        <v>30</v>
      </c>
      <c r="C5" s="70">
        <v>0</v>
      </c>
      <c r="D5" s="221"/>
    </row>
    <row r="6" spans="2:12" x14ac:dyDescent="0.25">
      <c r="B6" s="230" t="s">
        <v>4</v>
      </c>
      <c r="C6" s="231"/>
      <c r="D6" s="232"/>
    </row>
    <row r="7" spans="2:12" x14ac:dyDescent="0.25">
      <c r="H7" s="38"/>
      <c r="I7" s="38" t="s">
        <v>5</v>
      </c>
      <c r="J7" s="38" t="s">
        <v>6</v>
      </c>
      <c r="K7" s="38" t="s">
        <v>7</v>
      </c>
      <c r="L7" s="38" t="s">
        <v>8</v>
      </c>
    </row>
    <row r="8" spans="2:12" x14ac:dyDescent="0.25">
      <c r="B8" s="31" t="s">
        <v>57</v>
      </c>
      <c r="C8" s="31">
        <v>60</v>
      </c>
      <c r="D8" s="32"/>
      <c r="E8" s="32"/>
      <c r="F8" s="32"/>
      <c r="H8" s="38" t="s">
        <v>9</v>
      </c>
      <c r="I8" s="38">
        <f t="shared" ref="I8:K8" si="0">SUM(I9:I19)</f>
        <v>114296</v>
      </c>
      <c r="J8" s="38">
        <f t="shared" si="0"/>
        <v>84631</v>
      </c>
      <c r="K8" s="38">
        <f t="shared" si="0"/>
        <v>29665</v>
      </c>
      <c r="L8" s="18">
        <f t="shared" ref="L8:L18" si="1">J8/I8</f>
        <v>0.74045460908518235</v>
      </c>
    </row>
    <row r="9" spans="2:12" x14ac:dyDescent="0.25">
      <c r="B9" s="31" t="s">
        <v>58</v>
      </c>
      <c r="C9" s="31">
        <v>100</v>
      </c>
      <c r="D9" s="32"/>
      <c r="E9" s="222"/>
      <c r="F9" s="223"/>
      <c r="H9" s="38" t="s">
        <v>35</v>
      </c>
      <c r="I9" s="40">
        <v>15000</v>
      </c>
      <c r="J9" s="38">
        <f t="shared" ref="J9:J15" si="2">I9</f>
        <v>15000</v>
      </c>
      <c r="K9" s="38">
        <f t="shared" ref="K9:K18" si="3">I9-J9</f>
        <v>0</v>
      </c>
      <c r="L9" s="18">
        <f t="shared" si="1"/>
        <v>1</v>
      </c>
    </row>
    <row r="10" spans="2:12" x14ac:dyDescent="0.25">
      <c r="B10" s="31" t="s">
        <v>59</v>
      </c>
      <c r="C10" s="31">
        <v>30</v>
      </c>
      <c r="D10" s="32"/>
      <c r="H10" s="38" t="s">
        <v>36</v>
      </c>
      <c r="I10" s="38">
        <v>15000</v>
      </c>
      <c r="J10" s="38">
        <f t="shared" si="2"/>
        <v>15000</v>
      </c>
      <c r="K10" s="38">
        <f t="shared" si="3"/>
        <v>0</v>
      </c>
      <c r="L10" s="18">
        <f t="shared" si="1"/>
        <v>1</v>
      </c>
    </row>
    <row r="11" spans="2:12" x14ac:dyDescent="0.25">
      <c r="B11" s="31" t="s">
        <v>60</v>
      </c>
      <c r="C11" s="31">
        <v>110</v>
      </c>
      <c r="D11" s="32"/>
      <c r="H11" s="40" t="s">
        <v>61</v>
      </c>
      <c r="I11" s="40">
        <v>800</v>
      </c>
      <c r="J11" s="38">
        <f t="shared" si="2"/>
        <v>800</v>
      </c>
      <c r="K11" s="38">
        <f t="shared" si="3"/>
        <v>0</v>
      </c>
      <c r="L11" s="18">
        <f t="shared" si="1"/>
        <v>1</v>
      </c>
    </row>
    <row r="12" spans="2:12" x14ac:dyDescent="0.25">
      <c r="B12" s="31" t="s">
        <v>11</v>
      </c>
      <c r="C12" s="31">
        <v>350</v>
      </c>
      <c r="D12" s="32"/>
      <c r="H12" s="38" t="s">
        <v>62</v>
      </c>
      <c r="I12" s="38">
        <v>2200</v>
      </c>
      <c r="J12" s="38">
        <f t="shared" si="2"/>
        <v>2200</v>
      </c>
      <c r="K12" s="38">
        <f t="shared" si="3"/>
        <v>0</v>
      </c>
      <c r="L12" s="18">
        <f t="shared" si="1"/>
        <v>1</v>
      </c>
    </row>
    <row r="13" spans="2:12" x14ac:dyDescent="0.25">
      <c r="B13" s="31" t="s">
        <v>34</v>
      </c>
      <c r="C13" s="31">
        <v>200</v>
      </c>
      <c r="D13" s="32"/>
      <c r="H13" s="38" t="s">
        <v>63</v>
      </c>
      <c r="I13" s="38">
        <v>500</v>
      </c>
      <c r="J13" s="38">
        <f t="shared" si="2"/>
        <v>500</v>
      </c>
      <c r="K13" s="38">
        <f t="shared" si="3"/>
        <v>0</v>
      </c>
      <c r="L13" s="18">
        <f t="shared" si="1"/>
        <v>1</v>
      </c>
    </row>
    <row r="14" spans="2:12" x14ac:dyDescent="0.25">
      <c r="B14" s="30" t="s">
        <v>13</v>
      </c>
      <c r="C14" s="30">
        <f>SUM(C8:C13)</f>
        <v>850</v>
      </c>
      <c r="D14" s="32"/>
      <c r="E14" s="30"/>
      <c r="H14" s="38" t="s">
        <v>64</v>
      </c>
      <c r="I14" s="38">
        <v>3800</v>
      </c>
      <c r="J14" s="38">
        <f t="shared" si="2"/>
        <v>3800</v>
      </c>
      <c r="K14" s="38">
        <f t="shared" si="3"/>
        <v>0</v>
      </c>
      <c r="L14" s="18">
        <f t="shared" si="1"/>
        <v>1</v>
      </c>
    </row>
    <row r="15" spans="2:12" x14ac:dyDescent="0.25">
      <c r="B15" s="30" t="s">
        <v>65</v>
      </c>
      <c r="C15" s="30">
        <f>C14*12</f>
        <v>10200</v>
      </c>
      <c r="D15" s="32"/>
      <c r="H15" s="38" t="s">
        <v>39</v>
      </c>
      <c r="I15" s="38">
        <v>10200</v>
      </c>
      <c r="J15" s="38">
        <f t="shared" si="2"/>
        <v>10200</v>
      </c>
      <c r="K15" s="38">
        <f t="shared" si="3"/>
        <v>0</v>
      </c>
      <c r="L15" s="18">
        <f t="shared" si="1"/>
        <v>1</v>
      </c>
    </row>
    <row r="16" spans="2:12" x14ac:dyDescent="0.25">
      <c r="B16" s="32"/>
      <c r="C16" s="32"/>
      <c r="D16" s="32"/>
      <c r="E16" s="32"/>
      <c r="F16" s="72"/>
      <c r="H16" s="38" t="s">
        <v>66</v>
      </c>
      <c r="I16" s="38">
        <v>15000</v>
      </c>
      <c r="J16" s="38">
        <v>15000</v>
      </c>
      <c r="K16" s="38">
        <f t="shared" si="3"/>
        <v>0</v>
      </c>
      <c r="L16" s="18">
        <f t="shared" si="1"/>
        <v>1</v>
      </c>
    </row>
    <row r="17" spans="2:12" x14ac:dyDescent="0.25">
      <c r="B17" s="32" t="s">
        <v>67</v>
      </c>
      <c r="C17" s="32">
        <v>150</v>
      </c>
      <c r="D17" s="32"/>
      <c r="E17" s="32"/>
      <c r="F17" s="72"/>
      <c r="H17" s="38" t="s">
        <v>40</v>
      </c>
      <c r="I17" s="38">
        <f>C25</f>
        <v>11796</v>
      </c>
      <c r="J17" s="38">
        <f>I17</f>
        <v>11796</v>
      </c>
      <c r="K17" s="38">
        <f t="shared" si="3"/>
        <v>0</v>
      </c>
      <c r="L17" s="18">
        <f t="shared" si="1"/>
        <v>1</v>
      </c>
    </row>
    <row r="18" spans="2:12" x14ac:dyDescent="0.25">
      <c r="B18" s="32" t="s">
        <v>68</v>
      </c>
      <c r="C18" s="32">
        <v>150</v>
      </c>
      <c r="D18" s="32"/>
      <c r="E18" s="32"/>
      <c r="F18" s="72"/>
      <c r="H18" s="38" t="s">
        <v>14</v>
      </c>
      <c r="I18" s="38">
        <v>40000</v>
      </c>
      <c r="J18" s="38">
        <f>D2-SUM(J9:J17)</f>
        <v>10335</v>
      </c>
      <c r="K18" s="38">
        <f t="shared" si="3"/>
        <v>29665</v>
      </c>
      <c r="L18" s="18">
        <f t="shared" si="1"/>
        <v>0.25837500000000002</v>
      </c>
    </row>
    <row r="19" spans="2:12" x14ac:dyDescent="0.25">
      <c r="B19" s="32" t="s">
        <v>15</v>
      </c>
      <c r="C19" s="32">
        <v>475</v>
      </c>
      <c r="D19" s="32">
        <f>C19*11</f>
        <v>5225</v>
      </c>
      <c r="E19" s="32"/>
      <c r="F19" s="32"/>
      <c r="H19" s="38"/>
      <c r="I19" s="38"/>
      <c r="J19" s="38"/>
      <c r="K19" s="38"/>
      <c r="L19" s="18"/>
    </row>
    <row r="20" spans="2:12" x14ac:dyDescent="0.25">
      <c r="B20" s="31" t="s">
        <v>10</v>
      </c>
      <c r="C20" s="31">
        <v>186</v>
      </c>
    </row>
    <row r="21" spans="2:12" x14ac:dyDescent="0.25">
      <c r="B21" s="31" t="s">
        <v>11</v>
      </c>
      <c r="C21" s="31">
        <v>290</v>
      </c>
      <c r="F21" s="30" t="s">
        <v>20</v>
      </c>
      <c r="G21" s="30" t="s">
        <v>21</v>
      </c>
      <c r="H21" s="30" t="s">
        <v>22</v>
      </c>
      <c r="I21" s="30" t="s">
        <v>22</v>
      </c>
      <c r="J21" s="32"/>
      <c r="K21" s="32"/>
      <c r="L21" s="32"/>
    </row>
    <row r="22" spans="2:12" x14ac:dyDescent="0.25">
      <c r="B22" s="31" t="s">
        <v>69</v>
      </c>
      <c r="C22" s="31">
        <f>8*2*15</f>
        <v>240</v>
      </c>
      <c r="F22" s="30" t="s">
        <v>23</v>
      </c>
      <c r="G22" s="34">
        <v>2.5999999999999999E-2</v>
      </c>
      <c r="H22" s="34">
        <v>0.06</v>
      </c>
      <c r="I22" s="34">
        <v>0.2</v>
      </c>
      <c r="J22" s="32"/>
      <c r="K22" s="32"/>
      <c r="L22" s="72"/>
    </row>
    <row r="23" spans="2:12" x14ac:dyDescent="0.25">
      <c r="B23" s="31" t="s">
        <v>70</v>
      </c>
      <c r="C23" s="31">
        <v>475</v>
      </c>
      <c r="F23" s="30" t="s">
        <v>24</v>
      </c>
      <c r="G23" s="34">
        <f t="shared" ref="G23:I23" si="4">NOMINAL(G22,12)</f>
        <v>2.5695217715991703E-2</v>
      </c>
      <c r="H23" s="34">
        <f t="shared" si="4"/>
        <v>5.8410606784116581E-2</v>
      </c>
      <c r="I23" s="34">
        <f t="shared" si="4"/>
        <v>0.18371364599677431</v>
      </c>
      <c r="J23" s="32"/>
      <c r="K23" s="32"/>
      <c r="L23" s="72"/>
    </row>
    <row r="24" spans="2:12" x14ac:dyDescent="0.25">
      <c r="B24" s="30" t="s">
        <v>17</v>
      </c>
      <c r="C24" s="30">
        <f>SUM(C17:C23)</f>
        <v>1966</v>
      </c>
      <c r="F24" s="30" t="s">
        <v>25</v>
      </c>
      <c r="G24" s="34">
        <f t="shared" ref="G24:I24" si="5">G23/12</f>
        <v>2.1412681429993086E-3</v>
      </c>
      <c r="H24" s="34">
        <f t="shared" si="5"/>
        <v>4.8675505653430484E-3</v>
      </c>
      <c r="I24" s="34">
        <f t="shared" si="5"/>
        <v>1.5309470499731193E-2</v>
      </c>
      <c r="J24" s="32"/>
      <c r="K24" s="32"/>
      <c r="L24" s="72"/>
    </row>
    <row r="25" spans="2:12" x14ac:dyDescent="0.25">
      <c r="B25" s="30" t="s">
        <v>71</v>
      </c>
      <c r="C25" s="30">
        <f>C24*6</f>
        <v>11796</v>
      </c>
      <c r="D25" s="31">
        <f>C25-D19</f>
        <v>6571</v>
      </c>
      <c r="F25" s="30" t="s">
        <v>26</v>
      </c>
      <c r="G25" s="31">
        <f>C3*G24</f>
        <v>166.92041681936809</v>
      </c>
      <c r="H25" s="31">
        <f>(J8*3)*H24</f>
        <v>1235.8370156866426</v>
      </c>
      <c r="I25" s="31">
        <f>I24*J8</f>
        <v>1295.6557978627507</v>
      </c>
      <c r="J25" s="73" t="s">
        <v>29</v>
      </c>
      <c r="K25" s="73"/>
      <c r="L25" s="72"/>
    </row>
    <row r="26" spans="2:12" x14ac:dyDescent="0.25">
      <c r="H26" s="73"/>
      <c r="I26" s="32"/>
      <c r="J26" s="32"/>
      <c r="K26" s="32"/>
      <c r="L26" s="72"/>
    </row>
    <row r="27" spans="2:12" x14ac:dyDescent="0.25">
      <c r="H27" s="32"/>
      <c r="I27" s="32"/>
      <c r="J27" s="32"/>
      <c r="K27" s="32"/>
      <c r="L27" s="72"/>
    </row>
    <row r="28" spans="2:12" x14ac:dyDescent="0.25">
      <c r="G28" s="31">
        <v>28837995.460000001</v>
      </c>
      <c r="H28" s="32"/>
      <c r="I28" s="32"/>
      <c r="J28" s="32"/>
      <c r="K28" s="32"/>
      <c r="L28" s="72"/>
    </row>
    <row r="29" spans="2:12" x14ac:dyDescent="0.25">
      <c r="F29" s="30" t="s">
        <v>20</v>
      </c>
      <c r="G29" s="30" t="s">
        <v>21</v>
      </c>
      <c r="H29" s="32"/>
      <c r="I29" s="32"/>
      <c r="J29" s="32"/>
      <c r="K29" s="32"/>
      <c r="L29" s="72"/>
    </row>
    <row r="30" spans="2:12" x14ac:dyDescent="0.25">
      <c r="F30" s="30" t="s">
        <v>23</v>
      </c>
      <c r="G30" s="34">
        <v>3.0020000000000002E-2</v>
      </c>
      <c r="H30" s="32"/>
      <c r="I30" s="32"/>
      <c r="J30" s="32"/>
      <c r="K30" s="32"/>
      <c r="L30" s="72"/>
    </row>
    <row r="31" spans="2:12" x14ac:dyDescent="0.25">
      <c r="F31" s="30" t="s">
        <v>24</v>
      </c>
      <c r="G31" s="34">
        <f>NOMINAL(G30,365)</f>
        <v>2.9579418014620273E-2</v>
      </c>
      <c r="H31" s="32"/>
      <c r="I31" s="32"/>
      <c r="J31" s="32"/>
      <c r="K31" s="32"/>
      <c r="L31" s="72"/>
    </row>
    <row r="32" spans="2:12" x14ac:dyDescent="0.25">
      <c r="F32" s="30" t="s">
        <v>25</v>
      </c>
      <c r="G32" s="34">
        <f>G31/365</f>
        <v>8.1039501409918557E-5</v>
      </c>
      <c r="H32" s="32"/>
      <c r="I32" s="32"/>
      <c r="J32" s="32"/>
      <c r="K32" s="32"/>
      <c r="L32" s="32"/>
    </row>
    <row r="33" spans="6:15" x14ac:dyDescent="0.25">
      <c r="F33" s="30" t="s">
        <v>26</v>
      </c>
      <c r="G33" s="31">
        <f>G28*G32</f>
        <v>2337.0167737398951</v>
      </c>
      <c r="H33" s="30" t="s">
        <v>19</v>
      </c>
      <c r="I33" s="34">
        <f>163.67/2338</f>
        <v>7.000427715996578E-2</v>
      </c>
    </row>
    <row r="34" spans="6:15" x14ac:dyDescent="0.25">
      <c r="F34" s="30" t="s">
        <v>27</v>
      </c>
      <c r="G34" s="31">
        <f>G33*I33</f>
        <v>163.60116995637665</v>
      </c>
    </row>
    <row r="35" spans="6:15" x14ac:dyDescent="0.25">
      <c r="F35" s="30" t="s">
        <v>28</v>
      </c>
      <c r="G35" s="31">
        <f>G33-G34</f>
        <v>2173.4156037835187</v>
      </c>
    </row>
    <row r="38" spans="6:15" x14ac:dyDescent="0.25">
      <c r="G38" s="31">
        <v>28837995.460000001</v>
      </c>
      <c r="H38" s="31">
        <f t="shared" ref="H38:M38" si="6">G38+G45</f>
        <v>28904182.37636558</v>
      </c>
      <c r="I38" s="31">
        <f t="shared" si="6"/>
        <v>28970521.200234715</v>
      </c>
      <c r="J38" s="31">
        <f t="shared" si="6"/>
        <v>29037012.28025471</v>
      </c>
      <c r="K38" s="31">
        <f t="shared" si="6"/>
        <v>29103655.965873055</v>
      </c>
      <c r="L38" s="31">
        <f t="shared" si="6"/>
        <v>29170452.607339263</v>
      </c>
      <c r="M38" s="31">
        <f t="shared" si="6"/>
        <v>29237402.555706721</v>
      </c>
      <c r="N38" s="31">
        <f>M38-H38</f>
        <v>333220.17934114113</v>
      </c>
      <c r="O38" s="31" t="s">
        <v>72</v>
      </c>
    </row>
    <row r="39" spans="6:15" x14ac:dyDescent="0.25">
      <c r="F39" s="30" t="s">
        <v>20</v>
      </c>
      <c r="G39" s="30" t="s">
        <v>73</v>
      </c>
      <c r="H39" s="30">
        <v>1</v>
      </c>
      <c r="I39" s="30">
        <v>2</v>
      </c>
      <c r="J39" s="30">
        <v>3</v>
      </c>
      <c r="K39" s="30">
        <v>4</v>
      </c>
      <c r="L39" s="30">
        <v>5</v>
      </c>
      <c r="M39" s="30">
        <v>6</v>
      </c>
    </row>
    <row r="40" spans="6:15" x14ac:dyDescent="0.25">
      <c r="F40" s="30" t="s">
        <v>23</v>
      </c>
      <c r="G40" s="34">
        <v>3.0020000000000002E-2</v>
      </c>
      <c r="H40" s="34">
        <v>3.0020000000000002E-2</v>
      </c>
      <c r="I40" s="34">
        <v>3.0020000000000002E-2</v>
      </c>
      <c r="J40" s="34">
        <v>3.0020000000000002E-2</v>
      </c>
      <c r="K40" s="34">
        <v>3.0020000000000002E-2</v>
      </c>
      <c r="L40" s="34">
        <v>3.0020000000000002E-2</v>
      </c>
      <c r="M40" s="34">
        <v>3.0020000000000002E-2</v>
      </c>
    </row>
    <row r="41" spans="6:15" x14ac:dyDescent="0.25">
      <c r="F41" s="30" t="s">
        <v>24</v>
      </c>
      <c r="G41" s="34">
        <f t="shared" ref="G41:M41" si="7">NOMINAL(G40,12)</f>
        <v>2.9614702458871101E-2</v>
      </c>
      <c r="H41" s="34">
        <f t="shared" si="7"/>
        <v>2.9614702458871101E-2</v>
      </c>
      <c r="I41" s="34">
        <f t="shared" si="7"/>
        <v>2.9614702458871101E-2</v>
      </c>
      <c r="J41" s="34">
        <f t="shared" si="7"/>
        <v>2.9614702458871101E-2</v>
      </c>
      <c r="K41" s="34">
        <f t="shared" si="7"/>
        <v>2.9614702458871101E-2</v>
      </c>
      <c r="L41" s="34">
        <f t="shared" si="7"/>
        <v>2.9614702458871101E-2</v>
      </c>
      <c r="M41" s="34">
        <f t="shared" si="7"/>
        <v>2.9614702458871101E-2</v>
      </c>
    </row>
    <row r="42" spans="6:15" x14ac:dyDescent="0.25">
      <c r="F42" s="30" t="s">
        <v>25</v>
      </c>
      <c r="G42" s="34">
        <f t="shared" ref="G42:M42" si="8">G41/12</f>
        <v>2.4678918715725917E-3</v>
      </c>
      <c r="H42" s="34">
        <f t="shared" si="8"/>
        <v>2.4678918715725917E-3</v>
      </c>
      <c r="I42" s="34">
        <f t="shared" si="8"/>
        <v>2.4678918715725917E-3</v>
      </c>
      <c r="J42" s="34">
        <f t="shared" si="8"/>
        <v>2.4678918715725917E-3</v>
      </c>
      <c r="K42" s="34">
        <f t="shared" si="8"/>
        <v>2.4678918715725917E-3</v>
      </c>
      <c r="L42" s="34">
        <f t="shared" si="8"/>
        <v>2.4678918715725917E-3</v>
      </c>
      <c r="M42" s="34">
        <f t="shared" si="8"/>
        <v>2.4678918715725917E-3</v>
      </c>
    </row>
    <row r="43" spans="6:15" x14ac:dyDescent="0.25">
      <c r="F43" s="30" t="s">
        <v>26</v>
      </c>
      <c r="G43" s="31">
        <f t="shared" ref="G43:M43" si="9">G38*G42</f>
        <v>71169.054588181301</v>
      </c>
      <c r="H43" s="31">
        <f t="shared" si="9"/>
        <v>71332.396741084376</v>
      </c>
      <c r="I43" s="31">
        <f t="shared" si="9"/>
        <v>71496.113785280701</v>
      </c>
      <c r="J43" s="31">
        <f t="shared" si="9"/>
        <v>71660.206581194128</v>
      </c>
      <c r="K43" s="31">
        <f t="shared" si="9"/>
        <v>71824.675991223281</v>
      </c>
      <c r="L43" s="31">
        <f t="shared" si="9"/>
        <v>71989.522879746088</v>
      </c>
      <c r="M43" s="31">
        <f t="shared" si="9"/>
        <v>72154.74811312434</v>
      </c>
    </row>
    <row r="44" spans="6:15" x14ac:dyDescent="0.25">
      <c r="F44" s="30" t="s">
        <v>27</v>
      </c>
      <c r="G44" s="31">
        <f t="shared" ref="G44:M44" si="10">G43*$I$33</f>
        <v>4982.1382226037776</v>
      </c>
      <c r="H44" s="31">
        <f t="shared" si="10"/>
        <v>4993.5728719475101</v>
      </c>
      <c r="I44" s="31">
        <f t="shared" si="10"/>
        <v>5005.0337652852404</v>
      </c>
      <c r="J44" s="31">
        <f t="shared" si="10"/>
        <v>5016.520962850318</v>
      </c>
      <c r="K44" s="31">
        <f t="shared" si="10"/>
        <v>5028.0345250143346</v>
      </c>
      <c r="L44" s="31">
        <f t="shared" si="10"/>
        <v>5039.5745122874432</v>
      </c>
      <c r="M44" s="31">
        <f t="shared" si="10"/>
        <v>5051.1409853186742</v>
      </c>
    </row>
    <row r="45" spans="6:15" x14ac:dyDescent="0.25">
      <c r="F45" s="30" t="s">
        <v>28</v>
      </c>
      <c r="G45" s="31">
        <f t="shared" ref="G45:M45" si="11">G43-G44</f>
        <v>66186.916365577519</v>
      </c>
      <c r="H45" s="31">
        <f t="shared" si="11"/>
        <v>66338.823869136861</v>
      </c>
      <c r="I45" s="31">
        <f t="shared" si="11"/>
        <v>66491.080019995454</v>
      </c>
      <c r="J45" s="31">
        <f t="shared" si="11"/>
        <v>66643.685618343807</v>
      </c>
      <c r="K45" s="31">
        <f t="shared" si="11"/>
        <v>66796.641466208952</v>
      </c>
      <c r="L45" s="31">
        <f t="shared" si="11"/>
        <v>66949.948367458652</v>
      </c>
      <c r="M45" s="31">
        <f t="shared" si="11"/>
        <v>67103.607127805662</v>
      </c>
    </row>
    <row r="48" spans="6:15" x14ac:dyDescent="0.25">
      <c r="J48" s="31">
        <v>13840</v>
      </c>
    </row>
    <row r="53" spans="6:14" x14ac:dyDescent="0.25">
      <c r="G53" s="31">
        <v>13500000</v>
      </c>
      <c r="H53" s="31">
        <f t="shared" ref="H53:J53" si="12">G53+G59</f>
        <v>13697978.293213602</v>
      </c>
      <c r="I53" s="31">
        <f t="shared" si="12"/>
        <v>13848461.453276962</v>
      </c>
      <c r="J53" s="31">
        <f t="shared" si="12"/>
        <v>14119877.220370773</v>
      </c>
      <c r="K53" s="31">
        <v>12000000</v>
      </c>
    </row>
    <row r="54" spans="6:14" x14ac:dyDescent="0.25">
      <c r="F54" s="30" t="s">
        <v>20</v>
      </c>
      <c r="G54" s="30" t="s">
        <v>21</v>
      </c>
      <c r="H54" s="30" t="s">
        <v>21</v>
      </c>
      <c r="I54" s="30" t="s">
        <v>21</v>
      </c>
      <c r="K54" s="30" t="s">
        <v>21</v>
      </c>
    </row>
    <row r="55" spans="6:14" x14ac:dyDescent="0.25">
      <c r="F55" s="30" t="s">
        <v>23</v>
      </c>
      <c r="G55" s="34">
        <v>3.3500000000000002E-2</v>
      </c>
      <c r="H55" s="34">
        <v>2.5000000000000001E-2</v>
      </c>
      <c r="I55" s="34">
        <v>4.4999999999999998E-2</v>
      </c>
      <c r="K55" s="34">
        <v>4.4999999999999998E-2</v>
      </c>
    </row>
    <row r="56" spans="6:14" x14ac:dyDescent="0.25">
      <c r="F56" s="30" t="s">
        <v>24</v>
      </c>
      <c r="G56" s="34">
        <f t="shared" ref="G56:I56" si="13">NOMINAL(G55,12)</f>
        <v>3.2996382202266972E-2</v>
      </c>
      <c r="H56" s="34">
        <f t="shared" si="13"/>
        <v>2.471803523811289E-2</v>
      </c>
      <c r="I56" s="34">
        <f t="shared" si="13"/>
        <v>4.4097712805242217E-2</v>
      </c>
      <c r="K56" s="34">
        <f>NOMINAL(K55,12)</f>
        <v>4.4097712805242217E-2</v>
      </c>
    </row>
    <row r="57" spans="6:14" x14ac:dyDescent="0.25">
      <c r="F57" s="30" t="s">
        <v>25</v>
      </c>
      <c r="G57" s="34">
        <f t="shared" ref="G57:I57" si="14">G56/12</f>
        <v>2.749698516855581E-3</v>
      </c>
      <c r="H57" s="34">
        <f t="shared" si="14"/>
        <v>2.0598362698427408E-3</v>
      </c>
      <c r="I57" s="34">
        <f t="shared" si="14"/>
        <v>3.6748094004368514E-3</v>
      </c>
      <c r="J57" s="27"/>
      <c r="K57" s="34">
        <f>K56/12</f>
        <v>3.6748094004368514E-3</v>
      </c>
      <c r="L57" s="27"/>
    </row>
    <row r="58" spans="6:14" x14ac:dyDescent="0.25">
      <c r="F58" s="30" t="s">
        <v>26</v>
      </c>
      <c r="G58" s="31">
        <f t="shared" ref="G58:I58" si="15">G53*G57</f>
        <v>37120.929977550346</v>
      </c>
      <c r="H58" s="31">
        <f t="shared" si="15"/>
        <v>28215.592511879939</v>
      </c>
      <c r="I58" s="31">
        <f t="shared" si="15"/>
        <v>50890.456330089561</v>
      </c>
      <c r="J58" s="74">
        <v>44732</v>
      </c>
      <c r="K58" s="31">
        <f>K53*K57</f>
        <v>44097.712805242219</v>
      </c>
      <c r="L58" s="74">
        <v>44757</v>
      </c>
      <c r="N58" s="31" t="s">
        <v>74</v>
      </c>
    </row>
    <row r="59" spans="6:14" x14ac:dyDescent="0.25">
      <c r="G59" s="31">
        <f t="shared" ref="G59:I59" si="16">G58*(160/30)</f>
        <v>197978.29321360184</v>
      </c>
      <c r="H59" s="31">
        <f t="shared" si="16"/>
        <v>150483.16006335965</v>
      </c>
      <c r="I59" s="31">
        <f t="shared" si="16"/>
        <v>271415.76709381095</v>
      </c>
      <c r="J59" s="31">
        <f>G59+H59+I59</f>
        <v>619877.22037077241</v>
      </c>
      <c r="K59" s="31">
        <f>K58*(180/30)</f>
        <v>264586.27683145332</v>
      </c>
      <c r="L59" s="31">
        <f>K59+J59</f>
        <v>884463.49720222573</v>
      </c>
      <c r="M59" s="75">
        <f>L59*0.04</f>
        <v>35378.539888089028</v>
      </c>
      <c r="N59" s="76" t="s">
        <v>75</v>
      </c>
    </row>
    <row r="60" spans="6:14" x14ac:dyDescent="0.25">
      <c r="M60" s="31">
        <f>(G53+K53+L59)*4/1000</f>
        <v>105537.8539888089</v>
      </c>
      <c r="N60" s="76" t="s">
        <v>76</v>
      </c>
    </row>
    <row r="61" spans="6:14" x14ac:dyDescent="0.25">
      <c r="G61" s="31">
        <v>32000000</v>
      </c>
      <c r="H61" s="31">
        <f t="shared" ref="H61:J61" si="17">G61+G67</f>
        <v>32469281.88021002</v>
      </c>
      <c r="I61" s="31">
        <f t="shared" si="17"/>
        <v>32825982.704063911</v>
      </c>
      <c r="J61" s="31">
        <f t="shared" si="17"/>
        <v>33469338.596434426</v>
      </c>
      <c r="K61" s="31">
        <v>22800000</v>
      </c>
      <c r="M61" s="77">
        <f>L59-M59-M60</f>
        <v>743547.10332532774</v>
      </c>
      <c r="N61" s="31" t="s">
        <v>9</v>
      </c>
    </row>
    <row r="62" spans="6:14" x14ac:dyDescent="0.25">
      <c r="F62" s="30" t="s">
        <v>20</v>
      </c>
      <c r="G62" s="30" t="s">
        <v>21</v>
      </c>
      <c r="H62" s="30" t="s">
        <v>21</v>
      </c>
      <c r="I62" s="30" t="s">
        <v>21</v>
      </c>
      <c r="K62" s="30" t="s">
        <v>21</v>
      </c>
    </row>
    <row r="63" spans="6:14" x14ac:dyDescent="0.25">
      <c r="F63" s="30" t="s">
        <v>23</v>
      </c>
      <c r="G63" s="34">
        <v>3.3500000000000002E-2</v>
      </c>
      <c r="H63" s="34">
        <v>2.5000000000000001E-2</v>
      </c>
      <c r="I63" s="34">
        <v>4.4999999999999998E-2</v>
      </c>
      <c r="K63" s="34">
        <v>4.4999999999999998E-2</v>
      </c>
    </row>
    <row r="64" spans="6:14" x14ac:dyDescent="0.25">
      <c r="F64" s="30" t="s">
        <v>24</v>
      </c>
      <c r="G64" s="34">
        <f t="shared" ref="G64:I64" si="18">NOMINAL(G63,12)</f>
        <v>3.2996382202266972E-2</v>
      </c>
      <c r="H64" s="34">
        <f t="shared" si="18"/>
        <v>2.471803523811289E-2</v>
      </c>
      <c r="I64" s="34">
        <f t="shared" si="18"/>
        <v>4.4097712805242217E-2</v>
      </c>
      <c r="K64" s="34">
        <f>NOMINAL(K63,12)</f>
        <v>4.4097712805242217E-2</v>
      </c>
    </row>
    <row r="65" spans="6:14" x14ac:dyDescent="0.25">
      <c r="F65" s="30" t="s">
        <v>25</v>
      </c>
      <c r="G65" s="34">
        <f t="shared" ref="G65:I65" si="19">G64/12</f>
        <v>2.749698516855581E-3</v>
      </c>
      <c r="H65" s="34">
        <f t="shared" si="19"/>
        <v>2.0598362698427408E-3</v>
      </c>
      <c r="I65" s="34">
        <f t="shared" si="19"/>
        <v>3.6748094004368514E-3</v>
      </c>
      <c r="J65" s="27"/>
      <c r="K65" s="34">
        <f>K64/12</f>
        <v>3.6748094004368514E-3</v>
      </c>
      <c r="L65" s="27"/>
    </row>
    <row r="66" spans="6:14" x14ac:dyDescent="0.25">
      <c r="F66" s="30" t="s">
        <v>26</v>
      </c>
      <c r="G66" s="31">
        <f t="shared" ref="G66:I66" si="20">G61*G65</f>
        <v>87990.352539378597</v>
      </c>
      <c r="H66" s="31">
        <f t="shared" si="20"/>
        <v>66881.404472604307</v>
      </c>
      <c r="I66" s="31">
        <f t="shared" si="20"/>
        <v>120629.22981947155</v>
      </c>
      <c r="J66" s="74">
        <v>44732</v>
      </c>
      <c r="K66" s="31">
        <f>K61*K65</f>
        <v>83785.65432996022</v>
      </c>
      <c r="L66" s="74">
        <v>44757</v>
      </c>
      <c r="N66" s="31" t="s">
        <v>74</v>
      </c>
    </row>
    <row r="67" spans="6:14" x14ac:dyDescent="0.25">
      <c r="G67" s="31">
        <f t="shared" ref="G67:I67" si="21">G66*(160/30)</f>
        <v>469281.88021001918</v>
      </c>
      <c r="H67" s="31">
        <f t="shared" si="21"/>
        <v>356700.8238538896</v>
      </c>
      <c r="I67" s="31">
        <f t="shared" si="21"/>
        <v>643355.89237051492</v>
      </c>
      <c r="J67" s="31">
        <f>G67+H67+I67</f>
        <v>1469338.5964344237</v>
      </c>
      <c r="K67" s="31">
        <f>K66*(180/30)</f>
        <v>502713.92597976129</v>
      </c>
      <c r="L67" s="31">
        <f>K67+J67</f>
        <v>1972052.5224141851</v>
      </c>
      <c r="M67" s="31">
        <f>L67*4/100</f>
        <v>78882.100896567397</v>
      </c>
      <c r="N67" s="76" t="s">
        <v>75</v>
      </c>
    </row>
    <row r="68" spans="6:14" x14ac:dyDescent="0.25">
      <c r="M68" s="31">
        <f>(L67+K61+G61)*4/1000</f>
        <v>227088.21008965673</v>
      </c>
      <c r="N68" s="76" t="s">
        <v>76</v>
      </c>
    </row>
    <row r="69" spans="6:14" x14ac:dyDescent="0.25">
      <c r="M69" s="78">
        <f>L67-M67-M68</f>
        <v>1666082.211427961</v>
      </c>
      <c r="N69" s="31" t="s">
        <v>9</v>
      </c>
    </row>
  </sheetData>
  <mergeCells count="3">
    <mergeCell ref="D2:D5"/>
    <mergeCell ref="B6:D6"/>
    <mergeCell ref="E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2:M27"/>
  <sheetViews>
    <sheetView workbookViewId="0"/>
  </sheetViews>
  <sheetFormatPr defaultColWidth="14.42578125" defaultRowHeight="15" customHeight="1" x14ac:dyDescent="0.25"/>
  <cols>
    <col min="2" max="2" width="32.28515625" customWidth="1"/>
    <col min="3" max="3" width="18.85546875" customWidth="1"/>
    <col min="4" max="4" width="17.28515625" customWidth="1"/>
    <col min="7" max="7" width="26.42578125" customWidth="1"/>
    <col min="8" max="8" width="33.7109375" customWidth="1"/>
    <col min="11" max="11" width="16" customWidth="1"/>
    <col min="12" max="12" width="17.85546875" customWidth="1"/>
    <col min="13" max="13" width="11.5703125" customWidth="1"/>
  </cols>
  <sheetData>
    <row r="2" spans="1:13" ht="15" customHeight="1" x14ac:dyDescent="0.25">
      <c r="E2" s="37"/>
    </row>
    <row r="3" spans="1:13" x14ac:dyDescent="0.25">
      <c r="A3" s="37"/>
      <c r="B3" s="63" t="s">
        <v>55</v>
      </c>
      <c r="C3" s="64">
        <v>6579</v>
      </c>
      <c r="D3" s="229">
        <f>C3+C4+C5+C6</f>
        <v>60041</v>
      </c>
      <c r="H3" s="29"/>
    </row>
    <row r="4" spans="1:13" x14ac:dyDescent="0.25">
      <c r="A4" s="37"/>
      <c r="B4" s="65" t="s">
        <v>21</v>
      </c>
      <c r="C4" s="66">
        <v>21462</v>
      </c>
      <c r="D4" s="220"/>
      <c r="H4" s="2"/>
      <c r="I4" s="29"/>
      <c r="J4" s="67"/>
      <c r="K4" s="29"/>
      <c r="L4" s="29"/>
      <c r="M4" s="29"/>
    </row>
    <row r="5" spans="1:13" x14ac:dyDescent="0.25">
      <c r="A5" s="37"/>
      <c r="B5" s="65" t="s">
        <v>56</v>
      </c>
      <c r="C5" s="66">
        <v>32000</v>
      </c>
      <c r="D5" s="220"/>
      <c r="J5" s="68"/>
      <c r="K5" s="37"/>
      <c r="L5" s="37"/>
      <c r="M5" s="37"/>
    </row>
    <row r="6" spans="1:13" x14ac:dyDescent="0.25">
      <c r="A6" s="37"/>
      <c r="B6" s="69" t="s">
        <v>30</v>
      </c>
      <c r="C6" s="70">
        <v>0</v>
      </c>
      <c r="D6" s="221"/>
      <c r="J6" s="68"/>
    </row>
    <row r="7" spans="1:13" x14ac:dyDescent="0.25">
      <c r="B7" s="230" t="s">
        <v>4</v>
      </c>
      <c r="C7" s="231"/>
      <c r="D7" s="232"/>
      <c r="G7" s="34"/>
      <c r="J7" s="68"/>
    </row>
    <row r="8" spans="1:13" x14ac:dyDescent="0.25">
      <c r="J8" s="68"/>
    </row>
    <row r="9" spans="1:13" ht="15" customHeight="1" x14ac:dyDescent="0.25">
      <c r="B9" s="40"/>
      <c r="C9" s="38" t="s">
        <v>5</v>
      </c>
      <c r="D9" s="38" t="s">
        <v>6</v>
      </c>
      <c r="E9" s="38" t="s">
        <v>7</v>
      </c>
      <c r="F9" s="38" t="s">
        <v>8</v>
      </c>
    </row>
    <row r="10" spans="1:13" ht="15" customHeight="1" x14ac:dyDescent="0.25">
      <c r="B10" s="40" t="s">
        <v>14</v>
      </c>
      <c r="C10" s="40">
        <v>40000</v>
      </c>
      <c r="D10" s="38">
        <v>40000</v>
      </c>
      <c r="E10" s="38">
        <f t="shared" ref="E10:E17" si="0">C10-D10</f>
        <v>0</v>
      </c>
      <c r="F10" s="18">
        <f t="shared" ref="F10:F18" si="1">D10/C10</f>
        <v>1</v>
      </c>
    </row>
    <row r="11" spans="1:13" ht="15" customHeight="1" x14ac:dyDescent="0.25">
      <c r="B11" s="40" t="s">
        <v>77</v>
      </c>
      <c r="C11" s="40">
        <v>9000</v>
      </c>
      <c r="D11" s="38">
        <v>9000</v>
      </c>
      <c r="E11" s="38">
        <f t="shared" si="0"/>
        <v>0</v>
      </c>
      <c r="F11" s="18">
        <f t="shared" si="1"/>
        <v>1</v>
      </c>
    </row>
    <row r="12" spans="1:13" ht="15" customHeight="1" x14ac:dyDescent="0.25">
      <c r="B12" s="40" t="s">
        <v>54</v>
      </c>
      <c r="C12" s="40">
        <v>15000</v>
      </c>
      <c r="D12" s="38">
        <f>D3-D10-D11</f>
        <v>11041</v>
      </c>
      <c r="E12" s="79">
        <f t="shared" si="0"/>
        <v>3959</v>
      </c>
      <c r="F12" s="18">
        <f t="shared" si="1"/>
        <v>0.73606666666666665</v>
      </c>
    </row>
    <row r="13" spans="1:13" ht="15" customHeight="1" x14ac:dyDescent="0.25">
      <c r="B13" s="40" t="s">
        <v>61</v>
      </c>
      <c r="C13" s="40">
        <v>800</v>
      </c>
      <c r="D13" s="38">
        <v>0</v>
      </c>
      <c r="E13" s="79">
        <f t="shared" si="0"/>
        <v>800</v>
      </c>
      <c r="F13" s="18">
        <f t="shared" si="1"/>
        <v>0</v>
      </c>
    </row>
    <row r="14" spans="1:13" x14ac:dyDescent="0.25">
      <c r="B14" s="38" t="s">
        <v>62</v>
      </c>
      <c r="C14" s="38">
        <v>2200</v>
      </c>
      <c r="D14" s="38">
        <v>0</v>
      </c>
      <c r="E14" s="79">
        <f t="shared" si="0"/>
        <v>2200</v>
      </c>
      <c r="F14" s="18">
        <f t="shared" si="1"/>
        <v>0</v>
      </c>
    </row>
    <row r="15" spans="1:13" x14ac:dyDescent="0.25">
      <c r="B15" s="38" t="s">
        <v>63</v>
      </c>
      <c r="C15" s="38">
        <v>500</v>
      </c>
      <c r="D15" s="38">
        <v>0</v>
      </c>
      <c r="E15" s="79">
        <f t="shared" si="0"/>
        <v>500</v>
      </c>
      <c r="F15" s="18">
        <f t="shared" si="1"/>
        <v>0</v>
      </c>
    </row>
    <row r="16" spans="1:13" x14ac:dyDescent="0.25">
      <c r="B16" s="38" t="s">
        <v>64</v>
      </c>
      <c r="C16" s="38">
        <v>3800</v>
      </c>
      <c r="D16" s="38">
        <v>0</v>
      </c>
      <c r="E16" s="38">
        <f t="shared" si="0"/>
        <v>3800</v>
      </c>
      <c r="F16" s="18">
        <f t="shared" si="1"/>
        <v>0</v>
      </c>
      <c r="G16" s="38" t="s">
        <v>78</v>
      </c>
      <c r="H16" s="38">
        <f>C13+C14+C15+C16</f>
        <v>7300</v>
      </c>
    </row>
    <row r="17" spans="2:8" x14ac:dyDescent="0.25">
      <c r="B17" s="38" t="s">
        <v>79</v>
      </c>
      <c r="C17" s="38">
        <v>15000</v>
      </c>
      <c r="D17" s="38">
        <v>0</v>
      </c>
      <c r="E17" s="38">
        <f t="shared" si="0"/>
        <v>15000</v>
      </c>
      <c r="F17" s="18">
        <f t="shared" si="1"/>
        <v>0</v>
      </c>
      <c r="G17" s="38" t="s">
        <v>80</v>
      </c>
      <c r="H17" s="38">
        <f>C17/3</f>
        <v>5000</v>
      </c>
    </row>
    <row r="18" spans="2:8" x14ac:dyDescent="0.25">
      <c r="B18" s="38" t="s">
        <v>9</v>
      </c>
      <c r="C18" s="38">
        <f t="shared" ref="C18:E18" si="2">SUM(C10:C17)</f>
        <v>86300</v>
      </c>
      <c r="D18" s="38">
        <f t="shared" si="2"/>
        <v>60041</v>
      </c>
      <c r="E18" s="38">
        <f t="shared" si="2"/>
        <v>26259</v>
      </c>
      <c r="F18" s="18">
        <f t="shared" si="1"/>
        <v>0.69572421784472771</v>
      </c>
    </row>
    <row r="20" spans="2:8" x14ac:dyDescent="0.25">
      <c r="B20" s="80" t="s">
        <v>81</v>
      </c>
      <c r="C20" s="80">
        <f>D3</f>
        <v>60041</v>
      </c>
      <c r="F20" s="31" t="s">
        <v>57</v>
      </c>
      <c r="G20" s="31">
        <v>60</v>
      </c>
    </row>
    <row r="21" spans="2:8" x14ac:dyDescent="0.25">
      <c r="B21" s="81" t="s">
        <v>82</v>
      </c>
      <c r="C21" s="81">
        <v>7500</v>
      </c>
      <c r="F21" s="31" t="s">
        <v>58</v>
      </c>
      <c r="G21" s="31">
        <v>100</v>
      </c>
    </row>
    <row r="22" spans="2:8" x14ac:dyDescent="0.25">
      <c r="B22" s="80" t="s">
        <v>83</v>
      </c>
      <c r="C22" s="80">
        <f>E18-C21</f>
        <v>18759</v>
      </c>
      <c r="D22" s="82">
        <f>C22/3000</f>
        <v>6.2530000000000001</v>
      </c>
      <c r="F22" s="31" t="s">
        <v>59</v>
      </c>
      <c r="G22" s="31">
        <v>30</v>
      </c>
    </row>
    <row r="23" spans="2:8" x14ac:dyDescent="0.25">
      <c r="D23" s="82" t="s">
        <v>84</v>
      </c>
      <c r="F23" s="31" t="s">
        <v>60</v>
      </c>
      <c r="G23" s="31">
        <v>110</v>
      </c>
    </row>
    <row r="24" spans="2:8" x14ac:dyDescent="0.25">
      <c r="F24" s="31" t="s">
        <v>11</v>
      </c>
      <c r="G24" s="31">
        <v>300</v>
      </c>
    </row>
    <row r="25" spans="2:8" x14ac:dyDescent="0.25">
      <c r="F25" s="31" t="s">
        <v>34</v>
      </c>
      <c r="G25" s="31">
        <v>150</v>
      </c>
    </row>
    <row r="26" spans="2:8" x14ac:dyDescent="0.25">
      <c r="F26" s="31" t="s">
        <v>13</v>
      </c>
      <c r="G26" s="31">
        <v>750</v>
      </c>
    </row>
    <row r="27" spans="2:8" x14ac:dyDescent="0.25">
      <c r="F27" s="31" t="s">
        <v>65</v>
      </c>
      <c r="G27" s="31">
        <v>9000</v>
      </c>
    </row>
  </sheetData>
  <mergeCells count="2">
    <mergeCell ref="D3:D6"/>
    <mergeCell ref="B7:D7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O28"/>
  <sheetViews>
    <sheetView workbookViewId="0"/>
  </sheetViews>
  <sheetFormatPr defaultColWidth="14.42578125" defaultRowHeight="15" customHeight="1" x14ac:dyDescent="0.25"/>
  <cols>
    <col min="1" max="1" width="15.7109375" customWidth="1"/>
    <col min="2" max="2" width="9" customWidth="1"/>
    <col min="3" max="3" width="8.7109375" customWidth="1"/>
    <col min="4" max="4" width="14" customWidth="1"/>
    <col min="5" max="5" width="9" customWidth="1"/>
    <col min="6" max="6" width="8.7109375" customWidth="1"/>
    <col min="7" max="7" width="22" customWidth="1"/>
    <col min="8" max="8" width="9" customWidth="1"/>
    <col min="9" max="9" width="8.7109375" customWidth="1"/>
  </cols>
  <sheetData>
    <row r="1" spans="1:15" x14ac:dyDescent="0.25">
      <c r="A1" s="33" t="s">
        <v>85</v>
      </c>
      <c r="B1" s="33" t="s">
        <v>86</v>
      </c>
      <c r="C1" s="33" t="s">
        <v>87</v>
      </c>
      <c r="D1" s="33" t="s">
        <v>88</v>
      </c>
      <c r="E1" s="33" t="s">
        <v>86</v>
      </c>
      <c r="F1" s="33" t="s">
        <v>87</v>
      </c>
      <c r="G1" s="33" t="s">
        <v>89</v>
      </c>
      <c r="H1" s="33" t="s">
        <v>86</v>
      </c>
      <c r="I1" s="33" t="s">
        <v>87</v>
      </c>
      <c r="J1" s="33" t="s">
        <v>90</v>
      </c>
      <c r="K1" s="33" t="s">
        <v>86</v>
      </c>
      <c r="L1" s="33" t="s">
        <v>87</v>
      </c>
    </row>
    <row r="2" spans="1:15" x14ac:dyDescent="0.25">
      <c r="A2" s="33" t="s">
        <v>18</v>
      </c>
      <c r="B2" s="83">
        <f t="shared" ref="B2:C2" si="0">SUM(B3:B28)</f>
        <v>1651</v>
      </c>
      <c r="C2" s="83">
        <f t="shared" si="0"/>
        <v>19812</v>
      </c>
      <c r="D2" s="33" t="s">
        <v>18</v>
      </c>
      <c r="E2" s="83">
        <f t="shared" ref="E2:F2" si="1">SUM(E3:E20)</f>
        <v>1226</v>
      </c>
      <c r="F2" s="83">
        <f t="shared" si="1"/>
        <v>14712</v>
      </c>
      <c r="G2" s="33" t="s">
        <v>18</v>
      </c>
      <c r="H2" s="83">
        <f t="shared" ref="H2:I2" si="2">SUM(H3:H7)</f>
        <v>1226</v>
      </c>
      <c r="I2" s="83">
        <f t="shared" si="2"/>
        <v>14712</v>
      </c>
      <c r="J2" s="33" t="s">
        <v>18</v>
      </c>
      <c r="K2" s="83">
        <f t="shared" ref="K2:L2" si="3">SUM(K3:K8)</f>
        <v>140</v>
      </c>
      <c r="L2" s="83">
        <f t="shared" si="3"/>
        <v>1680</v>
      </c>
    </row>
    <row r="3" spans="1:15" x14ac:dyDescent="0.25">
      <c r="A3" s="35" t="s">
        <v>15</v>
      </c>
      <c r="B3" s="36">
        <v>350</v>
      </c>
      <c r="C3" s="36">
        <v>4200</v>
      </c>
      <c r="D3" s="35" t="s">
        <v>15</v>
      </c>
      <c r="E3" s="36">
        <v>300</v>
      </c>
      <c r="F3" s="36">
        <v>3600</v>
      </c>
      <c r="G3" s="35" t="s">
        <v>15</v>
      </c>
      <c r="H3" s="36">
        <v>300</v>
      </c>
      <c r="I3" s="36">
        <v>3600</v>
      </c>
      <c r="J3" s="35" t="s">
        <v>91</v>
      </c>
      <c r="K3" s="36">
        <v>10</v>
      </c>
      <c r="L3" s="31">
        <f t="shared" ref="L3:L8" si="4">K3*12</f>
        <v>120</v>
      </c>
    </row>
    <row r="4" spans="1:15" x14ac:dyDescent="0.25">
      <c r="A4" s="35" t="s">
        <v>57</v>
      </c>
      <c r="B4" s="36">
        <v>30</v>
      </c>
      <c r="C4" s="36">
        <v>360</v>
      </c>
      <c r="D4" s="35" t="s">
        <v>57</v>
      </c>
      <c r="E4" s="36">
        <v>25</v>
      </c>
      <c r="F4" s="36">
        <v>300</v>
      </c>
      <c r="G4" s="35" t="s">
        <v>10</v>
      </c>
      <c r="H4" s="36">
        <v>120</v>
      </c>
      <c r="I4" s="36">
        <v>1440</v>
      </c>
      <c r="J4" s="35" t="s">
        <v>92</v>
      </c>
      <c r="K4" s="36">
        <v>25</v>
      </c>
      <c r="L4" s="31">
        <f t="shared" si="4"/>
        <v>300</v>
      </c>
    </row>
    <row r="5" spans="1:15" x14ac:dyDescent="0.25">
      <c r="A5" s="35" t="s">
        <v>58</v>
      </c>
      <c r="B5" s="36">
        <v>50</v>
      </c>
      <c r="C5" s="36">
        <v>600</v>
      </c>
      <c r="D5" s="35" t="s">
        <v>58</v>
      </c>
      <c r="E5" s="36">
        <v>40</v>
      </c>
      <c r="F5" s="36">
        <v>480</v>
      </c>
      <c r="G5" s="35" t="s">
        <v>11</v>
      </c>
      <c r="H5" s="36">
        <v>300</v>
      </c>
      <c r="I5" s="36">
        <v>3600</v>
      </c>
      <c r="J5" s="35" t="s">
        <v>93</v>
      </c>
      <c r="K5" s="36">
        <v>40</v>
      </c>
      <c r="L5" s="31">
        <f t="shared" si="4"/>
        <v>480</v>
      </c>
    </row>
    <row r="6" spans="1:15" x14ac:dyDescent="0.25">
      <c r="A6" s="35" t="s">
        <v>59</v>
      </c>
      <c r="B6" s="36">
        <v>15</v>
      </c>
      <c r="C6" s="36">
        <v>180</v>
      </c>
      <c r="D6" s="35" t="s">
        <v>59</v>
      </c>
      <c r="E6" s="36">
        <v>15</v>
      </c>
      <c r="F6" s="36">
        <v>180</v>
      </c>
      <c r="G6" s="35" t="s">
        <v>70</v>
      </c>
      <c r="H6" s="36">
        <v>276</v>
      </c>
      <c r="I6" s="36">
        <v>3312</v>
      </c>
      <c r="J6" s="35" t="s">
        <v>94</v>
      </c>
      <c r="K6" s="36">
        <v>40</v>
      </c>
      <c r="L6" s="31">
        <f t="shared" si="4"/>
        <v>480</v>
      </c>
    </row>
    <row r="7" spans="1:15" x14ac:dyDescent="0.25">
      <c r="A7" s="35" t="s">
        <v>60</v>
      </c>
      <c r="B7" s="36">
        <v>40</v>
      </c>
      <c r="C7" s="36">
        <v>480</v>
      </c>
      <c r="D7" s="35" t="s">
        <v>60</v>
      </c>
      <c r="E7" s="36">
        <v>40</v>
      </c>
      <c r="F7" s="36">
        <v>480</v>
      </c>
      <c r="G7" s="35" t="s">
        <v>34</v>
      </c>
      <c r="H7" s="36">
        <v>230</v>
      </c>
      <c r="I7" s="36">
        <v>2760</v>
      </c>
      <c r="J7" s="35" t="s">
        <v>95</v>
      </c>
      <c r="K7" s="36">
        <v>20</v>
      </c>
      <c r="L7" s="31">
        <f t="shared" si="4"/>
        <v>240</v>
      </c>
    </row>
    <row r="8" spans="1:15" x14ac:dyDescent="0.25">
      <c r="A8" s="35" t="s">
        <v>96</v>
      </c>
      <c r="B8" s="36">
        <v>66</v>
      </c>
      <c r="C8" s="36">
        <v>792</v>
      </c>
      <c r="D8" s="35" t="s">
        <v>97</v>
      </c>
      <c r="E8" s="36">
        <v>300</v>
      </c>
      <c r="F8" s="36">
        <v>3600</v>
      </c>
      <c r="G8" s="35"/>
      <c r="H8" s="35"/>
      <c r="I8" s="35"/>
      <c r="J8" s="35" t="s">
        <v>98</v>
      </c>
      <c r="K8" s="36">
        <v>5</v>
      </c>
      <c r="L8" s="31">
        <f t="shared" si="4"/>
        <v>60</v>
      </c>
    </row>
    <row r="9" spans="1:15" x14ac:dyDescent="0.25">
      <c r="A9" s="35" t="s">
        <v>69</v>
      </c>
      <c r="B9" s="36">
        <v>210</v>
      </c>
      <c r="C9" s="36">
        <v>2520</v>
      </c>
      <c r="D9" s="35" t="s">
        <v>70</v>
      </c>
      <c r="E9" s="36">
        <v>276</v>
      </c>
      <c r="F9" s="36">
        <v>3312</v>
      </c>
      <c r="G9" s="35"/>
      <c r="H9" s="35"/>
      <c r="I9" s="35"/>
      <c r="N9" s="31" t="s">
        <v>99</v>
      </c>
      <c r="O9" s="31">
        <v>2000</v>
      </c>
    </row>
    <row r="10" spans="1:15" x14ac:dyDescent="0.25">
      <c r="A10" s="35" t="s">
        <v>97</v>
      </c>
      <c r="B10" s="36">
        <v>120</v>
      </c>
      <c r="C10" s="36">
        <v>1440</v>
      </c>
      <c r="D10" s="35" t="s">
        <v>100</v>
      </c>
      <c r="E10" s="36">
        <v>80</v>
      </c>
      <c r="F10" s="36">
        <v>960</v>
      </c>
      <c r="G10" s="35"/>
      <c r="H10" s="35"/>
      <c r="I10" s="35"/>
      <c r="N10" s="31" t="s">
        <v>101</v>
      </c>
      <c r="O10" s="31">
        <v>2000</v>
      </c>
    </row>
    <row r="11" spans="1:15" x14ac:dyDescent="0.25">
      <c r="A11" s="35" t="s">
        <v>70</v>
      </c>
      <c r="B11" s="36">
        <v>400</v>
      </c>
      <c r="C11" s="36">
        <v>4800</v>
      </c>
      <c r="D11" s="35" t="s">
        <v>102</v>
      </c>
      <c r="E11" s="36">
        <v>40</v>
      </c>
      <c r="F11" s="36">
        <v>480</v>
      </c>
      <c r="G11" s="35"/>
      <c r="H11" s="35"/>
      <c r="I11" s="35"/>
      <c r="J11" s="63" t="s">
        <v>55</v>
      </c>
      <c r="K11" s="64">
        <v>6579</v>
      </c>
      <c r="L11" s="229">
        <f>K11+K12+K13+K14</f>
        <v>60453</v>
      </c>
      <c r="N11" s="31" t="s">
        <v>103</v>
      </c>
      <c r="O11" s="31">
        <v>2000</v>
      </c>
    </row>
    <row r="12" spans="1:15" x14ac:dyDescent="0.25">
      <c r="A12" s="35" t="s">
        <v>100</v>
      </c>
      <c r="B12" s="36">
        <v>80</v>
      </c>
      <c r="C12" s="36">
        <v>960</v>
      </c>
      <c r="D12" s="35" t="s">
        <v>104</v>
      </c>
      <c r="E12" s="36">
        <v>25</v>
      </c>
      <c r="F12" s="36">
        <v>300</v>
      </c>
      <c r="G12" s="35"/>
      <c r="H12" s="35"/>
      <c r="I12" s="35"/>
      <c r="J12" s="65" t="s">
        <v>21</v>
      </c>
      <c r="K12" s="66">
        <f>2000+19874</f>
        <v>21874</v>
      </c>
      <c r="L12" s="220"/>
      <c r="N12" s="31" t="s">
        <v>105</v>
      </c>
      <c r="O12" s="31">
        <v>2500</v>
      </c>
    </row>
    <row r="13" spans="1:15" x14ac:dyDescent="0.25">
      <c r="A13" s="35" t="s">
        <v>102</v>
      </c>
      <c r="B13" s="36">
        <v>40</v>
      </c>
      <c r="C13" s="36">
        <v>480</v>
      </c>
      <c r="D13" s="35" t="s">
        <v>106</v>
      </c>
      <c r="E13" s="36">
        <v>5</v>
      </c>
      <c r="F13" s="36">
        <v>60</v>
      </c>
      <c r="G13" s="35"/>
      <c r="H13" s="35"/>
      <c r="I13" s="35"/>
      <c r="J13" s="65" t="s">
        <v>56</v>
      </c>
      <c r="K13" s="66">
        <v>32000</v>
      </c>
      <c r="L13" s="220"/>
      <c r="N13" s="31" t="s">
        <v>107</v>
      </c>
      <c r="O13" s="31">
        <v>-2000</v>
      </c>
    </row>
    <row r="14" spans="1:15" x14ac:dyDescent="0.25">
      <c r="A14" s="35" t="s">
        <v>91</v>
      </c>
      <c r="B14" s="36">
        <v>10</v>
      </c>
      <c r="C14" s="36">
        <v>120</v>
      </c>
      <c r="D14" s="35" t="s">
        <v>108</v>
      </c>
      <c r="E14" s="36">
        <v>5</v>
      </c>
      <c r="F14" s="36">
        <v>60</v>
      </c>
      <c r="G14" s="35"/>
      <c r="H14" s="35"/>
      <c r="I14" s="35"/>
      <c r="J14" s="69" t="s">
        <v>30</v>
      </c>
      <c r="K14" s="70">
        <v>0</v>
      </c>
      <c r="L14" s="221"/>
      <c r="N14" s="31" t="s">
        <v>109</v>
      </c>
      <c r="O14" s="31">
        <v>-4000</v>
      </c>
    </row>
    <row r="15" spans="1:15" x14ac:dyDescent="0.25">
      <c r="A15" s="35" t="s">
        <v>104</v>
      </c>
      <c r="B15" s="36">
        <v>25</v>
      </c>
      <c r="C15" s="36">
        <v>300</v>
      </c>
      <c r="D15" s="35" t="s">
        <v>110</v>
      </c>
      <c r="E15" s="36">
        <v>10</v>
      </c>
      <c r="F15" s="36">
        <v>120</v>
      </c>
      <c r="G15" s="35"/>
      <c r="H15" s="35"/>
      <c r="I15" s="35"/>
      <c r="J15" s="233" t="s">
        <v>111</v>
      </c>
      <c r="K15" s="223"/>
      <c r="L15" s="84">
        <f>L11-I2+O15</f>
        <v>48241</v>
      </c>
      <c r="N15" s="31" t="s">
        <v>31</v>
      </c>
      <c r="O15" s="31">
        <f>SUM(O9:O14)</f>
        <v>2500</v>
      </c>
    </row>
    <row r="16" spans="1:15" x14ac:dyDescent="0.25">
      <c r="A16" s="35" t="s">
        <v>106</v>
      </c>
      <c r="B16" s="36">
        <v>5</v>
      </c>
      <c r="C16" s="36">
        <v>60</v>
      </c>
      <c r="D16" s="35" t="s">
        <v>112</v>
      </c>
      <c r="E16" s="36">
        <v>5</v>
      </c>
      <c r="F16" s="36">
        <v>60</v>
      </c>
      <c r="G16" s="35"/>
      <c r="H16" s="35"/>
      <c r="I16" s="35"/>
    </row>
    <row r="17" spans="1:9" x14ac:dyDescent="0.25">
      <c r="A17" s="35" t="s">
        <v>108</v>
      </c>
      <c r="B17" s="36">
        <v>5</v>
      </c>
      <c r="C17" s="36">
        <v>60</v>
      </c>
      <c r="D17" s="35" t="s">
        <v>113</v>
      </c>
      <c r="E17" s="36">
        <v>5</v>
      </c>
      <c r="F17" s="36">
        <v>60</v>
      </c>
      <c r="G17" s="35"/>
      <c r="H17" s="35"/>
      <c r="I17" s="35"/>
    </row>
    <row r="18" spans="1:9" x14ac:dyDescent="0.25">
      <c r="A18" s="35" t="s">
        <v>110</v>
      </c>
      <c r="B18" s="36">
        <v>10</v>
      </c>
      <c r="C18" s="36">
        <v>120</v>
      </c>
      <c r="D18" s="35" t="s">
        <v>114</v>
      </c>
      <c r="E18" s="36">
        <v>5</v>
      </c>
      <c r="F18" s="36">
        <v>60</v>
      </c>
      <c r="G18" s="35"/>
      <c r="H18" s="35"/>
      <c r="I18" s="35"/>
    </row>
    <row r="19" spans="1:9" x14ac:dyDescent="0.25">
      <c r="A19" s="35" t="s">
        <v>112</v>
      </c>
      <c r="B19" s="36">
        <v>5</v>
      </c>
      <c r="C19" s="36">
        <v>60</v>
      </c>
      <c r="D19" s="35" t="s">
        <v>115</v>
      </c>
      <c r="E19" s="36">
        <v>20</v>
      </c>
      <c r="F19" s="36">
        <v>240</v>
      </c>
      <c r="G19" s="35"/>
      <c r="H19" s="35"/>
      <c r="I19" s="35"/>
    </row>
    <row r="20" spans="1:9" x14ac:dyDescent="0.25">
      <c r="A20" s="35" t="s">
        <v>113</v>
      </c>
      <c r="B20" s="36">
        <v>5</v>
      </c>
      <c r="C20" s="36">
        <v>60</v>
      </c>
      <c r="D20" s="35" t="s">
        <v>116</v>
      </c>
      <c r="E20" s="36">
        <v>30</v>
      </c>
      <c r="F20" s="36">
        <v>360</v>
      </c>
      <c r="G20" s="35"/>
      <c r="H20" s="35"/>
      <c r="I20" s="35"/>
    </row>
    <row r="21" spans="1:9" x14ac:dyDescent="0.25">
      <c r="A21" s="35" t="s">
        <v>114</v>
      </c>
      <c r="B21" s="36">
        <v>5</v>
      </c>
      <c r="C21" s="36">
        <v>60</v>
      </c>
      <c r="D21" s="35"/>
      <c r="E21" s="35"/>
      <c r="F21" s="35"/>
      <c r="G21" s="35"/>
      <c r="H21" s="35"/>
      <c r="I21" s="35"/>
    </row>
    <row r="22" spans="1:9" x14ac:dyDescent="0.25">
      <c r="A22" s="35" t="s">
        <v>115</v>
      </c>
      <c r="B22" s="36">
        <v>20</v>
      </c>
      <c r="C22" s="36">
        <v>240</v>
      </c>
      <c r="D22" s="35"/>
      <c r="E22" s="35"/>
      <c r="F22" s="35"/>
      <c r="G22" s="35"/>
      <c r="H22" s="35"/>
      <c r="I22" s="35"/>
    </row>
    <row r="23" spans="1:9" x14ac:dyDescent="0.25">
      <c r="A23" s="35" t="s">
        <v>116</v>
      </c>
      <c r="B23" s="36">
        <v>30</v>
      </c>
      <c r="C23" s="36">
        <v>360</v>
      </c>
      <c r="D23" s="35"/>
      <c r="E23" s="35"/>
      <c r="F23" s="35"/>
      <c r="G23" s="35"/>
      <c r="H23" s="35"/>
      <c r="I23" s="35"/>
    </row>
    <row r="24" spans="1:9" x14ac:dyDescent="0.25">
      <c r="A24" s="35" t="s">
        <v>92</v>
      </c>
      <c r="B24" s="36">
        <v>25</v>
      </c>
      <c r="C24" s="36">
        <v>300</v>
      </c>
      <c r="D24" s="35"/>
      <c r="E24" s="35"/>
      <c r="F24" s="35"/>
      <c r="G24" s="35"/>
      <c r="H24" s="35"/>
      <c r="I24" s="35"/>
    </row>
    <row r="25" spans="1:9" x14ac:dyDescent="0.25">
      <c r="A25" s="35" t="s">
        <v>93</v>
      </c>
      <c r="B25" s="36">
        <v>40</v>
      </c>
      <c r="C25" s="36">
        <v>480</v>
      </c>
      <c r="D25" s="35"/>
      <c r="E25" s="35"/>
      <c r="F25" s="35"/>
      <c r="G25" s="35"/>
      <c r="H25" s="35"/>
      <c r="I25" s="35"/>
    </row>
    <row r="26" spans="1:9" x14ac:dyDescent="0.25">
      <c r="A26" s="35" t="s">
        <v>94</v>
      </c>
      <c r="B26" s="36">
        <v>40</v>
      </c>
      <c r="C26" s="36">
        <v>480</v>
      </c>
      <c r="D26" s="35"/>
      <c r="E26" s="35"/>
      <c r="F26" s="35"/>
      <c r="G26" s="35"/>
      <c r="H26" s="35"/>
      <c r="I26" s="35"/>
    </row>
    <row r="27" spans="1:9" x14ac:dyDescent="0.25">
      <c r="A27" s="35" t="s">
        <v>95</v>
      </c>
      <c r="B27" s="36">
        <v>20</v>
      </c>
      <c r="C27" s="36">
        <v>240</v>
      </c>
      <c r="D27" s="35"/>
      <c r="E27" s="35"/>
      <c r="F27" s="35"/>
      <c r="G27" s="35"/>
      <c r="H27" s="35"/>
      <c r="I27" s="35"/>
    </row>
    <row r="28" spans="1:9" x14ac:dyDescent="0.25">
      <c r="A28" s="35" t="s">
        <v>98</v>
      </c>
      <c r="B28" s="36">
        <v>5</v>
      </c>
      <c r="C28" s="36">
        <v>60</v>
      </c>
      <c r="D28" s="35"/>
      <c r="E28" s="35"/>
      <c r="F28" s="35"/>
      <c r="G28" s="35"/>
      <c r="H28" s="35"/>
      <c r="I28" s="35"/>
    </row>
  </sheetData>
  <mergeCells count="2">
    <mergeCell ref="L11:L14"/>
    <mergeCell ref="J15:K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1:K19"/>
  <sheetViews>
    <sheetView workbookViewId="0"/>
  </sheetViews>
  <sheetFormatPr defaultColWidth="14.42578125" defaultRowHeight="15" customHeight="1" x14ac:dyDescent="0.25"/>
  <cols>
    <col min="2" max="2" width="21.5703125" customWidth="1"/>
  </cols>
  <sheetData>
    <row r="1" spans="2:11" x14ac:dyDescent="0.25">
      <c r="C1" s="31" t="s">
        <v>5</v>
      </c>
      <c r="D1" s="31" t="s">
        <v>6</v>
      </c>
      <c r="E1" s="31" t="s">
        <v>7</v>
      </c>
      <c r="F1" s="31" t="s">
        <v>8</v>
      </c>
    </row>
    <row r="2" spans="2:11" x14ac:dyDescent="0.25">
      <c r="B2" s="31" t="s">
        <v>14</v>
      </c>
      <c r="C2" s="1">
        <v>40000</v>
      </c>
      <c r="D2" s="1">
        <v>40000</v>
      </c>
      <c r="E2" s="1">
        <f t="shared" ref="E2:E9" si="0">C2-D2</f>
        <v>0</v>
      </c>
      <c r="F2" s="34">
        <f t="shared" ref="F2:F10" si="1">D2/C2</f>
        <v>1</v>
      </c>
    </row>
    <row r="3" spans="2:11" x14ac:dyDescent="0.25">
      <c r="B3" s="31" t="s">
        <v>77</v>
      </c>
      <c r="C3" s="1">
        <f>G19</f>
        <v>9000</v>
      </c>
      <c r="D3" s="1">
        <v>9000</v>
      </c>
      <c r="E3" s="1">
        <f t="shared" si="0"/>
        <v>0</v>
      </c>
      <c r="F3" s="34">
        <f t="shared" si="1"/>
        <v>1</v>
      </c>
    </row>
    <row r="4" spans="2:11" x14ac:dyDescent="0.25">
      <c r="B4" s="31" t="s">
        <v>54</v>
      </c>
      <c r="C4" s="1">
        <v>15000</v>
      </c>
      <c r="D4" s="1">
        <f>C12-D2-D3</f>
        <v>3299</v>
      </c>
      <c r="E4" s="1">
        <f t="shared" si="0"/>
        <v>11701</v>
      </c>
      <c r="F4" s="34">
        <f t="shared" si="1"/>
        <v>0.21993333333333334</v>
      </c>
    </row>
    <row r="5" spans="2:11" x14ac:dyDescent="0.25">
      <c r="B5" s="31" t="s">
        <v>61</v>
      </c>
      <c r="C5" s="1">
        <v>800</v>
      </c>
      <c r="D5" s="1">
        <v>0</v>
      </c>
      <c r="E5" s="1">
        <f t="shared" si="0"/>
        <v>800</v>
      </c>
      <c r="F5" s="34">
        <f t="shared" si="1"/>
        <v>0</v>
      </c>
    </row>
    <row r="6" spans="2:11" x14ac:dyDescent="0.25">
      <c r="B6" s="31" t="s">
        <v>62</v>
      </c>
      <c r="C6" s="1">
        <v>2200</v>
      </c>
      <c r="D6" s="1">
        <v>0</v>
      </c>
      <c r="E6" s="1">
        <f t="shared" si="0"/>
        <v>2200</v>
      </c>
      <c r="F6" s="34">
        <f t="shared" si="1"/>
        <v>0</v>
      </c>
    </row>
    <row r="7" spans="2:11" x14ac:dyDescent="0.25">
      <c r="B7" s="31" t="s">
        <v>63</v>
      </c>
      <c r="C7" s="1">
        <v>500</v>
      </c>
      <c r="D7" s="1">
        <v>0</v>
      </c>
      <c r="E7" s="1">
        <f t="shared" si="0"/>
        <v>500</v>
      </c>
      <c r="F7" s="34">
        <f t="shared" si="1"/>
        <v>0</v>
      </c>
      <c r="H7" s="31" t="s">
        <v>5</v>
      </c>
      <c r="I7" s="31" t="s">
        <v>6</v>
      </c>
      <c r="J7" s="31" t="s">
        <v>7</v>
      </c>
      <c r="K7" s="31" t="s">
        <v>8</v>
      </c>
    </row>
    <row r="8" spans="2:11" x14ac:dyDescent="0.25">
      <c r="B8" s="31" t="s">
        <v>64</v>
      </c>
      <c r="C8" s="1">
        <v>3800</v>
      </c>
      <c r="D8" s="1">
        <v>0</v>
      </c>
      <c r="E8" s="1">
        <f t="shared" si="0"/>
        <v>3800</v>
      </c>
      <c r="F8" s="34">
        <f t="shared" si="1"/>
        <v>0</v>
      </c>
      <c r="G8" s="31" t="s">
        <v>78</v>
      </c>
      <c r="H8" s="1">
        <f t="shared" ref="H8:I8" si="2">SUM(C5:C8)</f>
        <v>7300</v>
      </c>
      <c r="I8" s="1">
        <f t="shared" si="2"/>
        <v>0</v>
      </c>
      <c r="J8" s="1">
        <f>H8-I8</f>
        <v>7300</v>
      </c>
      <c r="K8" s="34">
        <f>I8/H8</f>
        <v>0</v>
      </c>
    </row>
    <row r="9" spans="2:11" x14ac:dyDescent="0.25">
      <c r="B9" s="31" t="s">
        <v>79</v>
      </c>
      <c r="C9" s="1">
        <v>15000</v>
      </c>
      <c r="D9" s="1">
        <v>0</v>
      </c>
      <c r="E9" s="1">
        <f t="shared" si="0"/>
        <v>15000</v>
      </c>
      <c r="F9" s="34">
        <f t="shared" si="1"/>
        <v>0</v>
      </c>
    </row>
    <row r="10" spans="2:11" x14ac:dyDescent="0.25">
      <c r="B10" s="31" t="s">
        <v>9</v>
      </c>
      <c r="C10" s="1">
        <f t="shared" ref="C10:E10" si="3">SUM(C2:C9)</f>
        <v>86300</v>
      </c>
      <c r="D10" s="1">
        <f t="shared" si="3"/>
        <v>52299</v>
      </c>
      <c r="E10" s="1">
        <f t="shared" si="3"/>
        <v>34001</v>
      </c>
      <c r="F10" s="34">
        <f t="shared" si="1"/>
        <v>0.60601390498261876</v>
      </c>
    </row>
    <row r="12" spans="2:11" x14ac:dyDescent="0.25">
      <c r="B12" s="31" t="s">
        <v>81</v>
      </c>
      <c r="C12" s="1">
        <f>'Actualizacion Ahorro 10-2021'!D11-'Actualizacion Ahorro 10-2021'!C4-'Actualizacion Ahorro 10-2021'!C5</f>
        <v>52299</v>
      </c>
      <c r="F12" s="30" t="s">
        <v>57</v>
      </c>
      <c r="G12" s="1">
        <v>60</v>
      </c>
    </row>
    <row r="13" spans="2:11" x14ac:dyDescent="0.25">
      <c r="B13" s="85" t="s">
        <v>82</v>
      </c>
      <c r="C13" s="86">
        <f>2000*2+2500</f>
        <v>6500</v>
      </c>
      <c r="F13" s="30" t="s">
        <v>58</v>
      </c>
      <c r="G13" s="1">
        <v>100</v>
      </c>
    </row>
    <row r="14" spans="2:11" x14ac:dyDescent="0.25">
      <c r="B14" s="85" t="s">
        <v>83</v>
      </c>
      <c r="C14" s="86">
        <f>E10-C13</f>
        <v>27501</v>
      </c>
      <c r="F14" s="30" t="s">
        <v>59</v>
      </c>
      <c r="G14" s="1">
        <v>30</v>
      </c>
    </row>
    <row r="15" spans="2:11" x14ac:dyDescent="0.25">
      <c r="F15" s="30" t="s">
        <v>60</v>
      </c>
      <c r="G15" s="1">
        <v>110</v>
      </c>
    </row>
    <row r="16" spans="2:11" x14ac:dyDescent="0.25">
      <c r="F16" s="30" t="s">
        <v>11</v>
      </c>
      <c r="G16" s="1">
        <v>300</v>
      </c>
    </row>
    <row r="17" spans="6:7" x14ac:dyDescent="0.25">
      <c r="F17" s="30" t="s">
        <v>34</v>
      </c>
      <c r="G17" s="1">
        <v>150</v>
      </c>
    </row>
    <row r="18" spans="6:7" x14ac:dyDescent="0.25">
      <c r="F18" s="30" t="s">
        <v>13</v>
      </c>
      <c r="G18" s="25">
        <f>SUM(G12:G17)</f>
        <v>750</v>
      </c>
    </row>
    <row r="19" spans="6:7" x14ac:dyDescent="0.25">
      <c r="F19" s="87" t="s">
        <v>65</v>
      </c>
      <c r="G19" s="88">
        <f>G18*12</f>
        <v>9000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B1:K19"/>
  <sheetViews>
    <sheetView workbookViewId="0"/>
  </sheetViews>
  <sheetFormatPr defaultColWidth="14.42578125" defaultRowHeight="15" customHeight="1" x14ac:dyDescent="0.25"/>
  <cols>
    <col min="2" max="2" width="21.5703125" customWidth="1"/>
  </cols>
  <sheetData>
    <row r="1" spans="2:11" x14ac:dyDescent="0.25">
      <c r="C1" s="31" t="s">
        <v>5</v>
      </c>
      <c r="D1" s="31" t="s">
        <v>6</v>
      </c>
      <c r="E1" s="31" t="s">
        <v>7</v>
      </c>
      <c r="F1" s="31" t="s">
        <v>8</v>
      </c>
    </row>
    <row r="2" spans="2:11" x14ac:dyDescent="0.25">
      <c r="B2" s="31" t="s">
        <v>14</v>
      </c>
      <c r="C2" s="1">
        <v>40000</v>
      </c>
      <c r="D2" s="1">
        <v>40000</v>
      </c>
      <c r="E2" s="1">
        <f t="shared" ref="E2:E9" si="0">C2-D2</f>
        <v>0</v>
      </c>
      <c r="F2" s="34">
        <f t="shared" ref="F2:F10" si="1">D2/C2</f>
        <v>1</v>
      </c>
    </row>
    <row r="3" spans="2:11" x14ac:dyDescent="0.25">
      <c r="B3" s="31" t="s">
        <v>77</v>
      </c>
      <c r="C3" s="1">
        <f>G19</f>
        <v>9000</v>
      </c>
      <c r="D3" s="1">
        <v>9000</v>
      </c>
      <c r="E3" s="1">
        <f t="shared" si="0"/>
        <v>0</v>
      </c>
      <c r="F3" s="34">
        <f t="shared" si="1"/>
        <v>1</v>
      </c>
    </row>
    <row r="4" spans="2:11" x14ac:dyDescent="0.25">
      <c r="B4" s="31" t="s">
        <v>54</v>
      </c>
      <c r="C4" s="1">
        <v>15000</v>
      </c>
      <c r="D4" s="1">
        <f>C12-D2-D3</f>
        <v>3299</v>
      </c>
      <c r="E4" s="1">
        <f t="shared" si="0"/>
        <v>11701</v>
      </c>
      <c r="F4" s="34">
        <f t="shared" si="1"/>
        <v>0.21993333333333334</v>
      </c>
    </row>
    <row r="5" spans="2:11" x14ac:dyDescent="0.25">
      <c r="B5" s="31" t="s">
        <v>61</v>
      </c>
      <c r="C5" s="1">
        <v>800</v>
      </c>
      <c r="D5" s="1">
        <v>0</v>
      </c>
      <c r="E5" s="1">
        <f t="shared" si="0"/>
        <v>800</v>
      </c>
      <c r="F5" s="34">
        <f t="shared" si="1"/>
        <v>0</v>
      </c>
    </row>
    <row r="6" spans="2:11" x14ac:dyDescent="0.25">
      <c r="B6" s="31" t="s">
        <v>62</v>
      </c>
      <c r="C6" s="1">
        <v>2200</v>
      </c>
      <c r="D6" s="1">
        <v>0</v>
      </c>
      <c r="E6" s="1">
        <f t="shared" si="0"/>
        <v>2200</v>
      </c>
      <c r="F6" s="34">
        <f t="shared" si="1"/>
        <v>0</v>
      </c>
    </row>
    <row r="7" spans="2:11" x14ac:dyDescent="0.25">
      <c r="B7" s="31" t="s">
        <v>63</v>
      </c>
      <c r="C7" s="1">
        <v>500</v>
      </c>
      <c r="D7" s="1">
        <v>0</v>
      </c>
      <c r="E7" s="1">
        <f t="shared" si="0"/>
        <v>500</v>
      </c>
      <c r="F7" s="34">
        <f t="shared" si="1"/>
        <v>0</v>
      </c>
      <c r="H7" s="31" t="s">
        <v>5</v>
      </c>
      <c r="I7" s="31" t="s">
        <v>6</v>
      </c>
      <c r="J7" s="31" t="s">
        <v>7</v>
      </c>
      <c r="K7" s="31" t="s">
        <v>8</v>
      </c>
    </row>
    <row r="8" spans="2:11" x14ac:dyDescent="0.25">
      <c r="B8" s="31" t="s">
        <v>64</v>
      </c>
      <c r="C8" s="1">
        <v>3800</v>
      </c>
      <c r="D8" s="1">
        <v>0</v>
      </c>
      <c r="E8" s="1">
        <f t="shared" si="0"/>
        <v>3800</v>
      </c>
      <c r="F8" s="34">
        <f t="shared" si="1"/>
        <v>0</v>
      </c>
      <c r="G8" s="31" t="s">
        <v>78</v>
      </c>
      <c r="H8" s="1">
        <f t="shared" ref="H8:I8" si="2">SUM(C5:C8)</f>
        <v>7300</v>
      </c>
      <c r="I8" s="1">
        <f t="shared" si="2"/>
        <v>0</v>
      </c>
      <c r="J8" s="1">
        <f>H8-I8</f>
        <v>7300</v>
      </c>
      <c r="K8" s="34">
        <f>I8/H8</f>
        <v>0</v>
      </c>
    </row>
    <row r="9" spans="2:11" x14ac:dyDescent="0.25">
      <c r="B9" s="31" t="s">
        <v>79</v>
      </c>
      <c r="C9" s="1">
        <v>15000</v>
      </c>
      <c r="D9" s="1">
        <v>0</v>
      </c>
      <c r="E9" s="1">
        <f t="shared" si="0"/>
        <v>15000</v>
      </c>
      <c r="F9" s="34">
        <f t="shared" si="1"/>
        <v>0</v>
      </c>
    </row>
    <row r="10" spans="2:11" x14ac:dyDescent="0.25">
      <c r="B10" s="31" t="s">
        <v>9</v>
      </c>
      <c r="C10" s="1">
        <f t="shared" ref="C10:E10" si="3">SUM(C2:C9)</f>
        <v>86300</v>
      </c>
      <c r="D10" s="1">
        <f t="shared" si="3"/>
        <v>52299</v>
      </c>
      <c r="E10" s="1">
        <f t="shared" si="3"/>
        <v>34001</v>
      </c>
      <c r="F10" s="34">
        <f t="shared" si="1"/>
        <v>0.60601390498261876</v>
      </c>
    </row>
    <row r="12" spans="2:11" x14ac:dyDescent="0.25">
      <c r="B12" s="31" t="s">
        <v>81</v>
      </c>
      <c r="C12" s="1">
        <f>'Actualizacion Ahorro 10-2021'!D11-'Actualizacion Ahorro 10-2021'!C4-'Actualizacion Ahorro 10-2021'!C5</f>
        <v>52299</v>
      </c>
      <c r="F12" s="30" t="s">
        <v>57</v>
      </c>
      <c r="G12" s="1">
        <v>60</v>
      </c>
    </row>
    <row r="13" spans="2:11" x14ac:dyDescent="0.25">
      <c r="B13" s="85" t="s">
        <v>82</v>
      </c>
      <c r="C13" s="86">
        <f>2000*2+2500</f>
        <v>6500</v>
      </c>
      <c r="F13" s="30" t="s">
        <v>58</v>
      </c>
      <c r="G13" s="1">
        <v>100</v>
      </c>
    </row>
    <row r="14" spans="2:11" x14ac:dyDescent="0.25">
      <c r="B14" s="85" t="s">
        <v>83</v>
      </c>
      <c r="C14" s="86">
        <f>E10-C13</f>
        <v>27501</v>
      </c>
      <c r="F14" s="30" t="s">
        <v>59</v>
      </c>
      <c r="G14" s="1">
        <v>30</v>
      </c>
    </row>
    <row r="15" spans="2:11" x14ac:dyDescent="0.25">
      <c r="F15" s="30" t="s">
        <v>60</v>
      </c>
      <c r="G15" s="1">
        <v>110</v>
      </c>
    </row>
    <row r="16" spans="2:11" x14ac:dyDescent="0.25">
      <c r="F16" s="30" t="s">
        <v>11</v>
      </c>
      <c r="G16" s="1">
        <v>300</v>
      </c>
    </row>
    <row r="17" spans="6:7" x14ac:dyDescent="0.25">
      <c r="F17" s="30" t="s">
        <v>34</v>
      </c>
      <c r="G17" s="1">
        <v>150</v>
      </c>
    </row>
    <row r="18" spans="6:7" x14ac:dyDescent="0.25">
      <c r="F18" s="30" t="s">
        <v>13</v>
      </c>
      <c r="G18" s="25">
        <f>SUM(G12:G17)</f>
        <v>750</v>
      </c>
    </row>
    <row r="19" spans="6:7" x14ac:dyDescent="0.25">
      <c r="F19" s="87" t="s">
        <v>65</v>
      </c>
      <c r="G19" s="88">
        <f>G18*12</f>
        <v>9000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2:M40"/>
  <sheetViews>
    <sheetView workbookViewId="0"/>
  </sheetViews>
  <sheetFormatPr defaultColWidth="14.42578125" defaultRowHeight="15" customHeight="1" x14ac:dyDescent="0.25"/>
  <cols>
    <col min="2" max="2" width="19.7109375" customWidth="1"/>
    <col min="3" max="3" width="18.85546875" customWidth="1"/>
    <col min="11" max="11" width="16" customWidth="1"/>
    <col min="12" max="12" width="17.85546875" customWidth="1"/>
    <col min="13" max="13" width="11.5703125" customWidth="1"/>
  </cols>
  <sheetData>
    <row r="2" spans="1:13" x14ac:dyDescent="0.25">
      <c r="B2" s="226" t="s">
        <v>41</v>
      </c>
      <c r="C2" s="227"/>
      <c r="D2" s="227"/>
      <c r="E2" s="227"/>
      <c r="F2" s="228"/>
    </row>
    <row r="3" spans="1:13" ht="15" customHeight="1" x14ac:dyDescent="0.25">
      <c r="B3" s="43" t="s">
        <v>42</v>
      </c>
      <c r="C3" s="44" t="s">
        <v>43</v>
      </c>
      <c r="D3" s="44" t="s">
        <v>117</v>
      </c>
      <c r="E3" s="44" t="s">
        <v>6</v>
      </c>
      <c r="F3" s="45" t="s">
        <v>45</v>
      </c>
    </row>
    <row r="4" spans="1:13" x14ac:dyDescent="0.25">
      <c r="A4" s="37"/>
      <c r="B4" s="52" t="s">
        <v>118</v>
      </c>
      <c r="C4" s="66" t="s">
        <v>119</v>
      </c>
      <c r="D4" s="37">
        <v>32000</v>
      </c>
      <c r="E4" s="66">
        <v>32000</v>
      </c>
      <c r="F4" s="89">
        <f>E4/D4</f>
        <v>1</v>
      </c>
      <c r="H4" s="31">
        <v>33000</v>
      </c>
      <c r="I4" s="31">
        <v>22358</v>
      </c>
      <c r="J4" s="31">
        <v>6579</v>
      </c>
      <c r="K4" s="31">
        <f>H4+I4+J4</f>
        <v>61937</v>
      </c>
    </row>
    <row r="5" spans="1:13" x14ac:dyDescent="0.25">
      <c r="A5" s="37"/>
      <c r="B5" s="234" t="s">
        <v>54</v>
      </c>
      <c r="C5" s="37" t="s">
        <v>120</v>
      </c>
      <c r="D5" s="37">
        <v>15000</v>
      </c>
      <c r="E5" s="236">
        <f>D10</f>
        <v>28937</v>
      </c>
      <c r="F5" s="237">
        <f>E5/(D5+D6+D7)</f>
        <v>0.80380555555555555</v>
      </c>
    </row>
    <row r="6" spans="1:13" x14ac:dyDescent="0.25">
      <c r="B6" s="235"/>
      <c r="C6" s="37" t="s">
        <v>121</v>
      </c>
      <c r="D6" s="37">
        <v>6000</v>
      </c>
      <c r="E6" s="223"/>
      <c r="F6" s="238"/>
    </row>
    <row r="7" spans="1:13" x14ac:dyDescent="0.25">
      <c r="B7" s="235"/>
      <c r="C7" s="37" t="s">
        <v>33</v>
      </c>
      <c r="D7" s="37">
        <v>15000</v>
      </c>
      <c r="E7" s="223"/>
      <c r="F7" s="238"/>
    </row>
    <row r="8" spans="1:13" x14ac:dyDescent="0.25">
      <c r="B8" s="55" t="s">
        <v>122</v>
      </c>
      <c r="C8" s="90" t="s">
        <v>123</v>
      </c>
      <c r="D8" s="90">
        <v>12000</v>
      </c>
      <c r="E8" s="90">
        <v>0</v>
      </c>
      <c r="F8" s="91">
        <f>E8/D8</f>
        <v>0</v>
      </c>
    </row>
    <row r="9" spans="1:13" ht="15" customHeight="1" x14ac:dyDescent="0.25">
      <c r="E9" s="37">
        <f>+E4+E5+E8</f>
        <v>60937</v>
      </c>
    </row>
    <row r="10" spans="1:13" x14ac:dyDescent="0.25">
      <c r="A10" s="37"/>
      <c r="B10" s="63" t="s">
        <v>55</v>
      </c>
      <c r="C10" s="64">
        <v>6579</v>
      </c>
      <c r="D10" s="229">
        <f>C10+C11+C12+C13</f>
        <v>28937</v>
      </c>
      <c r="H10" s="29"/>
    </row>
    <row r="11" spans="1:13" x14ac:dyDescent="0.25">
      <c r="A11" s="37"/>
      <c r="B11" s="65" t="s">
        <v>21</v>
      </c>
      <c r="C11" s="66">
        <v>22358</v>
      </c>
      <c r="D11" s="220"/>
      <c r="H11" s="2">
        <v>5000000</v>
      </c>
      <c r="I11" s="29">
        <f>H11*(1-0.08)</f>
        <v>4600000</v>
      </c>
      <c r="J11" s="67">
        <f>J12+J13+J14+J15</f>
        <v>1250000</v>
      </c>
      <c r="K11" s="29">
        <f>I11-J11</f>
        <v>3350000</v>
      </c>
      <c r="L11" s="29">
        <f>K11*5</f>
        <v>16750000</v>
      </c>
      <c r="M11" s="29">
        <f>K11*18/30 + (H11/2)*4/6 + (H11/2)*18/(30*6)</f>
        <v>3926666.666666667</v>
      </c>
    </row>
    <row r="12" spans="1:13" x14ac:dyDescent="0.25">
      <c r="A12" s="37"/>
      <c r="B12" s="65" t="s">
        <v>124</v>
      </c>
      <c r="C12" s="66">
        <v>0</v>
      </c>
      <c r="D12" s="220"/>
      <c r="J12" s="68">
        <v>500000</v>
      </c>
      <c r="K12" s="37" t="s">
        <v>125</v>
      </c>
      <c r="L12" s="37" t="s">
        <v>126</v>
      </c>
      <c r="M12" s="37" t="s">
        <v>127</v>
      </c>
    </row>
    <row r="13" spans="1:13" x14ac:dyDescent="0.25">
      <c r="A13" s="37"/>
      <c r="B13" s="69" t="s">
        <v>30</v>
      </c>
      <c r="C13" s="70">
        <v>0</v>
      </c>
      <c r="D13" s="221"/>
      <c r="J13" s="68">
        <v>250000</v>
      </c>
    </row>
    <row r="14" spans="1:13" x14ac:dyDescent="0.25">
      <c r="B14" s="230" t="s">
        <v>4</v>
      </c>
      <c r="C14" s="231"/>
      <c r="D14" s="232"/>
      <c r="J14" s="68">
        <v>400000</v>
      </c>
    </row>
    <row r="15" spans="1:13" x14ac:dyDescent="0.25">
      <c r="J15" s="68">
        <v>100000</v>
      </c>
    </row>
    <row r="19" spans="2:11" ht="15" customHeight="1" x14ac:dyDescent="0.25">
      <c r="B19" s="37" t="str">
        <f t="shared" ref="B19:B20" si="0">B4</f>
        <v>Ahorro Personal</v>
      </c>
      <c r="C19" s="71">
        <f t="shared" ref="C19:C20" si="1">F4</f>
        <v>1</v>
      </c>
      <c r="D19" s="37">
        <f>D10+3200</f>
        <v>32137</v>
      </c>
    </row>
    <row r="20" spans="2:11" ht="15" customHeight="1" x14ac:dyDescent="0.25">
      <c r="B20" s="37" t="str">
        <f t="shared" si="0"/>
        <v>Australia</v>
      </c>
      <c r="C20" s="71">
        <f t="shared" si="1"/>
        <v>0.80380555555555555</v>
      </c>
    </row>
    <row r="21" spans="2:11" ht="15" customHeight="1" x14ac:dyDescent="0.25">
      <c r="B21" s="37" t="str">
        <f>B8</f>
        <v>Madre</v>
      </c>
      <c r="C21" s="71">
        <f>F8</f>
        <v>0</v>
      </c>
      <c r="D21" s="37">
        <v>4550</v>
      </c>
      <c r="E21" s="37">
        <f>500+400+350</f>
        <v>1250</v>
      </c>
      <c r="F21" s="37">
        <f>D21-E21</f>
        <v>3300</v>
      </c>
    </row>
    <row r="22" spans="2:11" ht="15" customHeight="1" x14ac:dyDescent="0.25">
      <c r="F22" s="37">
        <f>F21*4</f>
        <v>13200</v>
      </c>
      <c r="G22" s="37">
        <f>F22+D19</f>
        <v>45337</v>
      </c>
    </row>
    <row r="26" spans="2:11" x14ac:dyDescent="0.25">
      <c r="H26" s="66" t="s">
        <v>128</v>
      </c>
      <c r="I26" s="71">
        <v>0.03</v>
      </c>
      <c r="J26" s="53">
        <f>I26/12</f>
        <v>2.5000000000000001E-3</v>
      </c>
      <c r="K26" s="53">
        <f>J26/30</f>
        <v>8.3333333333333331E-5</v>
      </c>
    </row>
    <row r="27" spans="2:11" x14ac:dyDescent="0.25">
      <c r="H27" s="66" t="s">
        <v>129</v>
      </c>
      <c r="I27" s="53">
        <f>((1+I26)^(1/12))-1</f>
        <v>2.4662697723036864E-3</v>
      </c>
    </row>
    <row r="28" spans="2:11" x14ac:dyDescent="0.25">
      <c r="I28" s="53">
        <f>((1+I26)^(1/365))-1</f>
        <v>8.0986299053176225E-5</v>
      </c>
      <c r="J28" s="66">
        <v>800000</v>
      </c>
    </row>
    <row r="29" spans="2:11" x14ac:dyDescent="0.25">
      <c r="J29" s="37">
        <f>J28*J26</f>
        <v>2000</v>
      </c>
    </row>
    <row r="30" spans="2:11" x14ac:dyDescent="0.25">
      <c r="J30" s="37">
        <f>J28*I27</f>
        <v>1973.0158178429492</v>
      </c>
    </row>
    <row r="36" spans="2:3" ht="15" customHeight="1" x14ac:dyDescent="0.25">
      <c r="B36" s="37" t="s">
        <v>130</v>
      </c>
    </row>
    <row r="37" spans="2:3" ht="15" customHeight="1" x14ac:dyDescent="0.25">
      <c r="B37" s="37" t="s">
        <v>32</v>
      </c>
      <c r="C37" s="37">
        <v>105385</v>
      </c>
    </row>
    <row r="38" spans="2:3" ht="15" customHeight="1" x14ac:dyDescent="0.25">
      <c r="B38" s="37" t="s">
        <v>131</v>
      </c>
      <c r="C38" s="37">
        <v>176421</v>
      </c>
    </row>
    <row r="39" spans="2:3" ht="15" customHeight="1" x14ac:dyDescent="0.25">
      <c r="B39" s="37" t="s">
        <v>132</v>
      </c>
      <c r="C39" s="37">
        <v>35094</v>
      </c>
    </row>
    <row r="40" spans="2:3" ht="15" customHeight="1" x14ac:dyDescent="0.25">
      <c r="B40" s="37" t="s">
        <v>133</v>
      </c>
      <c r="C40" s="37">
        <f>400180+323000</f>
        <v>723180</v>
      </c>
    </row>
  </sheetData>
  <mergeCells count="6">
    <mergeCell ref="B14:D14"/>
    <mergeCell ref="B2:F2"/>
    <mergeCell ref="B5:B7"/>
    <mergeCell ref="E5:E7"/>
    <mergeCell ref="F5:F7"/>
    <mergeCell ref="D10:D1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Ahorro 2022</vt:lpstr>
      <vt:lpstr>Hoja 9</vt:lpstr>
      <vt:lpstr>Actualizacion Ahorro 10-2021</vt:lpstr>
      <vt:lpstr>Actualizacion Ahorro 12-2021</vt:lpstr>
      <vt:lpstr>Actualizacion Ahorro 11-2021</vt:lpstr>
      <vt:lpstr>GASTOS ESENCIALES</vt:lpstr>
      <vt:lpstr>AUSTRALIA</vt:lpstr>
      <vt:lpstr>Copia de AUSTRALIA</vt:lpstr>
      <vt:lpstr>Actualizacion Ahorro 05-2021</vt:lpstr>
      <vt:lpstr>Actualización Ahorro 04-2021</vt:lpstr>
      <vt:lpstr>Histórico Ahorro 2020</vt:lpstr>
      <vt:lpstr>Copia gastos trasteo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RODRIGUEZ CHAVES</dc:creator>
  <cp:lastModifiedBy>Valentina Rodriguez</cp:lastModifiedBy>
  <dcterms:created xsi:type="dcterms:W3CDTF">2020-06-30T17:32:14Z</dcterms:created>
  <dcterms:modified xsi:type="dcterms:W3CDTF">2024-01-27T15:01:01Z</dcterms:modified>
</cp:coreProperties>
</file>